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nTin\Desktop\"/>
    </mc:Choice>
  </mc:AlternateContent>
  <bookViews>
    <workbookView xWindow="-120" yWindow="-120" windowWidth="28950" windowHeight="14190" tabRatio="686"/>
  </bookViews>
  <sheets>
    <sheet name="Januari" sheetId="4" r:id="rId1"/>
    <sheet name="Februari" sheetId="5" r:id="rId2"/>
    <sheet name="Maret" sheetId="17" r:id="rId3"/>
    <sheet name="April" sheetId="18" r:id="rId4"/>
    <sheet name="Mei" sheetId="19" r:id="rId5"/>
    <sheet name="Juni" sheetId="20" r:id="rId6"/>
    <sheet name="Juli" sheetId="21" r:id="rId7"/>
    <sheet name="Agustus" sheetId="22" r:id="rId8"/>
    <sheet name="September" sheetId="23" r:id="rId9"/>
    <sheet name="Oktober" sheetId="24" r:id="rId10"/>
    <sheet name="November" sheetId="25" r:id="rId11"/>
    <sheet name="Desember" sheetId="15" r:id="rId12"/>
    <sheet name="Nama Karyawan" sheetId="16" r:id="rId13"/>
  </sheets>
  <definedNames>
    <definedName name="Judul_Absensi_Karyawan">Januari!$B$1</definedName>
    <definedName name="Judul1">Januari[[#Headers],[Nama Karyawan]]</definedName>
    <definedName name="Judul10">Oktober[[#Headers],[Nama Karyawan]]</definedName>
    <definedName name="Judul11">November[[#Headers],[Nama Karyawan]]</definedName>
    <definedName name="Judul12">Desember[[#Headers],[Nama Karyawan]]</definedName>
    <definedName name="Judul2">Februari[[#Headers],[Nama Karyawan]]</definedName>
    <definedName name="Judul3">Maret[[#Headers],[Nama Karyawan]]</definedName>
    <definedName name="Judul4">April[[#Headers],[Nama Karyawan]]</definedName>
    <definedName name="Judul5">Mei[[#Headers],[Nama Karyawan]]</definedName>
    <definedName name="Judul6">Juni[[#Headers],[Nama Karyawan]]</definedName>
    <definedName name="Judul7">Juli[[#Headers],[Nama Karyawan]]</definedName>
    <definedName name="Judul8">Agustus[[#Headers],[Nama Karyawan]]</definedName>
    <definedName name="Judul9">September[[#Headers],[Nama Karyawan]]</definedName>
    <definedName name="JudulKolom13">NamaKaryawan[[#Headers],[Nama Karyawan]]</definedName>
    <definedName name="Kustomkunci1">Januari!$N$2</definedName>
    <definedName name="KustomKunci2">Januari!$R$2</definedName>
    <definedName name="LabelKustomKunci1">Januari!$O$2</definedName>
    <definedName name="LabelKustomKunci2">Januari!$S$2</definedName>
    <definedName name="LabelLiburanKunci">Januari!$D$2</definedName>
    <definedName name="LabelPribadiKunci">Januari!$H$2</definedName>
    <definedName name="LabelSakitKunci">Januari!$L$2</definedName>
    <definedName name="LiburanKunci">Januari!$C$2</definedName>
    <definedName name="Nama_kunci">Januari!$B$2</definedName>
    <definedName name="NamaBulan" localSheetId="7">Agustus!$B$4</definedName>
    <definedName name="NamaBulan" localSheetId="3">April!$B$4</definedName>
    <definedName name="NamaBulan" localSheetId="11">Desember!$B$4</definedName>
    <definedName name="NamaBulan" localSheetId="1">Februari!$B$4</definedName>
    <definedName name="NamaBulan" localSheetId="0">Januari!$B$4</definedName>
    <definedName name="NamaBulan" localSheetId="6">Juli!$B$4</definedName>
    <definedName name="NamaBulan" localSheetId="5">Juni!$B$4</definedName>
    <definedName name="NamaBulan" localSheetId="2">Maret!$B$4</definedName>
    <definedName name="NamaBulan" localSheetId="4">Mei!$B$4</definedName>
    <definedName name="NamaBulan" localSheetId="10">November!$B$4</definedName>
    <definedName name="NamaBulan" localSheetId="9">Oktober!$B$4</definedName>
    <definedName name="NamaBulan" localSheetId="8">September!$B$4</definedName>
    <definedName name="PribadiKunci">Januari!$G$2</definedName>
    <definedName name="_xlnm.Print_Titles" localSheetId="7">Agustus!$4:$6</definedName>
    <definedName name="_xlnm.Print_Titles" localSheetId="3">April!$4:$6</definedName>
    <definedName name="_xlnm.Print_Titles" localSheetId="11">Desember!$4:$6</definedName>
    <definedName name="_xlnm.Print_Titles" localSheetId="1">Februari!$4:$6</definedName>
    <definedName name="_xlnm.Print_Titles" localSheetId="0">Januari!$4:$6</definedName>
    <definedName name="_xlnm.Print_Titles" localSheetId="6">Juli!$4:$6</definedName>
    <definedName name="_xlnm.Print_Titles" localSheetId="5">Juni!$4:$6</definedName>
    <definedName name="_xlnm.Print_Titles" localSheetId="2">Maret!$4:$6</definedName>
    <definedName name="_xlnm.Print_Titles" localSheetId="4">Mei!$4:$6</definedName>
    <definedName name="_xlnm.Print_Titles" localSheetId="10">November!$4:$6</definedName>
    <definedName name="_xlnm.Print_Titles" localSheetId="9">Oktober!$4:$6</definedName>
    <definedName name="_xlnm.Print_Titles" localSheetId="8">September!$4:$6</definedName>
    <definedName name="SakitKunci">Januari!$K$2</definedName>
    <definedName name="TahunKalender">Januari!$AH$4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2" i="15" l="1"/>
  <c r="B12" i="25"/>
  <c r="B12" i="24"/>
  <c r="B12" i="23"/>
  <c r="B12" i="22"/>
  <c r="B12" i="21"/>
  <c r="B12" i="20"/>
  <c r="B12" i="19"/>
  <c r="B12" i="18"/>
  <c r="B12" i="17"/>
  <c r="B12" i="5"/>
  <c r="B12" i="4"/>
  <c r="AH7" i="25" l="1"/>
  <c r="AH8" i="25"/>
  <c r="AH9" i="25"/>
  <c r="AH10" i="25"/>
  <c r="AH11" i="25"/>
  <c r="AH7" i="23"/>
  <c r="AH8" i="23"/>
  <c r="AH9" i="23"/>
  <c r="AH10" i="23"/>
  <c r="AH11" i="23"/>
  <c r="AH7" i="20"/>
  <c r="AH8" i="20"/>
  <c r="AH9" i="20"/>
  <c r="AH10" i="20"/>
  <c r="AH11" i="20"/>
  <c r="AH7" i="18"/>
  <c r="AH8" i="18"/>
  <c r="AH9" i="18"/>
  <c r="AH10" i="18"/>
  <c r="AH11" i="18"/>
  <c r="AD12" i="15"/>
  <c r="AE12" i="15"/>
  <c r="AF12" i="15"/>
  <c r="AG12" i="15"/>
  <c r="AE12" i="25"/>
  <c r="AF12" i="25"/>
  <c r="AG12" i="25"/>
  <c r="AE12" i="24"/>
  <c r="AF12" i="24"/>
  <c r="AG12" i="24"/>
  <c r="AE12" i="23"/>
  <c r="AF12" i="23"/>
  <c r="AG12" i="23"/>
  <c r="AF12" i="22"/>
  <c r="AG12" i="22"/>
  <c r="AF12" i="21"/>
  <c r="AG12" i="21"/>
  <c r="AF12" i="20"/>
  <c r="AG12" i="20"/>
  <c r="AF12" i="19"/>
  <c r="AG12" i="19"/>
  <c r="AG12" i="18"/>
  <c r="AF12" i="18"/>
  <c r="AF12" i="17"/>
  <c r="AG12" i="17"/>
  <c r="AH9" i="4" l="1"/>
  <c r="AH10" i="4"/>
  <c r="AF5" i="25" l="1"/>
  <c r="AE5" i="25"/>
  <c r="AD5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AD12" i="25"/>
  <c r="AC12" i="25"/>
  <c r="AB12" i="25"/>
  <c r="AA12" i="25"/>
  <c r="Z12" i="25"/>
  <c r="Y12" i="25"/>
  <c r="X12" i="25"/>
  <c r="W12" i="25"/>
  <c r="V12" i="25"/>
  <c r="U12" i="25"/>
  <c r="T12" i="25"/>
  <c r="S12" i="25"/>
  <c r="R12" i="25"/>
  <c r="Q12" i="25"/>
  <c r="P12" i="25"/>
  <c r="O12" i="25"/>
  <c r="N12" i="25"/>
  <c r="M12" i="25"/>
  <c r="L12" i="25"/>
  <c r="K12" i="25"/>
  <c r="J12" i="25"/>
  <c r="I12" i="25"/>
  <c r="H12" i="25"/>
  <c r="G12" i="25"/>
  <c r="F12" i="25"/>
  <c r="E12" i="25"/>
  <c r="D12" i="25"/>
  <c r="C12" i="25"/>
  <c r="AH4" i="25"/>
  <c r="B1" i="25"/>
  <c r="AG5" i="24"/>
  <c r="AF5" i="24"/>
  <c r="AE5" i="24"/>
  <c r="AD5" i="24"/>
  <c r="AC5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AD12" i="24"/>
  <c r="AC12" i="24"/>
  <c r="AB12" i="24"/>
  <c r="AA12" i="24"/>
  <c r="Z12" i="24"/>
  <c r="Y12" i="24"/>
  <c r="X12" i="24"/>
  <c r="W12" i="24"/>
  <c r="V12" i="24"/>
  <c r="U12" i="24"/>
  <c r="T12" i="24"/>
  <c r="S12" i="24"/>
  <c r="R12" i="24"/>
  <c r="Q12" i="24"/>
  <c r="P12" i="24"/>
  <c r="O12" i="24"/>
  <c r="N12" i="24"/>
  <c r="M12" i="24"/>
  <c r="L12" i="24"/>
  <c r="K12" i="24"/>
  <c r="J12" i="24"/>
  <c r="I12" i="24"/>
  <c r="H12" i="24"/>
  <c r="G12" i="24"/>
  <c r="F12" i="24"/>
  <c r="E12" i="24"/>
  <c r="D12" i="24"/>
  <c r="C12" i="24"/>
  <c r="AH11" i="24"/>
  <c r="AH10" i="24"/>
  <c r="AH9" i="24"/>
  <c r="AH8" i="24"/>
  <c r="AH7" i="24"/>
  <c r="AH4" i="24"/>
  <c r="B1" i="24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AD12" i="23"/>
  <c r="AC12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AH12" i="23"/>
  <c r="AH4" i="23"/>
  <c r="B1" i="23"/>
  <c r="AG5" i="22"/>
  <c r="AF5" i="22"/>
  <c r="AE5" i="22"/>
  <c r="AD5" i="22"/>
  <c r="AC5" i="22"/>
  <c r="AB5" i="22"/>
  <c r="AA5" i="22"/>
  <c r="Z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AH11" i="22"/>
  <c r="AH10" i="22"/>
  <c r="AH9" i="22"/>
  <c r="AH8" i="22"/>
  <c r="AH7" i="22"/>
  <c r="AH4" i="22"/>
  <c r="B1" i="22"/>
  <c r="AG5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AH11" i="21"/>
  <c r="AH10" i="21"/>
  <c r="AH9" i="21"/>
  <c r="AH8" i="21"/>
  <c r="AH7" i="21"/>
  <c r="AH4" i="21"/>
  <c r="B1" i="21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AH4" i="20"/>
  <c r="B1" i="20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AE12" i="19"/>
  <c r="AD12" i="19"/>
  <c r="AC12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AH11" i="19"/>
  <c r="AH10" i="19"/>
  <c r="AH9" i="19"/>
  <c r="AH8" i="19"/>
  <c r="AH7" i="19"/>
  <c r="AH4" i="19"/>
  <c r="B1" i="19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AH12" i="18"/>
  <c r="AH4" i="18"/>
  <c r="B1" i="18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AE12" i="17"/>
  <c r="AD12" i="17"/>
  <c r="AC12" i="17"/>
  <c r="AB12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AH11" i="17"/>
  <c r="AH10" i="17"/>
  <c r="AH9" i="17"/>
  <c r="AH8" i="17"/>
  <c r="AH7" i="17"/>
  <c r="AH4" i="17"/>
  <c r="B1" i="17"/>
  <c r="B1" i="15"/>
  <c r="B1" i="5"/>
  <c r="AH12" i="21" l="1"/>
  <c r="AH12" i="17"/>
  <c r="AH12" i="22"/>
  <c r="AH12" i="25"/>
  <c r="AH12" i="20"/>
  <c r="AH12" i="19"/>
  <c r="AH12" i="24"/>
  <c r="AB5" i="5"/>
  <c r="AH4" i="5" l="1"/>
  <c r="AH4" i="15" l="1"/>
  <c r="C12" i="4" l="1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7" i="15" l="1"/>
  <c r="AH8" i="15"/>
  <c r="AH9" i="15"/>
  <c r="AH10" i="15"/>
  <c r="AH11" i="15"/>
  <c r="AH12" i="15" l="1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Z12" i="15"/>
  <c r="AA12" i="15"/>
  <c r="AB12" i="15"/>
  <c r="AC12" i="15"/>
  <c r="AG5" i="15" l="1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AH11" i="5" l="1"/>
  <c r="AH10" i="5"/>
  <c r="AH9" i="5"/>
  <c r="AH11" i="4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AH8" i="5"/>
  <c r="AH7" i="5"/>
  <c r="AE5" i="5"/>
  <c r="AD5" i="5"/>
  <c r="AC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H12" i="5" l="1"/>
  <c r="AH7" i="4"/>
  <c r="AH8" i="4"/>
  <c r="AH12" i="4" l="1"/>
  <c r="AE5" i="4"/>
  <c r="AA5" i="4"/>
  <c r="W5" i="4"/>
  <c r="O5" i="4"/>
  <c r="G5" i="4"/>
  <c r="AD5" i="4"/>
  <c r="Z5" i="4"/>
  <c r="R5" i="4"/>
  <c r="N5" i="4"/>
  <c r="F5" i="4"/>
  <c r="M5" i="4"/>
  <c r="AG5" i="4"/>
  <c r="AC5" i="4"/>
  <c r="Y5" i="4"/>
  <c r="S5" i="4"/>
  <c r="K5" i="4"/>
  <c r="E5" i="4"/>
  <c r="AF5" i="4"/>
  <c r="AB5" i="4"/>
  <c r="X5" i="4"/>
  <c r="T5" i="4"/>
  <c r="P5" i="4"/>
  <c r="L5" i="4"/>
  <c r="H5" i="4"/>
  <c r="D5" i="4"/>
  <c r="Q5" i="4"/>
  <c r="I5" i="4"/>
  <c r="C5" i="4"/>
  <c r="V5" i="4"/>
  <c r="J5" i="4"/>
  <c r="U5" i="4"/>
</calcChain>
</file>

<file path=xl/sharedStrings.xml><?xml version="1.0" encoding="utf-8"?>
<sst xmlns="http://schemas.openxmlformats.org/spreadsheetml/2006/main" count="643" uniqueCount="64">
  <si>
    <t>Kunci Jenis Absen</t>
  </si>
  <si>
    <t>Januari</t>
  </si>
  <si>
    <t>Nama Karyawan</t>
  </si>
  <si>
    <t>Karyawan 1</t>
  </si>
  <si>
    <t>Karyawan 2</t>
  </si>
  <si>
    <t>Karyawan 3</t>
  </si>
  <si>
    <t>Karyawan 4</t>
  </si>
  <si>
    <t>Karyawan 5</t>
  </si>
  <si>
    <t>L</t>
  </si>
  <si>
    <t>Tanggal Absen</t>
  </si>
  <si>
    <t>1</t>
  </si>
  <si>
    <t>Liburan</t>
  </si>
  <si>
    <t>2</t>
  </si>
  <si>
    <t>3</t>
  </si>
  <si>
    <t>P</t>
  </si>
  <si>
    <t>4</t>
  </si>
  <si>
    <t>S</t>
  </si>
  <si>
    <t>5</t>
  </si>
  <si>
    <t>Pribadi</t>
  </si>
  <si>
    <t>6</t>
  </si>
  <si>
    <t>7</t>
  </si>
  <si>
    <t>8</t>
  </si>
  <si>
    <t>9</t>
  </si>
  <si>
    <t>Sakit</t>
  </si>
  <si>
    <t>10</t>
  </si>
  <si>
    <t>11</t>
  </si>
  <si>
    <t>12</t>
  </si>
  <si>
    <t>Kustom 1</t>
  </si>
  <si>
    <t>13</t>
  </si>
  <si>
    <t>14</t>
  </si>
  <si>
    <t>15</t>
  </si>
  <si>
    <t>16</t>
  </si>
  <si>
    <t>Kustom 2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</si>
  <si>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</si>
  <si>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</si>
  <si>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</si>
  <si>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</si>
  <si>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</si>
  <si>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</si>
  <si>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</si>
  <si>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</si>
  <si>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</si>
  <si>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</si>
  <si>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</si>
  <si>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</si>
  <si>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</si>
  <si>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 xml:space="preserve">30 </t>
  </si>
  <si>
    <t>31</t>
  </si>
  <si>
    <t>Masukkan tahun:</t>
  </si>
  <si>
    <t>Total Hari</t>
  </si>
  <si>
    <t>Februari</t>
  </si>
  <si>
    <t xml:space="preserve"> </t>
  </si>
  <si>
    <t xml:space="preserve">  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</si>
  <si>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</si>
  <si>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</si>
  <si>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</si>
  <si>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</si>
  <si>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</si>
  <si>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</si>
  <si>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</si>
  <si>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</si>
  <si>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</si>
  <si>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</si>
  <si>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Jadwal Absen E-POSTES Karyawan PT. PRATAMA 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</si>
</sst>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3" formatCode="_(* #,##0.00_);_(* \(#,##0.00\);_(* &quot;-&quot;??_);_(@_)"/>
    <numFmt numFmtId="164" formatCode="_-&quot;Rp&quot;* #,##0_-;\-&quot;Rp&quot;* #,##0_-;_-&quot;Rp&quot;* &quot;-&quot;_-;_-@_-"/>
    <numFmt numFmtId="165" formatCode="_-&quot;Rp&quot;* #,##0.00_-;\-&quot;Rp&quot;* #,##0.00_-;_-&quot;Rp&quot;* &quot;-&quot;??_-;_-@_-"/>
    <numFmt numFmtId="166" formatCode="0;0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 tint="-0.24994659260841701"/>
      <name val="Calibri"/>
      <family val="2"/>
      <scheme val="major"/>
    </font>
    <font>
      <b/>
      <sz val="18"/>
      <color theme="4" tint="-0.24994659260841701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8E3E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horizontal="left" vertical="center"/>
    </xf>
    <xf numFmtId="0" fontId="6" fillId="0" borderId="0" applyNumberFormat="0" applyFill="0" applyBorder="0" applyProtection="0">
      <alignment vertical="top"/>
    </xf>
    <xf numFmtId="0" fontId="4" fillId="0" borderId="0" applyNumberFormat="0" applyFill="0" applyBorder="0" applyProtection="0">
      <alignment vertical="top"/>
    </xf>
    <xf numFmtId="0" fontId="5" fillId="2" borderId="0" applyNumberFormat="0" applyBorder="0" applyProtection="0">
      <alignment horizontal="center" vertical="center"/>
    </xf>
    <xf numFmtId="0" fontId="2" fillId="20" borderId="0" applyNumberFormat="0" applyProtection="0">
      <alignment horizontal="right" vertical="center" indent="1"/>
    </xf>
    <xf numFmtId="0" fontId="1" fillId="0" borderId="0" applyNumberFormat="0" applyFill="0" applyBorder="0" applyProtection="0">
      <alignment horizontal="left" vertical="center" indent="2"/>
    </xf>
    <xf numFmtId="0" fontId="3" fillId="3" borderId="0" applyNumberFormat="0" applyBorder="0" applyAlignment="0" applyProtection="0"/>
    <xf numFmtId="0" fontId="1" fillId="4" borderId="0" applyNumberFormat="0" applyBorder="0" applyProtection="0">
      <alignment horizontal="center" vertical="center"/>
    </xf>
    <xf numFmtId="0" fontId="2" fillId="9" borderId="0" applyNumberFormat="0" applyBorder="0" applyAlignment="0" applyProtection="0"/>
    <xf numFmtId="0" fontId="1" fillId="5" borderId="0" applyNumberFormat="0" applyBorder="0" applyAlignment="0" applyProtection="0"/>
    <xf numFmtId="0" fontId="3" fillId="7" borderId="0" applyNumberFormat="0" applyBorder="0" applyAlignment="0" applyProtection="0"/>
    <xf numFmtId="0" fontId="1" fillId="6" borderId="0" applyNumberFormat="0" applyBorder="0" applyAlignment="0" applyProtection="0"/>
    <xf numFmtId="0" fontId="2" fillId="15" borderId="0" applyNumberFormat="0" applyBorder="0" applyAlignment="0" applyProtection="0"/>
    <xf numFmtId="0" fontId="1" fillId="8" borderId="0" applyNumberFormat="0" applyBorder="0" applyAlignment="0" applyProtection="0"/>
    <xf numFmtId="0" fontId="3" fillId="15" borderId="0" applyNumberFormat="0" applyBorder="0" applyAlignment="0" applyProtection="0"/>
    <xf numFmtId="0" fontId="1" fillId="18" borderId="0" applyNumberFormat="0" applyBorder="0" applyAlignment="0" applyProtection="0"/>
    <xf numFmtId="0" fontId="2" fillId="17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1" fillId="2" borderId="0" applyNumberFormat="0" applyBorder="0" applyAlignment="0" applyProtection="0"/>
    <xf numFmtId="0" fontId="2" fillId="12" borderId="0" applyNumberFormat="0" applyBorder="0" applyProtection="0">
      <alignment horizontal="left" vertical="center" indent="1"/>
    </xf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1" fontId="1" fillId="0" borderId="0" applyFill="0" applyBorder="0" applyProtection="0">
      <alignment horizontal="center" vertical="center"/>
    </xf>
    <xf numFmtId="0" fontId="1" fillId="0" borderId="0" applyNumberFormat="0" applyFill="0" applyBorder="0">
      <alignment horizontal="left" vertical="center" wrapText="1" indent="2"/>
    </xf>
    <xf numFmtId="0" fontId="7" fillId="0" borderId="0">
      <alignment horizontal="center"/>
    </xf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21" borderId="0" applyNumberFormat="0" applyBorder="0" applyAlignment="0" applyProtection="0"/>
    <xf numFmtId="0" fontId="10" fillId="22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1" applyNumberFormat="0" applyAlignment="0" applyProtection="0"/>
    <xf numFmtId="0" fontId="13" fillId="25" borderId="2" applyNumberFormat="0" applyAlignment="0" applyProtection="0"/>
    <xf numFmtId="0" fontId="14" fillId="25" borderId="1" applyNumberFormat="0" applyAlignment="0" applyProtection="0"/>
    <xf numFmtId="0" fontId="15" fillId="0" borderId="3" applyNumberFormat="0" applyFill="0" applyAlignment="0" applyProtection="0"/>
    <xf numFmtId="0" fontId="16" fillId="26" borderId="4" applyNumberFormat="0" applyAlignment="0" applyProtection="0"/>
    <xf numFmtId="0" fontId="17" fillId="0" borderId="0" applyNumberFormat="0" applyFill="0" applyBorder="0" applyAlignment="0" applyProtection="0"/>
    <xf numFmtId="0" fontId="1" fillId="27" borderId="5" applyNumberFormat="0" applyFont="0" applyAlignment="0" applyProtection="0"/>
    <xf numFmtId="0" fontId="18" fillId="0" borderId="0" applyNumberFormat="0" applyFill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>
      <alignment horizontal="left" vertical="center"/>
    </xf>
    <xf numFmtId="0" fontId="1" fillId="0" borderId="0" xfId="26">
      <alignment horizontal="left" vertical="center" wrapText="1" indent="2"/>
    </xf>
    <xf numFmtId="0" fontId="0" fillId="0" borderId="0" xfId="0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2" fillId="15" borderId="0" xfId="12" applyAlignment="1" applyProtection="1">
      <alignment horizontal="center" vertical="center"/>
    </xf>
    <xf numFmtId="0" fontId="2" fillId="10" borderId="0" xfId="19" applyAlignment="1" applyProtection="1">
      <alignment horizontal="center" vertical="center"/>
    </xf>
    <xf numFmtId="0" fontId="2" fillId="13" borderId="0" xfId="23" applyFont="1" applyAlignment="1" applyProtection="1">
      <alignment horizontal="center" vertical="center"/>
    </xf>
    <xf numFmtId="166" fontId="2" fillId="9" borderId="0" xfId="8" applyNumberFormat="1" applyFont="1" applyAlignment="1" applyProtection="1">
      <alignment horizontal="center" vertical="center"/>
    </xf>
    <xf numFmtId="166" fontId="2" fillId="14" borderId="0" xfId="24" applyNumberFormat="1" applyFont="1" applyAlignment="1" applyProtection="1">
      <alignment horizontal="center" vertical="center"/>
    </xf>
    <xf numFmtId="0" fontId="1" fillId="0" borderId="0" xfId="26" applyFill="1" applyBorder="1">
      <alignment horizontal="left" vertical="center" wrapText="1" indent="2"/>
    </xf>
    <xf numFmtId="1" fontId="1" fillId="0" borderId="0" xfId="25" applyFill="1" applyBorder="1" applyProtection="1">
      <alignment horizontal="center" vertical="center"/>
    </xf>
    <xf numFmtId="0" fontId="0" fillId="0" borderId="0" xfId="0" applyProtection="1">
      <alignment horizontal="left" vertical="center"/>
    </xf>
    <xf numFmtId="0" fontId="5" fillId="2" borderId="0" xfId="3" applyProtection="1">
      <alignment horizontal="center" vertical="center"/>
    </xf>
    <xf numFmtId="166" fontId="0" fillId="0" borderId="0" xfId="0" applyNumberFormat="1" applyFont="1" applyFill="1" applyBorder="1" applyAlignment="1" applyProtection="1">
      <alignment horizontal="center" vertical="center"/>
    </xf>
    <xf numFmtId="0" fontId="6" fillId="0" borderId="0" xfId="1" applyAlignment="1" applyProtection="1">
      <alignment vertical="top"/>
    </xf>
    <xf numFmtId="0" fontId="1" fillId="2" borderId="0" xfId="21" applyBorder="1" applyAlignment="1" applyProtection="1">
      <alignment horizontal="left" vertical="center" indent="1"/>
    </xf>
    <xf numFmtId="0" fontId="0" fillId="0" borderId="0" xfId="21" applyFont="1" applyFill="1" applyBorder="1" applyAlignment="1" applyProtection="1">
      <alignment horizontal="center" vertical="center"/>
    </xf>
    <xf numFmtId="0" fontId="1" fillId="0" borderId="0" xfId="26" applyFill="1" applyBorder="1" applyProtection="1">
      <alignment horizontal="left" vertical="center" wrapText="1" indent="2"/>
    </xf>
    <xf numFmtId="0" fontId="0" fillId="0" borderId="0" xfId="0" applyAlignment="1" applyProtection="1">
      <alignment horizontal="left" vertical="center" wrapText="1"/>
    </xf>
    <xf numFmtId="0" fontId="2" fillId="20" borderId="0" xfId="4" applyProtection="1">
      <alignment horizontal="right" vertical="center" indent="1"/>
    </xf>
    <xf numFmtId="0" fontId="7" fillId="0" borderId="0" xfId="27" applyProtection="1">
      <alignment horizontal="center"/>
    </xf>
    <xf numFmtId="0" fontId="0" fillId="0" borderId="0" xfId="0" applyFont="1" applyFill="1" applyBorder="1" applyAlignment="1" applyProtection="1">
      <alignment horizontal="left" vertical="center" indent="1"/>
    </xf>
    <xf numFmtId="0" fontId="6" fillId="0" borderId="0" xfId="1">
      <alignment vertical="top"/>
    </xf>
    <xf numFmtId="0" fontId="8" fillId="0" borderId="0" xfId="0" applyFont="1" applyFill="1" applyBorder="1" applyAlignment="1" applyProtection="1">
      <alignment horizontal="center" vertical="center"/>
    </xf>
    <xf numFmtId="0" fontId="5" fillId="2" borderId="0" xfId="3" applyProtection="1">
      <alignment horizontal="center" vertical="center"/>
    </xf>
    <xf numFmtId="0" fontId="1" fillId="2" borderId="0" xfId="21" applyAlignment="1" applyProtection="1">
      <alignment horizontal="left" vertical="center"/>
    </xf>
  </cellXfs>
  <cellStyles count="49">
    <cellStyle name="20% - Accent1" xfId="15" builtinId="30" customBuiltin="1"/>
    <cellStyle name="20% - Accent2" xfId="44" builtinId="34" customBuiltin="1"/>
    <cellStyle name="20% - Accent3" xfId="21" builtinId="38" customBuiltin="1"/>
    <cellStyle name="20% - Accent4" xfId="7" builtinId="42" customBuiltin="1"/>
    <cellStyle name="20% - Accent5" xfId="47" builtinId="46" customBuiltin="1"/>
    <cellStyle name="20% - Accent6" xfId="11" builtinId="50" customBuiltin="1"/>
    <cellStyle name="40% - Accent1" xfId="16" builtinId="31" customBuiltin="1"/>
    <cellStyle name="40% - Accent2" xfId="19" builtinId="35" customBuiltin="1"/>
    <cellStyle name="40% - Accent3" xfId="22" builtinId="39" customBuiltin="1"/>
    <cellStyle name="40% - Accent4" xfId="8" builtinId="43" customBuiltin="1"/>
    <cellStyle name="40% - Accent5" xfId="24" builtinId="47" customBuiltin="1"/>
    <cellStyle name="40% - Accent6" xfId="12" builtinId="51" customBuiltin="1"/>
    <cellStyle name="60% - Accent1" xfId="17" builtinId="32" customBuiltin="1"/>
    <cellStyle name="60% - Accent2" xfId="45" builtinId="36" customBuiltin="1"/>
    <cellStyle name="60% - Accent3" xfId="23" builtinId="40" customBuiltin="1"/>
    <cellStyle name="60% - Accent4" xfId="9" builtinId="44" customBuiltin="1"/>
    <cellStyle name="60% - Accent5" xfId="48" builtinId="48" customBuiltin="1"/>
    <cellStyle name="60% - Accent6" xfId="13" builtinId="52" customBuiltin="1"/>
    <cellStyle name="Accent1" xfId="14" builtinId="29" customBuiltin="1"/>
    <cellStyle name="Accent2" xfId="18" builtinId="33" customBuiltin="1"/>
    <cellStyle name="Accent3" xfId="20" builtinId="37" customBuiltin="1"/>
    <cellStyle name="Accent4" xfId="6" builtinId="41" customBuiltin="1"/>
    <cellStyle name="Accent5" xfId="46" builtinId="45" customBuiltin="1"/>
    <cellStyle name="Accent6" xfId="10" builtinId="49" customBuiltin="1"/>
    <cellStyle name="Bad" xfId="34" builtinId="27" customBuiltin="1"/>
    <cellStyle name="Calculation" xfId="38" builtinId="22" customBuiltin="1"/>
    <cellStyle name="Check Cell" xfId="40" builtinId="23" customBuiltin="1"/>
    <cellStyle name="Comma" xfId="28" builtinId="3" customBuiltin="1"/>
    <cellStyle name="Comma [0]" xfId="29" builtinId="6" customBuiltin="1"/>
    <cellStyle name="Currency" xfId="30" builtinId="4" customBuiltin="1"/>
    <cellStyle name="Currency [0]" xfId="31" builtinId="7" customBuiltin="1"/>
    <cellStyle name="Explanatory Text" xfId="43" builtinId="53" customBuiltin="1"/>
    <cellStyle name="Good" xfId="33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36" builtinId="20" customBuiltin="1"/>
    <cellStyle name="Karyawan" xfId="26"/>
    <cellStyle name="Label" xfId="27"/>
    <cellStyle name="Linked Cell" xfId="39" builtinId="24" customBuiltin="1"/>
    <cellStyle name="Neutral" xfId="35" builtinId="28" customBuiltin="1"/>
    <cellStyle name="Normal" xfId="0" builtinId="0" customBuiltin="1"/>
    <cellStyle name="Note" xfId="42" builtinId="10" customBuiltin="1"/>
    <cellStyle name="Output" xfId="37" builtinId="21" customBuiltin="1"/>
    <cellStyle name="Percent" xfId="32" builtinId="5" customBuiltin="1"/>
    <cellStyle name="Title" xfId="1" builtinId="15" customBuiltin="1"/>
    <cellStyle name="Total" xfId="25" builtinId="25" customBuiltin="1"/>
    <cellStyle name="Warning Text" xfId="41" builtinId="11" customBuiltin="1"/>
  </cellStyles>
  <dxfs count="90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border>
        <vertical/>
        <horizontal/>
      </border>
    </dxf>
    <dxf>
      <font>
        <b val="0"/>
        <i val="0"/>
        <color theme="3"/>
      </font>
      <border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6795556505021"/>
        </top>
        <bottom style="medium">
          <color theme="2" tint="-0.499984740745262"/>
        </bottom>
        <vertical/>
        <horizontal/>
      </border>
    </dxf>
    <dxf>
      <font>
        <color theme="1"/>
      </font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3743705557422"/>
        </top>
        <bottom style="medium">
          <color theme="2" tint="-0.499984740745262"/>
        </bottom>
        <vertical/>
        <horizontal style="thin">
          <color theme="0" tint="-0.14993743705557422"/>
        </horizontal>
      </border>
    </dxf>
    <dxf>
      <font>
        <color theme="1"/>
      </font>
      <fill>
        <patternFill patternType="solid">
          <bgColor theme="2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4.9989318521683403E-2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0.14996795556505021"/>
        </patternFill>
      </fill>
    </dxf>
    <dxf>
      <fill>
        <patternFill patternType="solid">
          <fgColor theme="4" tint="0.79992065187536243"/>
          <bgColor theme="0" tint="-4.9989318521683403E-2"/>
        </patternFill>
      </fill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  <dxf>
      <font>
        <color theme="1"/>
      </font>
      <fill>
        <patternFill patternType="none">
          <bgColor auto="1"/>
        </patternFill>
      </fill>
      <border>
        <left/>
        <right/>
        <top style="thin">
          <color theme="2" tint="-9.9917600024414813E-2"/>
        </top>
        <bottom style="thin">
          <color theme="2" tint="-9.9948118533890809E-2"/>
        </bottom>
        <vertical/>
        <horizontal style="thin">
          <color theme="2" tint="-9.9917600024414813E-2"/>
        </horizontal>
      </border>
    </dxf>
    <dxf>
      <font>
        <color theme="1"/>
      </font>
      <fill>
        <patternFill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  <vertical style="thin">
          <color theme="0"/>
        </vertical>
        <horizontal/>
      </border>
    </dxf>
    <dxf>
      <font>
        <color theme="0"/>
      </font>
      <fill>
        <patternFill>
          <bgColor theme="3"/>
        </patternFill>
      </fill>
    </dxf>
    <dxf>
      <font>
        <color theme="1"/>
      </font>
      <border diagonalUp="0" diagonalDown="0">
        <left/>
        <right/>
        <top/>
        <bottom/>
        <vertical style="thin">
          <color theme="0"/>
        </vertical>
        <horizontal/>
      </border>
    </dxf>
  </dxfs>
  <tableStyles count="1" defaultPivotStyle="PivotStyleLight16">
    <tableStyle name="Tabel Absensi Karyawan" pivot="0" count="13">
      <tableStyleElement type="wholeTable" dxfId="901"/>
      <tableStyleElement type="headerRow" dxfId="900"/>
      <tableStyleElement type="totalRow" dxfId="899"/>
      <tableStyleElement type="firstColumn" dxfId="898"/>
      <tableStyleElement type="lastColumn" dxfId="897"/>
      <tableStyleElement type="firstRowStripe" dxfId="896"/>
      <tableStyleElement type="secondRowStripe" dxfId="895"/>
      <tableStyleElement type="firstColumnStripe" dxfId="894"/>
      <tableStyleElement type="secondColumnStripe" dxfId="893"/>
      <tableStyleElement type="firstHeaderCell" dxfId="892"/>
      <tableStyleElement type="lastHeaderCell" dxfId="891"/>
      <tableStyleElement type="firstTotalCell" dxfId="890"/>
      <tableStyleElement type="lastTotalCell" dxfId="88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Januari" displayName="Januari" ref="B6:AH12" totalsRowCount="1" headerRowDxfId="883" dataDxfId="882" totalsRowDxfId="881">
  <autoFilter ref="B6:AH1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</autoFilter>
  <tableColumns count="33">
    <tableColumn id="1" name="Nama Karyawan" totalsRowFunction="custom" dataDxfId="880" totalsRowDxfId="879" dataCellStyle="Karyawan">
      <totalsRowFormula>"Total "&amp;NamaBulan</totalsRowFormula>
    </tableColumn>
    <tableColumn id="2" name="1" totalsRowFunction="custom" dataDxfId="878" totalsRowDxfId="877">
      <totalsRowFormula>SUBTOTAL(103,Januari!$C$7:$C$11)</totalsRowFormula>
    </tableColumn>
    <tableColumn id="3" name="2" totalsRowFunction="custom" dataDxfId="876" totalsRowDxfId="875">
      <totalsRowFormula>SUBTOTAL(103,Januari!$D$7:$D$11)</totalsRowFormula>
    </tableColumn>
    <tableColumn id="4" name="3" totalsRowFunction="custom" dataDxfId="874" totalsRowDxfId="873">
      <totalsRowFormula>SUBTOTAL(103,Januari!$E$7:$E$11)</totalsRowFormula>
    </tableColumn>
    <tableColumn id="5" name="4" totalsRowFunction="custom" dataDxfId="872" totalsRowDxfId="871">
      <totalsRowFormula>SUBTOTAL(103,Januari!$F$7:$F$11)</totalsRowFormula>
    </tableColumn>
    <tableColumn id="6" name="5" totalsRowFunction="custom" totalsRowDxfId="870">
      <totalsRowFormula>SUBTOTAL(103,Januari!$G$7:$G$11)</totalsRowFormula>
    </tableColumn>
    <tableColumn id="7" name="6" totalsRowFunction="custom" dataDxfId="869" totalsRowDxfId="868">
      <totalsRowFormula>SUBTOTAL(103,Januari!$H$7:$H$11)</totalsRowFormula>
    </tableColumn>
    <tableColumn id="8" name="7" totalsRowFunction="custom" dataDxfId="867" totalsRowDxfId="866">
      <totalsRowFormula>SUBTOTAL(103,Januari!$I$7:$I$11)</totalsRowFormula>
    </tableColumn>
    <tableColumn id="9" name="8" totalsRowFunction="custom" dataDxfId="865" totalsRowDxfId="864">
      <totalsRowFormula>SUBTOTAL(103,Januari!$J$7:$J$11)</totalsRowFormula>
    </tableColumn>
    <tableColumn id="10" name="9" totalsRowFunction="custom" dataDxfId="863" totalsRowDxfId="862">
      <totalsRowFormula>SUBTOTAL(103,Januari!$K$7:$K$11)</totalsRowFormula>
    </tableColumn>
    <tableColumn id="11" name="10" totalsRowFunction="custom" dataDxfId="861" totalsRowDxfId="860">
      <totalsRowFormula>SUBTOTAL(103,Januari!$L$7:$L$11)</totalsRowFormula>
    </tableColumn>
    <tableColumn id="12" name="11" totalsRowFunction="custom" dataDxfId="859" totalsRowDxfId="858">
      <totalsRowFormula>SUBTOTAL(103,Januari!$M$7:$M$11)</totalsRowFormula>
    </tableColumn>
    <tableColumn id="13" name="12" totalsRowFunction="custom" dataDxfId="857" totalsRowDxfId="856">
      <totalsRowFormula>SUBTOTAL(103,Januari!$N$7:$N$11)</totalsRowFormula>
    </tableColumn>
    <tableColumn id="14" name="13" totalsRowFunction="custom" dataDxfId="855" totalsRowDxfId="854">
      <totalsRowFormula>SUBTOTAL(103,Januari!$O$7:$O$11)</totalsRowFormula>
    </tableColumn>
    <tableColumn id="15" name="14" totalsRowFunction="custom" dataDxfId="853" totalsRowDxfId="852">
      <totalsRowFormula>SUBTOTAL(103,Januari!$P$7:$P$11)</totalsRowFormula>
    </tableColumn>
    <tableColumn id="16" name="15" totalsRowFunction="custom" dataDxfId="851" totalsRowDxfId="850">
      <totalsRowFormula>SUBTOTAL(103,Januari!$Q$7:$Q$11)</totalsRowFormula>
    </tableColumn>
    <tableColumn id="17" name="16" totalsRowFunction="custom" dataDxfId="849" totalsRowDxfId="848">
      <totalsRowFormula>SUBTOTAL(103,Januari!$R$7:$R$11)</totalsRowFormula>
    </tableColumn>
    <tableColumn id="18" name="17" totalsRowFunction="custom" dataDxfId="847" totalsRowDxfId="846">
      <totalsRowFormula>SUBTOTAL(103,Januari!$S$7:$S$11)</totalsRowFormula>
    </tableColumn>
    <tableColumn id="19" name="18" totalsRowFunction="custom" dataDxfId="845" totalsRowDxfId="844">
      <totalsRowFormula>SUBTOTAL(103,Januari!$T$7:$T$11)</totalsRowFormula>
    </tableColumn>
    <tableColumn id="20" name="19" totalsRowFunction="custom" dataDxfId="843" totalsRowDxfId="842">
      <totalsRowFormula>SUBTOTAL(103,Januari!$U$7:$U$11)</totalsRowFormula>
    </tableColumn>
    <tableColumn id="21" name="20" totalsRowFunction="custom" dataDxfId="841" totalsRowDxfId="840">
      <totalsRowFormula>SUBTOTAL(103,Januari!$V$7:$V$11)</totalsRowFormula>
    </tableColumn>
    <tableColumn id="22" name="21" totalsRowFunction="custom" dataDxfId="839" totalsRowDxfId="838">
      <totalsRowFormula>SUBTOTAL(103,Januari!$W$7:$W$11)</totalsRowFormula>
    </tableColumn>
    <tableColumn id="23" name="22" totalsRowFunction="custom" dataDxfId="837" totalsRowDxfId="836">
      <totalsRowFormula>SUBTOTAL(103,Januari!$X$7:$X$11)</totalsRowFormula>
    </tableColumn>
    <tableColumn id="24" name="23" totalsRowFunction="custom" dataDxfId="835" totalsRowDxfId="834">
      <totalsRowFormula>SUBTOTAL(103,Januari!$Y$7:$Y$11)</totalsRowFormula>
    </tableColumn>
    <tableColumn id="25" name="24" totalsRowFunction="custom" dataDxfId="833" totalsRowDxfId="832">
      <totalsRowFormula>SUBTOTAL(103,Januari!$Z$7:$Z$11)</totalsRowFormula>
    </tableColumn>
    <tableColumn id="26" name="25" totalsRowFunction="custom" dataDxfId="831" totalsRowDxfId="830">
      <totalsRowFormula>SUBTOTAL(103,Januari!$AA$7:$AA$11)</totalsRowFormula>
    </tableColumn>
    <tableColumn id="27" name="26" totalsRowFunction="custom" dataDxfId="829" totalsRowDxfId="828">
      <totalsRowFormula>SUBTOTAL(103,Januari!$AB$7:$AB$11)</totalsRowFormula>
    </tableColumn>
    <tableColumn id="28" name="27" totalsRowFunction="custom" dataDxfId="827" totalsRowDxfId="826">
      <totalsRowFormula>SUBTOTAL(103,Januari!$AC$7:$AC$11)</totalsRowFormula>
    </tableColumn>
    <tableColumn id="29" name="28" totalsRowFunction="custom" dataDxfId="825" totalsRowDxfId="824">
      <totalsRowFormula>SUBTOTAL(103,Januari!$AD$7:$AD$11)</totalsRowFormula>
    </tableColumn>
    <tableColumn id="30" name="29" totalsRowFunction="custom" dataDxfId="823" totalsRowDxfId="822">
      <totalsRowFormula>SUBTOTAL(103,Januari!$AE$7:$AE$11)</totalsRowFormula>
    </tableColumn>
    <tableColumn id="31" name="30 " totalsRowFunction="custom" dataDxfId="821" totalsRowDxfId="820">
      <totalsRowFormula>SUBTOTAL(103,Januari!$AF$7:$AF$11)</totalsRowFormula>
    </tableColumn>
    <tableColumn id="32" name="31" totalsRowFunction="custom" dataDxfId="819" totalsRowDxfId="818">
      <totalsRowFormula>SUBTOTAL(103,Januari!$AG$7:$AG$11)</totalsRowFormula>
    </tableColumn>
    <tableColumn id="33" name="Total Hari" totalsRowFunction="sum" dataDxfId="817" totalsRowDxfId="816">
      <calculatedColumnFormula>COUNTA(Januari!$C7:$AG7)</calculatedColumnFormula>
    </tableColumn>
  </tableColumns>
  <tableStyleInfo name="Tabel Absensi Karyawan" showFirstColumn="1" showLastColumn="1" showRowStripes="1" showColumnStripes="0"/>
  <extLst>
    <ext xmlns:x14="http://schemas.microsoft.com/office/spreadsheetml/2009/9/main" uri="{504A1905-F514-4f6f-8877-14C23A59335A}">
      <x14:table altTextSummary="Masukkan nama karyawan dan tanggal absensi. Catat tipe absensi menurut simbol dalam baris 12: L= Liburan, S=Sakit, P=Pribadi, dan dua tempat penampung untuk entri kustom"/>
    </ext>
  </extLst>
</table>
</file>

<file path=xl/tables/table10.xml><?xml version="1.0" encoding="utf-8"?>
<table xmlns="http://schemas.openxmlformats.org/spreadsheetml/2006/main" id="21" name="Oktober" displayName="Oktober" ref="B6:AH12" totalsRowCount="1" headerRowDxfId="216" dataDxfId="215" totalsRowDxfId="214">
  <tableColumns count="33">
    <tableColumn id="1" name="Nama Karyawan" totalsRowFunction="custom" dataDxfId="213" totalsRowDxfId="212" dataCellStyle="Karyawan">
      <totalsRowFormula>"Total "&amp;NamaBulan</totalsRowFormula>
    </tableColumn>
    <tableColumn id="2" name="1" totalsRowFunction="count" dataDxfId="211" totalsRowDxfId="210"/>
    <tableColumn id="3" name="2" totalsRowFunction="count" dataDxfId="209" totalsRowDxfId="208"/>
    <tableColumn id="4" name="3" totalsRowFunction="count" dataDxfId="207" totalsRowDxfId="206"/>
    <tableColumn id="5" name="4" totalsRowFunction="count" dataDxfId="205" totalsRowDxfId="204"/>
    <tableColumn id="6" name="5" totalsRowFunction="count" dataDxfId="203" totalsRowDxfId="202"/>
    <tableColumn id="7" name="6" totalsRowFunction="count" dataDxfId="201" totalsRowDxfId="200"/>
    <tableColumn id="8" name="7" totalsRowFunction="count" dataDxfId="199" totalsRowDxfId="198"/>
    <tableColumn id="9" name="8" totalsRowFunction="count" dataDxfId="197" totalsRowDxfId="196"/>
    <tableColumn id="10" name="9" totalsRowFunction="count" dataDxfId="195" totalsRowDxfId="194"/>
    <tableColumn id="11" name="10" totalsRowFunction="count" dataDxfId="193" totalsRowDxfId="192"/>
    <tableColumn id="12" name="11" totalsRowFunction="count" dataDxfId="191" totalsRowDxfId="190"/>
    <tableColumn id="13" name="12" totalsRowFunction="count" dataDxfId="189" totalsRowDxfId="188"/>
    <tableColumn id="14" name="13" totalsRowFunction="count" dataDxfId="187" totalsRowDxfId="186"/>
    <tableColumn id="15" name="14" totalsRowFunction="count" dataDxfId="185" totalsRowDxfId="184"/>
    <tableColumn id="16" name="15" totalsRowFunction="count" dataDxfId="183" totalsRowDxfId="182"/>
    <tableColumn id="17" name="16" totalsRowFunction="count" dataDxfId="181" totalsRowDxfId="180"/>
    <tableColumn id="18" name="17" totalsRowFunction="count" dataDxfId="179" totalsRowDxfId="178"/>
    <tableColumn id="19" name="18" totalsRowFunction="count" dataDxfId="177" totalsRowDxfId="176"/>
    <tableColumn id="20" name="19" totalsRowFunction="count" dataDxfId="175" totalsRowDxfId="174"/>
    <tableColumn id="21" name="20" totalsRowFunction="count" dataDxfId="173" totalsRowDxfId="172"/>
    <tableColumn id="22" name="21" totalsRowFunction="count" dataDxfId="171" totalsRowDxfId="170"/>
    <tableColumn id="23" name="22" totalsRowFunction="count" dataDxfId="169" totalsRowDxfId="168"/>
    <tableColumn id="24" name="23" totalsRowFunction="count" dataDxfId="167" totalsRowDxfId="166"/>
    <tableColumn id="25" name="24" totalsRowFunction="count" dataDxfId="165" totalsRowDxfId="164"/>
    <tableColumn id="26" name="25" totalsRowFunction="count" dataDxfId="163" totalsRowDxfId="162"/>
    <tableColumn id="27" name="26" totalsRowFunction="count" dataDxfId="161" totalsRowDxfId="160"/>
    <tableColumn id="28" name="27" totalsRowFunction="count" dataDxfId="159" totalsRowDxfId="158"/>
    <tableColumn id="29" name="28" totalsRowFunction="count" dataDxfId="157" totalsRowDxfId="156"/>
    <tableColumn id="30" name="29" totalsRowFunction="count" dataDxfId="155" totalsRowDxfId="154"/>
    <tableColumn id="31" name="30 " totalsRowFunction="count" dataDxfId="153" totalsRowDxfId="152"/>
    <tableColumn id="32" name="31" totalsRowFunction="count" dataDxfId="151" totalsRowDxfId="150"/>
    <tableColumn id="33" name="Total Hari" totalsRowFunction="sum" dataDxfId="149" totalsRowDxfId="148">
      <calculatedColumnFormula>COUNTA(Oktober[[#This Row],[1]:[31]])</calculatedColumnFormula>
    </tableColumn>
  </tableColumns>
  <tableStyleInfo name="Tabel Absensi Karyawan" showFirstColumn="1" showLastColumn="1" showRowStripes="1" showColumnStripes="0"/>
  <extLst>
    <ext xmlns:x14="http://schemas.microsoft.com/office/spreadsheetml/2009/9/main" uri="{504A1905-F514-4f6f-8877-14C23A59335A}">
      <x14:table altTextSummary="Masukkan nama karyawan dan tanggal absensi. Catat tipe absensi menurut simbol dalam baris 12: L= Liburan, S=Sakit, P=Pribadi, dan dua tempat penampung untuk entri kustom"/>
    </ext>
  </extLst>
</table>
</file>

<file path=xl/tables/table11.xml><?xml version="1.0" encoding="utf-8"?>
<table xmlns="http://schemas.openxmlformats.org/spreadsheetml/2006/main" id="22" name="November" displayName="November" ref="B6:AH12" totalsRowCount="1" headerRowDxfId="142" dataDxfId="141" totalsRowDxfId="140">
  <tableColumns count="33">
    <tableColumn id="1" name="Nama Karyawan" totalsRowFunction="custom" dataDxfId="139" totalsRowDxfId="138" dataCellStyle="Karyawan">
      <totalsRowFormula>"Total "&amp;NamaBulan</totalsRowFormula>
    </tableColumn>
    <tableColumn id="2" name="1" totalsRowFunction="count" dataDxfId="137" totalsRowDxfId="136"/>
    <tableColumn id="3" name="2" totalsRowFunction="count" dataDxfId="135" totalsRowDxfId="134"/>
    <tableColumn id="4" name="3" totalsRowFunction="count" dataDxfId="133" totalsRowDxfId="132"/>
    <tableColumn id="5" name="4" totalsRowFunction="count" dataDxfId="131" totalsRowDxfId="130"/>
    <tableColumn id="6" name="5" totalsRowFunction="count" dataDxfId="129" totalsRowDxfId="128"/>
    <tableColumn id="7" name="6" totalsRowFunction="count" dataDxfId="127" totalsRowDxfId="126"/>
    <tableColumn id="8" name="7" totalsRowFunction="count" dataDxfId="125" totalsRowDxfId="124"/>
    <tableColumn id="9" name="8" totalsRowFunction="count" dataDxfId="123" totalsRowDxfId="122"/>
    <tableColumn id="10" name="9" totalsRowFunction="count" dataDxfId="121" totalsRowDxfId="120"/>
    <tableColumn id="11" name="10" totalsRowFunction="count" dataDxfId="119" totalsRowDxfId="118"/>
    <tableColumn id="12" name="11" totalsRowFunction="count" dataDxfId="117" totalsRowDxfId="116"/>
    <tableColumn id="13" name="12" totalsRowFunction="count" dataDxfId="115" totalsRowDxfId="114"/>
    <tableColumn id="14" name="13" totalsRowFunction="count" dataDxfId="113" totalsRowDxfId="112"/>
    <tableColumn id="15" name="14" totalsRowFunction="count" dataDxfId="111" totalsRowDxfId="110"/>
    <tableColumn id="16" name="15" totalsRowFunction="count" dataDxfId="109" totalsRowDxfId="108"/>
    <tableColumn id="17" name="16" totalsRowFunction="count" dataDxfId="107" totalsRowDxfId="106"/>
    <tableColumn id="18" name="17" totalsRowFunction="count" dataDxfId="105" totalsRowDxfId="104"/>
    <tableColumn id="19" name="18" totalsRowFunction="count" dataDxfId="103" totalsRowDxfId="102"/>
    <tableColumn id="20" name="19" totalsRowFunction="count" dataDxfId="101" totalsRowDxfId="100"/>
    <tableColumn id="21" name="20" totalsRowFunction="count" dataDxfId="99" totalsRowDxfId="98"/>
    <tableColumn id="22" name="21" totalsRowFunction="count" dataDxfId="97" totalsRowDxfId="96"/>
    <tableColumn id="23" name="22" totalsRowFunction="count" dataDxfId="95" totalsRowDxfId="94"/>
    <tableColumn id="24" name="23" totalsRowFunction="count" dataDxfId="93" totalsRowDxfId="92"/>
    <tableColumn id="25" name="24" totalsRowFunction="count" dataDxfId="91" totalsRowDxfId="90"/>
    <tableColumn id="26" name="25" totalsRowFunction="count" dataDxfId="89" totalsRowDxfId="88"/>
    <tableColumn id="27" name="26" totalsRowFunction="count" dataDxfId="87" totalsRowDxfId="86"/>
    <tableColumn id="28" name="27" totalsRowFunction="count" dataDxfId="85" totalsRowDxfId="84"/>
    <tableColumn id="29" name="28" totalsRowFunction="count" dataDxfId="83" totalsRowDxfId="82"/>
    <tableColumn id="30" name="29" totalsRowFunction="count" dataDxfId="81" totalsRowDxfId="80"/>
    <tableColumn id="31" name="30 " totalsRowFunction="count" dataDxfId="79" totalsRowDxfId="78"/>
    <tableColumn id="32" name=" " totalsRowFunction="count" dataDxfId="77" totalsRowDxfId="76"/>
    <tableColumn id="33" name="Total Hari" totalsRowFunction="sum" dataDxfId="75" totalsRowDxfId="74">
      <calculatedColumnFormula>COUNTA(November[[#This Row],[1]:[30 ]])</calculatedColumnFormula>
    </tableColumn>
  </tableColumns>
  <tableStyleInfo name="Tabel Absensi Karyawan" showFirstColumn="1" showLastColumn="1" showRowStripes="1" showColumnStripes="0"/>
  <extLst>
    <ext xmlns:x14="http://schemas.microsoft.com/office/spreadsheetml/2009/9/main" uri="{504A1905-F514-4f6f-8877-14C23A59335A}">
      <x14:table altTextSummary="Masukkan nama karyawan dan tanggal absensi. Catat tipe absensi menurut simbol dalam baris 12: L= Liburan, S=Sakit, P=Pribadi, dan dua tempat penampung untuk entri kustom"/>
    </ext>
  </extLst>
</table>
</file>

<file path=xl/tables/table12.xml><?xml version="1.0" encoding="utf-8"?>
<table xmlns="http://schemas.openxmlformats.org/spreadsheetml/2006/main" id="12" name="Desember" displayName="Desember" ref="B6:AH12" totalsRowCount="1" headerRowDxfId="68" dataDxfId="67" totalsRowDxfId="66">
  <tableColumns count="33">
    <tableColumn id="1" name="Nama Karyawan" totalsRowFunction="custom" dataDxfId="65" totalsRowDxfId="64" dataCellStyle="Karyawan">
      <totalsRowFormula>"Total "&amp;NamaBulan</totalsRowFormula>
    </tableColumn>
    <tableColumn id="2" name="1" totalsRowFunction="count" dataDxfId="63" totalsRowDxfId="62"/>
    <tableColumn id="3" name="2" totalsRowFunction="count" dataDxfId="61" totalsRowDxfId="60"/>
    <tableColumn id="4" name="3" totalsRowFunction="count" dataDxfId="59" totalsRowDxfId="58"/>
    <tableColumn id="5" name="4" totalsRowFunction="count" dataDxfId="57" totalsRowDxfId="56"/>
    <tableColumn id="6" name="5" totalsRowFunction="count" dataDxfId="55" totalsRowDxfId="54"/>
    <tableColumn id="7" name="6" totalsRowFunction="count" dataDxfId="53" totalsRowDxfId="52"/>
    <tableColumn id="8" name="7" totalsRowFunction="count" dataDxfId="51" totalsRowDxfId="50"/>
    <tableColumn id="9" name="8" totalsRowFunction="count" dataDxfId="49" totalsRowDxfId="48"/>
    <tableColumn id="10" name="9" totalsRowFunction="count" dataDxfId="47" totalsRowDxfId="46"/>
    <tableColumn id="11" name="10" totalsRowFunction="count" dataDxfId="45" totalsRowDxfId="44"/>
    <tableColumn id="12" name="11" totalsRowFunction="count" dataDxfId="43" totalsRowDxfId="42"/>
    <tableColumn id="13" name="12" totalsRowFunction="count" dataDxfId="41" totalsRowDxfId="40"/>
    <tableColumn id="14" name="13" totalsRowFunction="count" dataDxfId="39" totalsRowDxfId="38"/>
    <tableColumn id="15" name="14" totalsRowFunction="count" dataDxfId="37" totalsRowDxfId="36"/>
    <tableColumn id="16" name="15" totalsRowFunction="count" dataDxfId="35" totalsRowDxfId="34"/>
    <tableColumn id="17" name="16" totalsRowFunction="count" dataDxfId="33" totalsRowDxfId="32"/>
    <tableColumn id="18" name="17" totalsRowFunction="count" dataDxfId="31" totalsRowDxfId="30"/>
    <tableColumn id="19" name="18" totalsRowFunction="count" dataDxfId="29" totalsRowDxfId="28"/>
    <tableColumn id="20" name="19" totalsRowFunction="count" dataDxfId="27" totalsRowDxfId="26"/>
    <tableColumn id="21" name="20" totalsRowFunction="count" dataDxfId="25" totalsRowDxfId="24"/>
    <tableColumn id="22" name="21" totalsRowFunction="count" dataDxfId="23" totalsRowDxfId="22"/>
    <tableColumn id="23" name="22" totalsRowFunction="count" dataDxfId="21" totalsRowDxfId="20"/>
    <tableColumn id="24" name="23" totalsRowFunction="count" dataDxfId="19" totalsRowDxfId="18"/>
    <tableColumn id="25" name="24" totalsRowFunction="count" dataDxfId="17" totalsRowDxfId="16"/>
    <tableColumn id="26" name="25" totalsRowFunction="count" dataDxfId="15" totalsRowDxfId="14"/>
    <tableColumn id="27" name="26" totalsRowFunction="count" dataDxfId="13" totalsRowDxfId="12"/>
    <tableColumn id="28" name="27" totalsRowFunction="count" dataDxfId="11" totalsRowDxfId="10"/>
    <tableColumn id="29" name="28" totalsRowFunction="count" dataDxfId="9" totalsRowDxfId="8"/>
    <tableColumn id="30" name="29" totalsRowFunction="count" dataDxfId="7" totalsRowDxfId="6"/>
    <tableColumn id="31" name="30 " totalsRowFunction="count" dataDxfId="5" totalsRowDxfId="4"/>
    <tableColumn id="32" name="31" totalsRowFunction="count" dataDxfId="3" totalsRowDxfId="2"/>
    <tableColumn id="33" name="Total Hari" totalsRowFunction="sum" dataDxfId="1" totalsRowDxfId="0">
      <calculatedColumnFormula>COUNTA(Desember[[#This Row],[1]:[31]])</calculatedColumnFormula>
    </tableColumn>
  </tableColumns>
  <tableStyleInfo name="Tabel Absensi Karyawan" showFirstColumn="1" showLastColumn="1" showRowStripes="1" showColumnStripes="0"/>
  <extLst>
    <ext xmlns:x14="http://schemas.microsoft.com/office/spreadsheetml/2009/9/main" uri="{504A1905-F514-4f6f-8877-14C23A59335A}">
      <x14:table altTextSummary="Menampilkan daftar nama dan tanggal kalender untuk mencatat absensi dan tipe absensi tertentu karyawan, seperti L=Liburan, S=Sakit, P=Pribadi, dan dua tempat penampung untuk entri kustom"/>
    </ext>
  </extLst>
</table>
</file>

<file path=xl/tables/table13.xml><?xml version="1.0" encoding="utf-8"?>
<table xmlns="http://schemas.openxmlformats.org/spreadsheetml/2006/main" id="13" name="NamaKaryawan" displayName="NamaKaryawan" ref="B3:B8" totalsRowShown="0">
  <autoFilter ref="B3:B8"/>
  <tableColumns count="1">
    <tableColumn id="1" name="Nama Karyawan" dataCellStyle="Karyawan"/>
  </tableColumns>
  <tableStyleInfo name="Tabel Absensi Karyawan" showFirstColumn="1" showLastColumn="1" showRowStripes="1" showColumnStripes="0"/>
  <extLst>
    <ext xmlns:x14="http://schemas.microsoft.com/office/spreadsheetml/2009/9/main" uri="{504A1905-F514-4f6f-8877-14C23A59335A}">
      <x14:table altTextSummary="Masukkan nama karyawan dalam tabel ini. Nama ini digunakan sebagai opsi dalam jadwal absensi setiap bulan di kolom B"/>
    </ext>
  </extLst>
</table>
</file>

<file path=xl/tables/table2.xml><?xml version="1.0" encoding="utf-8"?>
<table xmlns="http://schemas.openxmlformats.org/spreadsheetml/2006/main" id="2" name="Februari" displayName="Februari" ref="B6:AH12" totalsRowCount="1" headerRowDxfId="808" dataDxfId="807" totalsRowDxfId="806">
  <tableColumns count="33">
    <tableColumn id="1" name="Nama Karyawan" totalsRowFunction="custom" dataDxfId="805" totalsRowDxfId="804" dataCellStyle="Karyawan">
      <totalsRowFormula>"Total "&amp;NamaBulan</totalsRowFormula>
    </tableColumn>
    <tableColumn id="2" name="1" totalsRowFunction="count" dataDxfId="803" totalsRowDxfId="802"/>
    <tableColumn id="3" name="2" totalsRowFunction="count" dataDxfId="801" totalsRowDxfId="800"/>
    <tableColumn id="4" name="3" totalsRowFunction="count" dataDxfId="799" totalsRowDxfId="798"/>
    <tableColumn id="5" name="4" totalsRowFunction="count" dataDxfId="797" totalsRowDxfId="796"/>
    <tableColumn id="6" name="5" totalsRowFunction="count" dataDxfId="795" totalsRowDxfId="794"/>
    <tableColumn id="7" name="6" totalsRowFunction="count" dataDxfId="793" totalsRowDxfId="792"/>
    <tableColumn id="8" name="7" totalsRowFunction="count" dataDxfId="791" totalsRowDxfId="790"/>
    <tableColumn id="9" name="8" totalsRowFunction="count" dataDxfId="789" totalsRowDxfId="788"/>
    <tableColumn id="10" name="9" totalsRowFunction="count" dataDxfId="787" totalsRowDxfId="786"/>
    <tableColumn id="11" name="10" totalsRowFunction="count" dataDxfId="785" totalsRowDxfId="784"/>
    <tableColumn id="12" name="11" totalsRowFunction="count" dataDxfId="783" totalsRowDxfId="782"/>
    <tableColumn id="13" name="12" totalsRowFunction="count" dataDxfId="781" totalsRowDxfId="780"/>
    <tableColumn id="14" name="13" totalsRowFunction="count" dataDxfId="779" totalsRowDxfId="778"/>
    <tableColumn id="15" name="14" totalsRowFunction="count" dataDxfId="777" totalsRowDxfId="776"/>
    <tableColumn id="16" name="15" totalsRowFunction="count" dataDxfId="775" totalsRowDxfId="774"/>
    <tableColumn id="17" name="16" totalsRowFunction="count" dataDxfId="773" totalsRowDxfId="772"/>
    <tableColumn id="18" name="17" totalsRowFunction="count" dataDxfId="771" totalsRowDxfId="770"/>
    <tableColumn id="19" name="18" totalsRowFunction="count" dataDxfId="769" totalsRowDxfId="768"/>
    <tableColumn id="20" name="19" totalsRowFunction="count" dataDxfId="767" totalsRowDxfId="766"/>
    <tableColumn id="21" name="20" totalsRowFunction="count" dataDxfId="765" totalsRowDxfId="764"/>
    <tableColumn id="22" name="21" totalsRowFunction="count" dataDxfId="763" totalsRowDxfId="762"/>
    <tableColumn id="23" name="22" totalsRowFunction="count" dataDxfId="761" totalsRowDxfId="760"/>
    <tableColumn id="24" name="23" totalsRowFunction="count" dataDxfId="759" totalsRowDxfId="758"/>
    <tableColumn id="25" name="24" totalsRowFunction="count" dataDxfId="757" totalsRowDxfId="756"/>
    <tableColumn id="26" name="25" totalsRowFunction="count" dataDxfId="755" totalsRowDxfId="754"/>
    <tableColumn id="27" name="26" totalsRowFunction="count" dataDxfId="753" totalsRowDxfId="752"/>
    <tableColumn id="28" name="27" totalsRowFunction="count" dataDxfId="751" totalsRowDxfId="750"/>
    <tableColumn id="29" name="28" totalsRowFunction="count" dataDxfId="749" totalsRowDxfId="748"/>
    <tableColumn id="30" name="29" totalsRowFunction="count" dataDxfId="747" totalsRowDxfId="746"/>
    <tableColumn id="31" name=" " dataDxfId="745" totalsRowDxfId="744"/>
    <tableColumn id="32" name="  " dataDxfId="743" totalsRowDxfId="742"/>
    <tableColumn id="33" name="Total Hari" totalsRowFunction="sum" dataDxfId="741" totalsRowDxfId="740">
      <calculatedColumnFormula>COUNTA(Februari[[#This Row],[1]:[29]])</calculatedColumnFormula>
    </tableColumn>
  </tableColumns>
  <tableStyleInfo name="Tabel Absensi Karyawan" showFirstColumn="1" showLastColumn="1" showRowStripes="1" showColumnStripes="0"/>
  <extLst>
    <ext xmlns:x14="http://schemas.microsoft.com/office/spreadsheetml/2009/9/main" uri="{504A1905-F514-4f6f-8877-14C23A59335A}">
      <x14:table altTextSummary="Masukkan nama karyawan dan tanggal absensi. Catat tipe absensi menurut simbol dalam baris 12: L= Liburan, S=Sakit, P=Pribadi, dan dua tempat penampung untuk entri kustom"/>
    </ext>
  </extLst>
</table>
</file>

<file path=xl/tables/table3.xml><?xml version="1.0" encoding="utf-8"?>
<table xmlns="http://schemas.openxmlformats.org/spreadsheetml/2006/main" id="14" name="Maret" displayName="Maret" ref="B6:AH12" totalsRowCount="1" headerRowDxfId="734" dataDxfId="733" totalsRowDxfId="732">
  <tableColumns count="33">
    <tableColumn id="1" name="Nama Karyawan" totalsRowFunction="custom" dataDxfId="731" totalsRowDxfId="730" dataCellStyle="Karyawan">
      <totalsRowFormula>"Total "&amp;NamaBulan</totalsRowFormula>
    </tableColumn>
    <tableColumn id="2" name="1" totalsRowFunction="count" dataDxfId="729" totalsRowDxfId="728"/>
    <tableColumn id="3" name="2" totalsRowFunction="count" dataDxfId="727" totalsRowDxfId="726"/>
    <tableColumn id="4" name="3" totalsRowFunction="count" dataDxfId="725" totalsRowDxfId="724"/>
    <tableColumn id="5" name="4" totalsRowFunction="count" dataDxfId="723" totalsRowDxfId="722"/>
    <tableColumn id="6" name="5" totalsRowFunction="count" dataDxfId="721" totalsRowDxfId="720"/>
    <tableColumn id="7" name="6" totalsRowFunction="count" dataDxfId="719" totalsRowDxfId="718"/>
    <tableColumn id="8" name="7" totalsRowFunction="count" dataDxfId="717" totalsRowDxfId="716"/>
    <tableColumn id="9" name="8" totalsRowFunction="count" dataDxfId="715" totalsRowDxfId="714"/>
    <tableColumn id="10" name="9" totalsRowFunction="count" dataDxfId="713" totalsRowDxfId="712"/>
    <tableColumn id="11" name="10" totalsRowFunction="count" dataDxfId="711" totalsRowDxfId="710"/>
    <tableColumn id="12" name="11" totalsRowFunction="count" dataDxfId="709" totalsRowDxfId="708"/>
    <tableColumn id="13" name="12" totalsRowFunction="count" dataDxfId="707" totalsRowDxfId="706"/>
    <tableColumn id="14" name="13" totalsRowFunction="count" dataDxfId="705" totalsRowDxfId="704"/>
    <tableColumn id="15" name="14" totalsRowFunction="count" dataDxfId="703" totalsRowDxfId="702"/>
    <tableColumn id="16" name="15" totalsRowFunction="count" dataDxfId="701" totalsRowDxfId="700"/>
    <tableColumn id="17" name="16" totalsRowFunction="count" dataDxfId="699" totalsRowDxfId="698"/>
    <tableColumn id="18" name="17" totalsRowFunction="count" dataDxfId="697" totalsRowDxfId="696"/>
    <tableColumn id="19" name="18" totalsRowFunction="count" dataDxfId="695" totalsRowDxfId="694"/>
    <tableColumn id="20" name="19" totalsRowFunction="count" dataDxfId="693" totalsRowDxfId="692"/>
    <tableColumn id="21" name="20" totalsRowFunction="count" dataDxfId="691" totalsRowDxfId="690"/>
    <tableColumn id="22" name="21" totalsRowFunction="count" dataDxfId="689" totalsRowDxfId="688"/>
    <tableColumn id="23" name="22" totalsRowFunction="count" dataDxfId="687" totalsRowDxfId="686"/>
    <tableColumn id="24" name="23" totalsRowFunction="count" dataDxfId="685" totalsRowDxfId="684"/>
    <tableColumn id="25" name="24" totalsRowFunction="count" dataDxfId="683" totalsRowDxfId="682"/>
    <tableColumn id="26" name="25" totalsRowFunction="count" dataDxfId="681" totalsRowDxfId="680"/>
    <tableColumn id="27" name="26" totalsRowFunction="count" dataDxfId="679" totalsRowDxfId="678"/>
    <tableColumn id="28" name="27" totalsRowFunction="count" dataDxfId="677" totalsRowDxfId="676"/>
    <tableColumn id="29" name="28" totalsRowFunction="count" dataDxfId="675" totalsRowDxfId="674"/>
    <tableColumn id="30" name="29" totalsRowFunction="count" dataDxfId="673" totalsRowDxfId="672"/>
    <tableColumn id="31" name="30 " totalsRowFunction="count" dataDxfId="671" totalsRowDxfId="670"/>
    <tableColumn id="32" name="31" totalsRowFunction="count" dataDxfId="669" totalsRowDxfId="668"/>
    <tableColumn id="33" name="Total Hari" totalsRowFunction="sum" dataDxfId="667" totalsRowDxfId="666">
      <calculatedColumnFormula>COUNTA(Maret[[#This Row],[1]:[31]])</calculatedColumnFormula>
    </tableColumn>
  </tableColumns>
  <tableStyleInfo name="Tabel Absensi Karyawan" showFirstColumn="1" showLastColumn="1" showRowStripes="1" showColumnStripes="0"/>
  <extLst>
    <ext xmlns:x14="http://schemas.microsoft.com/office/spreadsheetml/2009/9/main" uri="{504A1905-F514-4f6f-8877-14C23A59335A}">
      <x14:table altTextSummary="Masukkan nama karyawan dan tanggal absensi. Catat tipe absensi menurut simbol dalam baris 12: L= Liburan, S=Sakit, P=Pribadi, dan dua tempat penampung untuk entri kustom"/>
    </ext>
  </extLst>
</table>
</file>

<file path=xl/tables/table4.xml><?xml version="1.0" encoding="utf-8"?>
<table xmlns="http://schemas.openxmlformats.org/spreadsheetml/2006/main" id="15" name="April" displayName="April" ref="B6:AH12" totalsRowCount="1" headerRowDxfId="660" dataDxfId="659" totalsRowDxfId="658">
  <tableColumns count="33">
    <tableColumn id="1" name="Nama Karyawan" totalsRowFunction="custom" dataDxfId="657" totalsRowDxfId="656" dataCellStyle="Karyawan">
      <totalsRowFormula>"Total "&amp;NamaBulan</totalsRowFormula>
    </tableColumn>
    <tableColumn id="2" name="1" totalsRowFunction="count" dataDxfId="655" totalsRowDxfId="654"/>
    <tableColumn id="3" name="2" totalsRowFunction="count" dataDxfId="653" totalsRowDxfId="652"/>
    <tableColumn id="4" name="3" totalsRowFunction="count" dataDxfId="651" totalsRowDxfId="650"/>
    <tableColumn id="5" name="4" totalsRowFunction="count" dataDxfId="649" totalsRowDxfId="648"/>
    <tableColumn id="6" name="5" totalsRowFunction="count" dataDxfId="647" totalsRowDxfId="646"/>
    <tableColumn id="7" name="6" totalsRowFunction="count" dataDxfId="645" totalsRowDxfId="644"/>
    <tableColumn id="8" name="7" totalsRowFunction="count" dataDxfId="643" totalsRowDxfId="642"/>
    <tableColumn id="9" name="8" totalsRowFunction="count" dataDxfId="641" totalsRowDxfId="640"/>
    <tableColumn id="10" name="9" totalsRowFunction="count" dataDxfId="639" totalsRowDxfId="638"/>
    <tableColumn id="11" name="10" totalsRowFunction="count" dataDxfId="637" totalsRowDxfId="636"/>
    <tableColumn id="12" name="11" totalsRowFunction="count" dataDxfId="635" totalsRowDxfId="634"/>
    <tableColumn id="13" name="12" totalsRowFunction="count" dataDxfId="633" totalsRowDxfId="632"/>
    <tableColumn id="14" name="13" totalsRowFunction="count" dataDxfId="631" totalsRowDxfId="630"/>
    <tableColumn id="15" name="14" totalsRowFunction="count" dataDxfId="629" totalsRowDxfId="628"/>
    <tableColumn id="16" name="15" totalsRowFunction="count" dataDxfId="627" totalsRowDxfId="626"/>
    <tableColumn id="17" name="16" totalsRowFunction="count" dataDxfId="625" totalsRowDxfId="624"/>
    <tableColumn id="18" name="17" totalsRowFunction="count" dataDxfId="623" totalsRowDxfId="622"/>
    <tableColumn id="19" name="18" totalsRowFunction="count" dataDxfId="621" totalsRowDxfId="620"/>
    <tableColumn id="20" name="19" totalsRowFunction="count" dataDxfId="619" totalsRowDxfId="618"/>
    <tableColumn id="21" name="20" totalsRowFunction="count" dataDxfId="617" totalsRowDxfId="616"/>
    <tableColumn id="22" name="21" totalsRowFunction="count" dataDxfId="615" totalsRowDxfId="614"/>
    <tableColumn id="23" name="22" totalsRowFunction="count" dataDxfId="613" totalsRowDxfId="612"/>
    <tableColumn id="24" name="23" totalsRowFunction="count" dataDxfId="611" totalsRowDxfId="610"/>
    <tableColumn id="25" name="24" totalsRowFunction="count" dataDxfId="609" totalsRowDxfId="608"/>
    <tableColumn id="26" name="25" totalsRowFunction="count" dataDxfId="607" totalsRowDxfId="606"/>
    <tableColumn id="27" name="26" totalsRowFunction="count" dataDxfId="605" totalsRowDxfId="604"/>
    <tableColumn id="28" name="27" totalsRowFunction="count" dataDxfId="603" totalsRowDxfId="602"/>
    <tableColumn id="29" name="28" totalsRowFunction="count" dataDxfId="601" totalsRowDxfId="600"/>
    <tableColumn id="30" name="29" totalsRowFunction="count" dataDxfId="599" totalsRowDxfId="598"/>
    <tableColumn id="31" name="30 " totalsRowFunction="count" dataDxfId="597" totalsRowDxfId="596"/>
    <tableColumn id="32" name=" " totalsRowFunction="custom" dataDxfId="595" totalsRowDxfId="594">
      <totalsRowFormula>SUBTOTAL(103,April[[30 ]])</totalsRowFormula>
    </tableColumn>
    <tableColumn id="33" name="Total Hari" totalsRowFunction="sum" dataDxfId="593" totalsRowDxfId="592">
      <calculatedColumnFormula>COUNTA(April[[#This Row],[1]:[30 ]])</calculatedColumnFormula>
    </tableColumn>
  </tableColumns>
  <tableStyleInfo name="Tabel Absensi Karyawan" showFirstColumn="1" showLastColumn="1" showRowStripes="1" showColumnStripes="0"/>
  <extLst>
    <ext xmlns:x14="http://schemas.microsoft.com/office/spreadsheetml/2009/9/main" uri="{504A1905-F514-4f6f-8877-14C23A59335A}">
      <x14:table altTextSummary="Masukkan nama karyawan dan tanggal absensi. Catat tipe absensi menurut simbol dalam baris 12: L= Liburan, S=Sakit, P=Pribadi, dan dua tempat penampung untuk entri kustom"/>
    </ext>
  </extLst>
</table>
</file>

<file path=xl/tables/table5.xml><?xml version="1.0" encoding="utf-8"?>
<table xmlns="http://schemas.openxmlformats.org/spreadsheetml/2006/main" id="16" name="Mei" displayName="Mei" ref="B6:AH12" totalsRowCount="1" headerRowDxfId="586" dataDxfId="585" totalsRowDxfId="584">
  <tableColumns count="33">
    <tableColumn id="1" name="Nama Karyawan" totalsRowFunction="custom" dataDxfId="583" totalsRowDxfId="582" dataCellStyle="Karyawan">
      <totalsRowFormula>"Total "&amp;NamaBulan</totalsRowFormula>
    </tableColumn>
    <tableColumn id="2" name="1" totalsRowFunction="count" dataDxfId="581" totalsRowDxfId="580"/>
    <tableColumn id="3" name="2" totalsRowFunction="count" dataDxfId="579" totalsRowDxfId="578"/>
    <tableColumn id="4" name="3" totalsRowFunction="count" dataDxfId="577" totalsRowDxfId="576"/>
    <tableColumn id="5" name="4" totalsRowFunction="count" dataDxfId="575" totalsRowDxfId="574"/>
    <tableColumn id="6" name="5" totalsRowFunction="count" dataDxfId="573" totalsRowDxfId="572"/>
    <tableColumn id="7" name="6" totalsRowFunction="count" dataDxfId="571" totalsRowDxfId="570"/>
    <tableColumn id="8" name="7" totalsRowFunction="count" dataDxfId="569" totalsRowDxfId="568"/>
    <tableColumn id="9" name="8" totalsRowFunction="count" dataDxfId="567" totalsRowDxfId="566"/>
    <tableColumn id="10" name="9" totalsRowFunction="count" dataDxfId="565" totalsRowDxfId="564"/>
    <tableColumn id="11" name="10" totalsRowFunction="count" dataDxfId="563" totalsRowDxfId="562"/>
    <tableColumn id="12" name="11" totalsRowFunction="count" dataDxfId="561" totalsRowDxfId="560"/>
    <tableColumn id="13" name="12" totalsRowFunction="count" dataDxfId="559" totalsRowDxfId="558"/>
    <tableColumn id="14" name="13" totalsRowFunction="count" dataDxfId="557" totalsRowDxfId="556"/>
    <tableColumn id="15" name="14" totalsRowFunction="count" dataDxfId="555" totalsRowDxfId="554"/>
    <tableColumn id="16" name="15" totalsRowFunction="count" dataDxfId="553" totalsRowDxfId="552"/>
    <tableColumn id="17" name="16" totalsRowFunction="count" dataDxfId="551" totalsRowDxfId="550"/>
    <tableColumn id="18" name="17" totalsRowFunction="count" dataDxfId="549" totalsRowDxfId="548"/>
    <tableColumn id="19" name="18" totalsRowFunction="count" dataDxfId="547" totalsRowDxfId="546"/>
    <tableColumn id="20" name="19" totalsRowFunction="count" dataDxfId="545" totalsRowDxfId="544"/>
    <tableColumn id="21" name="20" totalsRowFunction="count" dataDxfId="543" totalsRowDxfId="542"/>
    <tableColumn id="22" name="21" totalsRowFunction="count" dataDxfId="541" totalsRowDxfId="540"/>
    <tableColumn id="23" name="22" totalsRowFunction="count" dataDxfId="539" totalsRowDxfId="538"/>
    <tableColumn id="24" name="23" totalsRowFunction="count" dataDxfId="537" totalsRowDxfId="536"/>
    <tableColumn id="25" name="24" totalsRowFunction="count" dataDxfId="535" totalsRowDxfId="534"/>
    <tableColumn id="26" name="25" totalsRowFunction="count" dataDxfId="533" totalsRowDxfId="532"/>
    <tableColumn id="27" name="26" totalsRowFunction="count" dataDxfId="531" totalsRowDxfId="530"/>
    <tableColumn id="28" name="27" totalsRowFunction="count" dataDxfId="529" totalsRowDxfId="528"/>
    <tableColumn id="29" name="28" totalsRowFunction="count" dataDxfId="527" totalsRowDxfId="526"/>
    <tableColumn id="30" name="29" totalsRowFunction="count" dataDxfId="525" totalsRowDxfId="524"/>
    <tableColumn id="31" name="30 " totalsRowFunction="count" dataDxfId="523" totalsRowDxfId="522"/>
    <tableColumn id="32" name="31" totalsRowFunction="count" dataDxfId="521" totalsRowDxfId="520"/>
    <tableColumn id="33" name="Total Hari" totalsRowFunction="sum" dataDxfId="519" totalsRowDxfId="518">
      <calculatedColumnFormula>COUNTA(Mei[[#This Row],[1]:[31]])</calculatedColumnFormula>
    </tableColumn>
  </tableColumns>
  <tableStyleInfo name="Tabel Absensi Karyawan" showFirstColumn="1" showLastColumn="1" showRowStripes="1" showColumnStripes="0"/>
  <extLst>
    <ext xmlns:x14="http://schemas.microsoft.com/office/spreadsheetml/2009/9/main" uri="{504A1905-F514-4f6f-8877-14C23A59335A}">
      <x14:table altTextSummary="Masukkan nama karyawan dan tanggal absensi. Catat tipe absensi menurut simbol dalam baris 12: L= Liburan, S=Sakit, P=Pribadi, dan dua tempat penampung untuk entri kustom"/>
    </ext>
  </extLst>
</table>
</file>

<file path=xl/tables/table6.xml><?xml version="1.0" encoding="utf-8"?>
<table xmlns="http://schemas.openxmlformats.org/spreadsheetml/2006/main" id="17" name="Juni" displayName="Juni" ref="B6:AH12" totalsRowCount="1" headerRowDxfId="512" dataDxfId="511" totalsRowDxfId="510">
  <tableColumns count="33">
    <tableColumn id="1" name="Nama Karyawan" totalsRowFunction="custom" dataDxfId="509" totalsRowDxfId="508" dataCellStyle="Karyawan">
      <totalsRowFormula>"Total "&amp;NamaBulan</totalsRowFormula>
    </tableColumn>
    <tableColumn id="2" name="1" totalsRowFunction="count" dataDxfId="507" totalsRowDxfId="506"/>
    <tableColumn id="3" name="2" totalsRowFunction="count" dataDxfId="505" totalsRowDxfId="504"/>
    <tableColumn id="4" name="3" totalsRowFunction="count" dataDxfId="503" totalsRowDxfId="502"/>
    <tableColumn id="5" name="4" totalsRowFunction="count" dataDxfId="501" totalsRowDxfId="500"/>
    <tableColumn id="6" name="5" totalsRowFunction="count" dataDxfId="499" totalsRowDxfId="498"/>
    <tableColumn id="7" name="6" totalsRowFunction="count" dataDxfId="497" totalsRowDxfId="496"/>
    <tableColumn id="8" name="7" totalsRowFunction="count" dataDxfId="495" totalsRowDxfId="494"/>
    <tableColumn id="9" name="8" totalsRowFunction="count" dataDxfId="493" totalsRowDxfId="492"/>
    <tableColumn id="10" name="9" totalsRowFunction="count" dataDxfId="491" totalsRowDxfId="490"/>
    <tableColumn id="11" name="10" totalsRowFunction="count" dataDxfId="489" totalsRowDxfId="488"/>
    <tableColumn id="12" name="11" totalsRowFunction="count" dataDxfId="487" totalsRowDxfId="486"/>
    <tableColumn id="13" name="12" totalsRowFunction="count" dataDxfId="485" totalsRowDxfId="484"/>
    <tableColumn id="14" name="13" totalsRowFunction="count" dataDxfId="483" totalsRowDxfId="482"/>
    <tableColumn id="15" name="14" totalsRowFunction="count" dataDxfId="481" totalsRowDxfId="480"/>
    <tableColumn id="16" name="15" totalsRowFunction="count" dataDxfId="479" totalsRowDxfId="478"/>
    <tableColumn id="17" name="16" totalsRowFunction="count" dataDxfId="477" totalsRowDxfId="476"/>
    <tableColumn id="18" name="17" totalsRowFunction="count" dataDxfId="475" totalsRowDxfId="474"/>
    <tableColumn id="19" name="18" totalsRowFunction="count" dataDxfId="473" totalsRowDxfId="472"/>
    <tableColumn id="20" name="19" totalsRowFunction="count" dataDxfId="471" totalsRowDxfId="470"/>
    <tableColumn id="21" name="20" totalsRowFunction="count" dataDxfId="469" totalsRowDxfId="468"/>
    <tableColumn id="22" name="21" totalsRowFunction="count" dataDxfId="467" totalsRowDxfId="466"/>
    <tableColumn id="23" name="22" totalsRowFunction="count" dataDxfId="465" totalsRowDxfId="464"/>
    <tableColumn id="24" name="23" totalsRowFunction="count" dataDxfId="463" totalsRowDxfId="462"/>
    <tableColumn id="25" name="24" totalsRowFunction="count" dataDxfId="461" totalsRowDxfId="460"/>
    <tableColumn id="26" name="25" totalsRowFunction="count" dataDxfId="459" totalsRowDxfId="458"/>
    <tableColumn id="27" name="26" totalsRowFunction="count" dataDxfId="457" totalsRowDxfId="456"/>
    <tableColumn id="28" name="27" totalsRowFunction="count" dataDxfId="455" totalsRowDxfId="454"/>
    <tableColumn id="29" name="28" totalsRowFunction="count" dataDxfId="453" totalsRowDxfId="452"/>
    <tableColumn id="30" name="29" totalsRowFunction="count" dataDxfId="451" totalsRowDxfId="450"/>
    <tableColumn id="31" name="30 " totalsRowFunction="count" dataDxfId="449" totalsRowDxfId="448"/>
    <tableColumn id="32" name=" " totalsRowFunction="count" dataDxfId="447" totalsRowDxfId="446"/>
    <tableColumn id="33" name="Total Hari" totalsRowFunction="sum" dataDxfId="445" totalsRowDxfId="444">
      <calculatedColumnFormula>COUNTA(Juni[[#This Row],[1]:[30 ]])</calculatedColumnFormula>
    </tableColumn>
  </tableColumns>
  <tableStyleInfo name="Tabel Absensi Karyawan" showFirstColumn="1" showLastColumn="1" showRowStripes="1" showColumnStripes="0"/>
  <extLst>
    <ext xmlns:x14="http://schemas.microsoft.com/office/spreadsheetml/2009/9/main" uri="{504A1905-F514-4f6f-8877-14C23A59335A}">
      <x14:table altTextSummary="Masukkan nama karyawan dan tanggal absensi. Catat tipe absensi menurut simbol dalam baris 12: L= Liburan, S=Sakit, P=Pribadi, dan dua tempat penampung untuk entri kustom"/>
    </ext>
  </extLst>
</table>
</file>

<file path=xl/tables/table7.xml><?xml version="1.0" encoding="utf-8"?>
<table xmlns="http://schemas.openxmlformats.org/spreadsheetml/2006/main" id="18" name="Juli" displayName="Juli" ref="B6:AH12" totalsRowCount="1" headerRowDxfId="438" dataDxfId="437" totalsRowDxfId="436">
  <tableColumns count="33">
    <tableColumn id="1" name="Nama Karyawan" totalsRowFunction="custom" dataDxfId="435" totalsRowDxfId="434" dataCellStyle="Karyawan">
      <totalsRowFormula>"Total "&amp;NamaBulan</totalsRowFormula>
    </tableColumn>
    <tableColumn id="2" name="1" totalsRowFunction="count" dataDxfId="433" totalsRowDxfId="432"/>
    <tableColumn id="3" name="2" totalsRowFunction="count" dataDxfId="431" totalsRowDxfId="430"/>
    <tableColumn id="4" name="3" totalsRowFunction="count" dataDxfId="429" totalsRowDxfId="428"/>
    <tableColumn id="5" name="4" totalsRowFunction="count" dataDxfId="427" totalsRowDxfId="426"/>
    <tableColumn id="6" name="5" totalsRowFunction="count" dataDxfId="425" totalsRowDxfId="424"/>
    <tableColumn id="7" name="6" totalsRowFunction="count" dataDxfId="423" totalsRowDxfId="422"/>
    <tableColumn id="8" name="7" totalsRowFunction="count" dataDxfId="421" totalsRowDxfId="420"/>
    <tableColumn id="9" name="8" totalsRowFunction="count" dataDxfId="419" totalsRowDxfId="418"/>
    <tableColumn id="10" name="9" totalsRowFunction="count" dataDxfId="417" totalsRowDxfId="416"/>
    <tableColumn id="11" name="10" totalsRowFunction="count" dataDxfId="415" totalsRowDxfId="414"/>
    <tableColumn id="12" name="11" totalsRowFunction="count" dataDxfId="413" totalsRowDxfId="412"/>
    <tableColumn id="13" name="12" totalsRowFunction="count" dataDxfId="411" totalsRowDxfId="410"/>
    <tableColumn id="14" name="13" totalsRowFunction="count" dataDxfId="409" totalsRowDxfId="408"/>
    <tableColumn id="15" name="14" totalsRowFunction="count" dataDxfId="407" totalsRowDxfId="406"/>
    <tableColumn id="16" name="15" totalsRowFunction="count" dataDxfId="405" totalsRowDxfId="404"/>
    <tableColumn id="17" name="16" totalsRowFunction="count" dataDxfId="403" totalsRowDxfId="402"/>
    <tableColumn id="18" name="17" totalsRowFunction="count" dataDxfId="401" totalsRowDxfId="400"/>
    <tableColumn id="19" name="18" totalsRowFunction="count" dataDxfId="399" totalsRowDxfId="398"/>
    <tableColumn id="20" name="19" totalsRowFunction="count" dataDxfId="397" totalsRowDxfId="396"/>
    <tableColumn id="21" name="20" totalsRowFunction="count" dataDxfId="395" totalsRowDxfId="394"/>
    <tableColumn id="22" name="21" totalsRowFunction="count" dataDxfId="393" totalsRowDxfId="392"/>
    <tableColumn id="23" name="22" totalsRowFunction="count" dataDxfId="391" totalsRowDxfId="390"/>
    <tableColumn id="24" name="23" totalsRowFunction="count" dataDxfId="389" totalsRowDxfId="388"/>
    <tableColumn id="25" name="24" totalsRowFunction="count" dataDxfId="387" totalsRowDxfId="386"/>
    <tableColumn id="26" name="25" totalsRowFunction="count" dataDxfId="385" totalsRowDxfId="384"/>
    <tableColumn id="27" name="26" totalsRowFunction="count" dataDxfId="383" totalsRowDxfId="382"/>
    <tableColumn id="28" name="27" totalsRowFunction="count" dataDxfId="381" totalsRowDxfId="380"/>
    <tableColumn id="29" name="28" totalsRowFunction="count" dataDxfId="379" totalsRowDxfId="378"/>
    <tableColumn id="30" name="29" totalsRowFunction="count" dataDxfId="377" totalsRowDxfId="376"/>
    <tableColumn id="31" name="30 " totalsRowFunction="count" dataDxfId="375" totalsRowDxfId="374"/>
    <tableColumn id="32" name="31" totalsRowFunction="count" dataDxfId="373" totalsRowDxfId="372"/>
    <tableColumn id="33" name="Total Hari" totalsRowFunction="sum" dataDxfId="371" totalsRowDxfId="370">
      <calculatedColumnFormula>COUNTA(Juli[[#This Row],[1]:[31]])</calculatedColumnFormula>
    </tableColumn>
  </tableColumns>
  <tableStyleInfo name="Tabel Absensi Karyawan" showFirstColumn="1" showLastColumn="1" showRowStripes="1" showColumnStripes="0"/>
  <extLst>
    <ext xmlns:x14="http://schemas.microsoft.com/office/spreadsheetml/2009/9/main" uri="{504A1905-F514-4f6f-8877-14C23A59335A}">
      <x14:table altTextSummary="Masukkan nama karyawan dan tanggal absensi. Catat tipe absensi menurut simbol dalam baris 12: L= Liburan, S=Sakit, P=Pribadi, dan dua tempat penampung untuk entri kustom"/>
    </ext>
  </extLst>
</table>
</file>

<file path=xl/tables/table8.xml><?xml version="1.0" encoding="utf-8"?>
<table xmlns="http://schemas.openxmlformats.org/spreadsheetml/2006/main" id="19" name="Agustus" displayName="Agustus" ref="B6:AH12" totalsRowCount="1" headerRowDxfId="364" dataDxfId="363" totalsRowDxfId="362">
  <tableColumns count="33">
    <tableColumn id="1" name="Nama Karyawan" totalsRowFunction="custom" dataDxfId="361" totalsRowDxfId="360" dataCellStyle="Karyawan">
      <totalsRowFormula>"Total "&amp;NamaBulan</totalsRowFormula>
    </tableColumn>
    <tableColumn id="2" name="1" totalsRowFunction="count" dataDxfId="359" totalsRowDxfId="358"/>
    <tableColumn id="3" name="2" totalsRowFunction="count" dataDxfId="357" totalsRowDxfId="356"/>
    <tableColumn id="4" name="3" totalsRowFunction="count" dataDxfId="355" totalsRowDxfId="354"/>
    <tableColumn id="5" name="4" totalsRowFunction="count" dataDxfId="353" totalsRowDxfId="352"/>
    <tableColumn id="6" name="5" totalsRowFunction="count" dataDxfId="351" totalsRowDxfId="350"/>
    <tableColumn id="7" name="6" totalsRowFunction="count" dataDxfId="349" totalsRowDxfId="348"/>
    <tableColumn id="8" name="7" totalsRowFunction="count" dataDxfId="347" totalsRowDxfId="346"/>
    <tableColumn id="9" name="8" totalsRowFunction="count" dataDxfId="345" totalsRowDxfId="344"/>
    <tableColumn id="10" name="9" totalsRowFunction="count" dataDxfId="343" totalsRowDxfId="342"/>
    <tableColumn id="11" name="10" totalsRowFunction="count" dataDxfId="341" totalsRowDxfId="340"/>
    <tableColumn id="12" name="11" totalsRowFunction="count" dataDxfId="339" totalsRowDxfId="338"/>
    <tableColumn id="13" name="12" totalsRowFunction="count" dataDxfId="337" totalsRowDxfId="336"/>
    <tableColumn id="14" name="13" totalsRowFunction="count" dataDxfId="335" totalsRowDxfId="334"/>
    <tableColumn id="15" name="14" totalsRowFunction="count" dataDxfId="333" totalsRowDxfId="332"/>
    <tableColumn id="16" name="15" totalsRowFunction="count" dataDxfId="331" totalsRowDxfId="330"/>
    <tableColumn id="17" name="16" totalsRowFunction="count" dataDxfId="329" totalsRowDxfId="328"/>
    <tableColumn id="18" name="17" totalsRowFunction="count" dataDxfId="327" totalsRowDxfId="326"/>
    <tableColumn id="19" name="18" totalsRowFunction="count" dataDxfId="325" totalsRowDxfId="324"/>
    <tableColumn id="20" name="19" totalsRowFunction="count" dataDxfId="323" totalsRowDxfId="322"/>
    <tableColumn id="21" name="20" totalsRowFunction="count" dataDxfId="321" totalsRowDxfId="320"/>
    <tableColumn id="22" name="21" totalsRowFunction="count" dataDxfId="319" totalsRowDxfId="318"/>
    <tableColumn id="23" name="22" totalsRowFunction="count" dataDxfId="317" totalsRowDxfId="316"/>
    <tableColumn id="24" name="23" totalsRowFunction="count" dataDxfId="315" totalsRowDxfId="314"/>
    <tableColumn id="25" name="24" totalsRowFunction="count" dataDxfId="313" totalsRowDxfId="312"/>
    <tableColumn id="26" name="25" totalsRowFunction="count" dataDxfId="311" totalsRowDxfId="310"/>
    <tableColumn id="27" name="26" totalsRowFunction="count" dataDxfId="309" totalsRowDxfId="308"/>
    <tableColumn id="28" name="27" totalsRowFunction="count" dataDxfId="307" totalsRowDxfId="306"/>
    <tableColumn id="29" name="28" totalsRowFunction="count" dataDxfId="305" totalsRowDxfId="304"/>
    <tableColumn id="30" name="29" totalsRowFunction="count" dataDxfId="303" totalsRowDxfId="302"/>
    <tableColumn id="31" name="30 " totalsRowFunction="count" dataDxfId="301" totalsRowDxfId="300"/>
    <tableColumn id="32" name="31" totalsRowFunction="count" dataDxfId="299" totalsRowDxfId="298"/>
    <tableColumn id="33" name="Total Hari" totalsRowFunction="sum" dataDxfId="297" totalsRowDxfId="296">
      <calculatedColumnFormula>COUNTA(Agustus[[#This Row],[1]:[31]])</calculatedColumnFormula>
    </tableColumn>
  </tableColumns>
  <tableStyleInfo name="Tabel Absensi Karyawan" showFirstColumn="1" showLastColumn="1" showRowStripes="1" showColumnStripes="0"/>
  <extLst>
    <ext xmlns:x14="http://schemas.microsoft.com/office/spreadsheetml/2009/9/main" uri="{504A1905-F514-4f6f-8877-14C23A59335A}">
      <x14:table altTextSummary="Masukkan nama karyawan dan tanggal absensi. Catat tipe absensi menurut simbol dalam baris 12: L= Liburan, S=Sakit, P=Pribadi, dan dua tempat penampung untuk entri kustom"/>
    </ext>
  </extLst>
</table>
</file>

<file path=xl/tables/table9.xml><?xml version="1.0" encoding="utf-8"?>
<table xmlns="http://schemas.openxmlformats.org/spreadsheetml/2006/main" id="20" name="September" displayName="September" ref="B6:AH12" totalsRowCount="1" headerRowDxfId="290" dataDxfId="289" totalsRowDxfId="288">
  <tableColumns count="33">
    <tableColumn id="1" name="Nama Karyawan" totalsRowFunction="custom" dataDxfId="287" totalsRowDxfId="286" dataCellStyle="Karyawan">
      <totalsRowFormula>"Total "&amp;NamaBulan</totalsRowFormula>
    </tableColumn>
    <tableColumn id="2" name="1" totalsRowFunction="count" dataDxfId="285" totalsRowDxfId="284"/>
    <tableColumn id="3" name="2" totalsRowFunction="count" dataDxfId="283" totalsRowDxfId="282"/>
    <tableColumn id="4" name="3" totalsRowFunction="count" dataDxfId="281" totalsRowDxfId="280"/>
    <tableColumn id="5" name="4" totalsRowFunction="count" dataDxfId="279" totalsRowDxfId="278"/>
    <tableColumn id="6" name="5" totalsRowFunction="count" dataDxfId="277" totalsRowDxfId="276"/>
    <tableColumn id="7" name="6" totalsRowFunction="count" dataDxfId="275" totalsRowDxfId="274"/>
    <tableColumn id="8" name="7" totalsRowFunction="count" dataDxfId="273" totalsRowDxfId="272"/>
    <tableColumn id="9" name="8" totalsRowFunction="count" dataDxfId="271" totalsRowDxfId="270"/>
    <tableColumn id="10" name="9" totalsRowFunction="count" dataDxfId="269" totalsRowDxfId="268"/>
    <tableColumn id="11" name="10" totalsRowFunction="count" dataDxfId="267" totalsRowDxfId="266"/>
    <tableColumn id="12" name="11" totalsRowFunction="count" dataDxfId="265" totalsRowDxfId="264"/>
    <tableColumn id="13" name="12" totalsRowFunction="count" dataDxfId="263" totalsRowDxfId="262"/>
    <tableColumn id="14" name="13" totalsRowFunction="count" dataDxfId="261" totalsRowDxfId="260"/>
    <tableColumn id="15" name="14" totalsRowFunction="count" dataDxfId="259" totalsRowDxfId="258"/>
    <tableColumn id="16" name="15" totalsRowFunction="count" dataDxfId="257" totalsRowDxfId="256"/>
    <tableColumn id="17" name="16" totalsRowFunction="count" dataDxfId="255" totalsRowDxfId="254"/>
    <tableColumn id="18" name="17" totalsRowFunction="count" dataDxfId="253" totalsRowDxfId="252"/>
    <tableColumn id="19" name="18" totalsRowFunction="count" dataDxfId="251" totalsRowDxfId="250"/>
    <tableColumn id="20" name="19" totalsRowFunction="count" dataDxfId="249" totalsRowDxfId="248"/>
    <tableColumn id="21" name="20" totalsRowFunction="count" dataDxfId="247" totalsRowDxfId="246"/>
    <tableColumn id="22" name="21" totalsRowFunction="count" dataDxfId="245" totalsRowDxfId="244"/>
    <tableColumn id="23" name="22" totalsRowFunction="count" dataDxfId="243" totalsRowDxfId="242"/>
    <tableColumn id="24" name="23" totalsRowFunction="count" dataDxfId="241" totalsRowDxfId="240"/>
    <tableColumn id="25" name="24" totalsRowFunction="count" dataDxfId="239" totalsRowDxfId="238"/>
    <tableColumn id="26" name="25" totalsRowFunction="count" dataDxfId="237" totalsRowDxfId="236"/>
    <tableColumn id="27" name="26" totalsRowFunction="count" dataDxfId="235" totalsRowDxfId="234"/>
    <tableColumn id="28" name="27" totalsRowFunction="count" dataDxfId="233" totalsRowDxfId="232"/>
    <tableColumn id="29" name="28" totalsRowFunction="count" dataDxfId="231" totalsRowDxfId="230"/>
    <tableColumn id="30" name="29" totalsRowFunction="count" dataDxfId="229" totalsRowDxfId="228"/>
    <tableColumn id="31" name="30 " totalsRowFunction="count" dataDxfId="227" totalsRowDxfId="226"/>
    <tableColumn id="32" name=" " totalsRowFunction="count" dataDxfId="225" totalsRowDxfId="224"/>
    <tableColumn id="33" name="Total Hari" totalsRowFunction="sum" dataDxfId="223" totalsRowDxfId="222">
      <calculatedColumnFormula>COUNTA(September[[#This Row],[1]:[30 ]])</calculatedColumnFormula>
    </tableColumn>
  </tableColumns>
  <tableStyleInfo name="Tabel Absensi Karyawan" showFirstColumn="1" showLastColumn="1" showRowStripes="1" showColumnStripes="0"/>
  <extLst>
    <ext xmlns:x14="http://schemas.microsoft.com/office/spreadsheetml/2009/9/main" uri="{504A1905-F514-4f6f-8877-14C23A59335A}">
      <x14:table altTextSummary="Masukkan nama karyawan dan tanggal absensi. Catat tipe absensi menurut simbol dalam baris 12: L= Liburan, S=Sakit, P=Pribadi, dan dua tempat penampung untuk entri kustom"/>
    </ext>
  </extLst>
</table>
</file>

<file path=xl/theme/theme1.xml><?xml version="1.0" encoding="utf-8"?>
<a:theme xmlns:a="http://schemas.openxmlformats.org/drawingml/2006/main" name="Office Theme">
  <a:themeElements>
    <a:clrScheme name="Employee Absense Schedule">
      <a:dk1>
        <a:sysClr val="windowText" lastClr="000000"/>
      </a:dk1>
      <a:lt1>
        <a:sysClr val="window" lastClr="FFFFFF"/>
      </a:lt1>
      <a:dk2>
        <a:srgbClr val="4B180E"/>
      </a:dk2>
      <a:lt2>
        <a:srgbClr val="F1F2E8"/>
      </a:lt2>
      <a:accent1>
        <a:srgbClr val="A53423"/>
      </a:accent1>
      <a:accent2>
        <a:srgbClr val="E68130"/>
      </a:accent2>
      <a:accent3>
        <a:srgbClr val="9BB05D"/>
      </a:accent3>
      <a:accent4>
        <a:srgbClr val="CC9900"/>
      </a:accent4>
      <a:accent5>
        <a:srgbClr val="4F66AF"/>
      </a:accent5>
      <a:accent6>
        <a:srgbClr val="D0D2D3"/>
      </a:accent6>
      <a:hlink>
        <a:srgbClr val="4F66AF"/>
      </a:hlink>
      <a:folHlink>
        <a:srgbClr val="6B9AC6"/>
      </a:folHlink>
    </a:clrScheme>
    <a:fontScheme name="Employee Absence Schedul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  <pageSetUpPr fitToPage="1"/>
  </sheetPr>
  <dimension ref="A1:AH12"/>
  <sheetViews>
    <sheetView showGridLines="0" tabSelected="1" topLeftCell="A2" zoomScaleNormal="100" workbookViewId="0">
      <selection activeCell="F7" sqref="F7"/>
    </sheetView>
  </sheetViews>
  <sheetFormatPr defaultRowHeight="30" customHeight="1" x14ac:dyDescent="0.25"/>
  <cols>
    <col min="1" max="1" width="2.7109375" style="11" customWidth="1"/>
    <col min="2" max="2" width="25.7109375" style="11" customWidth="1"/>
    <col min="3" max="33" width="4.7109375" style="11" customWidth="1"/>
    <col min="34" max="34" width="17.28515625" style="11" customWidth="1"/>
    <col min="35" max="35" width="2.7109375" customWidth="1"/>
  </cols>
  <sheetData>
    <row r="1" spans="1:34" ht="50.1" customHeight="1" x14ac:dyDescent="0.25">
      <c r="A1" s="18"/>
      <c r="B1" s="14" t="s">
        <v>63</v>
      </c>
    </row>
    <row r="2" spans="1:34" ht="15" customHeight="1" x14ac:dyDescent="0.25">
      <c r="B2" s="19" t="s">
        <v>0</v>
      </c>
      <c r="C2" s="4" t="s">
        <v>8</v>
      </c>
      <c r="D2" s="25" t="s">
        <v>11</v>
      </c>
      <c r="E2" s="25"/>
      <c r="F2" s="25"/>
      <c r="G2" s="5" t="s">
        <v>14</v>
      </c>
      <c r="H2" s="25" t="s">
        <v>18</v>
      </c>
      <c r="I2" s="25"/>
      <c r="J2" s="25"/>
      <c r="K2" s="6" t="s">
        <v>16</v>
      </c>
      <c r="L2" s="25" t="s">
        <v>23</v>
      </c>
      <c r="M2" s="25"/>
      <c r="N2" s="7"/>
      <c r="O2" s="25" t="s">
        <v>27</v>
      </c>
      <c r="P2" s="25"/>
      <c r="Q2" s="25"/>
      <c r="R2" s="8"/>
      <c r="S2" s="25" t="s">
        <v>32</v>
      </c>
      <c r="T2" s="25"/>
      <c r="U2" s="25"/>
    </row>
    <row r="3" spans="1:34" ht="15" customHeight="1" x14ac:dyDescent="0.25">
      <c r="AH3" s="20" t="s">
        <v>48</v>
      </c>
    </row>
    <row r="4" spans="1:34" ht="30" customHeight="1" x14ac:dyDescent="0.25">
      <c r="B4" s="12" t="s">
        <v>1</v>
      </c>
      <c r="C4" s="24" t="s">
        <v>9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12">
        <v>2022</v>
      </c>
    </row>
    <row r="5" spans="1:34" ht="15" customHeight="1" x14ac:dyDescent="0.25">
      <c r="B5" s="12"/>
      <c r="C5" s="2" t="str">
        <f>TEXT(WEEKDAY(DATE(TahunKalender,1,1),1),"aaa")</f>
        <v>Sat</v>
      </c>
      <c r="D5" s="2" t="str">
        <f>TEXT(WEEKDAY(DATE(TahunKalender,1,2),1),"aaa")</f>
        <v>Sun</v>
      </c>
      <c r="E5" s="2" t="str">
        <f>TEXT(WEEKDAY(DATE(TahunKalender,1,3),1),"aaa")</f>
        <v>Mon</v>
      </c>
      <c r="F5" s="2" t="str">
        <f>TEXT(WEEKDAY(DATE(TahunKalender,1,4),1),"aaa")</f>
        <v>Tue</v>
      </c>
      <c r="G5" s="2" t="str">
        <f>TEXT(WEEKDAY(DATE(TahunKalender,1,5),1),"aaa")</f>
        <v>Wed</v>
      </c>
      <c r="H5" s="2" t="str">
        <f>TEXT(WEEKDAY(DATE(TahunKalender,1,6),1),"aaa")</f>
        <v>Thu</v>
      </c>
      <c r="I5" s="2" t="str">
        <f>TEXT(WEEKDAY(DATE(TahunKalender,1,7),1),"aaa")</f>
        <v>Fri</v>
      </c>
      <c r="J5" s="2" t="str">
        <f>TEXT(WEEKDAY(DATE(TahunKalender,1,8),1),"aaa")</f>
        <v>Sat</v>
      </c>
      <c r="K5" s="2" t="str">
        <f>TEXT(WEEKDAY(DATE(TahunKalender,1,9),1),"aaa")</f>
        <v>Sun</v>
      </c>
      <c r="L5" s="2" t="str">
        <f>TEXT(WEEKDAY(DATE(TahunKalender,1,10),1),"aaa")</f>
        <v>Mon</v>
      </c>
      <c r="M5" s="2" t="str">
        <f>TEXT(WEEKDAY(DATE(TahunKalender,1,11),1),"aaa")</f>
        <v>Tue</v>
      </c>
      <c r="N5" s="2" t="str">
        <f>TEXT(WEEKDAY(DATE(TahunKalender,1,12),1),"aaa")</f>
        <v>Wed</v>
      </c>
      <c r="O5" s="2" t="str">
        <f>TEXT(WEEKDAY(DATE(TahunKalender,1,13),1),"aaa")</f>
        <v>Thu</v>
      </c>
      <c r="P5" s="2" t="str">
        <f>TEXT(WEEKDAY(DATE(TahunKalender,1,14),1),"aaa")</f>
        <v>Fri</v>
      </c>
      <c r="Q5" s="2" t="str">
        <f>TEXT(WEEKDAY(DATE(TahunKalender,1,15),1),"aaa")</f>
        <v>Sat</v>
      </c>
      <c r="R5" s="2" t="str">
        <f>TEXT(WEEKDAY(DATE(TahunKalender,1,16),1),"aaa")</f>
        <v>Sun</v>
      </c>
      <c r="S5" s="2" t="str">
        <f>TEXT(WEEKDAY(DATE(TahunKalender,1,17),1),"aaa")</f>
        <v>Mon</v>
      </c>
      <c r="T5" s="2" t="str">
        <f>TEXT(WEEKDAY(DATE(TahunKalender,1,18),1),"aaa")</f>
        <v>Tue</v>
      </c>
      <c r="U5" s="2" t="str">
        <f>TEXT(WEEKDAY(DATE(TahunKalender,1,19),1),"aaa")</f>
        <v>Wed</v>
      </c>
      <c r="V5" s="2" t="str">
        <f>TEXT(WEEKDAY(DATE(TahunKalender,1,20),1),"aaa")</f>
        <v>Thu</v>
      </c>
      <c r="W5" s="2" t="str">
        <f>TEXT(WEEKDAY(DATE(TahunKalender,1,21),1),"aaa")</f>
        <v>Fri</v>
      </c>
      <c r="X5" s="2" t="str">
        <f>TEXT(WEEKDAY(DATE(TahunKalender,1,22),1),"aaa")</f>
        <v>Sat</v>
      </c>
      <c r="Y5" s="2" t="str">
        <f>TEXT(WEEKDAY(DATE(TahunKalender,1,23),1),"aaa")</f>
        <v>Sun</v>
      </c>
      <c r="Z5" s="2" t="str">
        <f>TEXT(WEEKDAY(DATE(TahunKalender,1,24),1),"aaa")</f>
        <v>Mon</v>
      </c>
      <c r="AA5" s="2" t="str">
        <f>TEXT(WEEKDAY(DATE(TahunKalender,1,25),1),"aaa")</f>
        <v>Tue</v>
      </c>
      <c r="AB5" s="2" t="str">
        <f>TEXT(WEEKDAY(DATE(TahunKalender,1,26),1),"aaa")</f>
        <v>Wed</v>
      </c>
      <c r="AC5" s="2" t="str">
        <f>TEXT(WEEKDAY(DATE(TahunKalender,1,27),1),"aaa")</f>
        <v>Thu</v>
      </c>
      <c r="AD5" s="2" t="str">
        <f>TEXT(WEEKDAY(DATE(TahunKalender,1,28),1),"aaa")</f>
        <v>Fri</v>
      </c>
      <c r="AE5" s="2" t="str">
        <f>TEXT(WEEKDAY(DATE(TahunKalender,1,29),1),"aaa")</f>
        <v>Sat</v>
      </c>
      <c r="AF5" s="2" t="str">
        <f>TEXT(WEEKDAY(DATE(TahunKalender,1,30),1),"aaa")</f>
        <v>Sun</v>
      </c>
      <c r="AG5" s="2" t="str">
        <f>TEXT(WEEKDAY(DATE(TahunKalender,1,31),1),"aaa")</f>
        <v>Mon</v>
      </c>
      <c r="AH5" s="12"/>
    </row>
    <row r="6" spans="1:34" ht="15" customHeight="1" x14ac:dyDescent="0.25">
      <c r="B6" s="15" t="s">
        <v>2</v>
      </c>
      <c r="C6" s="3" t="s">
        <v>10</v>
      </c>
      <c r="D6" s="3" t="s">
        <v>12</v>
      </c>
      <c r="E6" s="3" t="s">
        <v>13</v>
      </c>
      <c r="F6" s="3" t="s">
        <v>15</v>
      </c>
      <c r="G6" s="3" t="s">
        <v>17</v>
      </c>
      <c r="H6" s="3" t="s">
        <v>19</v>
      </c>
      <c r="I6" s="3" t="s">
        <v>20</v>
      </c>
      <c r="J6" s="3" t="s">
        <v>21</v>
      </c>
      <c r="K6" s="3" t="s">
        <v>22</v>
      </c>
      <c r="L6" s="3" t="s">
        <v>24</v>
      </c>
      <c r="M6" s="3" t="s">
        <v>25</v>
      </c>
      <c r="N6" s="3" t="s">
        <v>26</v>
      </c>
      <c r="O6" s="3" t="s">
        <v>28</v>
      </c>
      <c r="P6" s="3" t="s">
        <v>29</v>
      </c>
      <c r="Q6" s="3" t="s">
        <v>30</v>
      </c>
      <c r="R6" s="3" t="s">
        <v>31</v>
      </c>
      <c r="S6" s="3" t="s">
        <v>33</v>
      </c>
      <c r="T6" s="3" t="s">
        <v>34</v>
      </c>
      <c r="U6" s="3" t="s">
        <v>35</v>
      </c>
      <c r="V6" s="3" t="s">
        <v>36</v>
      </c>
      <c r="W6" s="3" t="s">
        <v>37</v>
      </c>
      <c r="X6" s="3" t="s">
        <v>38</v>
      </c>
      <c r="Y6" s="3" t="s">
        <v>39</v>
      </c>
      <c r="Z6" s="3" t="s">
        <v>40</v>
      </c>
      <c r="AA6" s="3" t="s">
        <v>41</v>
      </c>
      <c r="AB6" s="3" t="s">
        <v>42</v>
      </c>
      <c r="AC6" s="3" t="s">
        <v>43</v>
      </c>
      <c r="AD6" s="3" t="s">
        <v>44</v>
      </c>
      <c r="AE6" s="3" t="s">
        <v>45</v>
      </c>
      <c r="AF6" s="3" t="s">
        <v>46</v>
      </c>
      <c r="AG6" s="3" t="s">
        <v>47</v>
      </c>
      <c r="AH6" s="16" t="s">
        <v>49</v>
      </c>
    </row>
    <row r="7" spans="1:34" ht="30" customHeight="1" x14ac:dyDescent="0.25">
      <c r="B7" s="9" t="s">
        <v>3</v>
      </c>
      <c r="C7" s="3"/>
      <c r="D7" s="3"/>
      <c r="E7" s="3" t="s">
        <v>8</v>
      </c>
      <c r="F7" s="3" t="s">
        <v>8</v>
      </c>
      <c r="G7" s="3" t="s">
        <v>8</v>
      </c>
      <c r="H7" s="3" t="s">
        <v>8</v>
      </c>
      <c r="I7" s="3"/>
      <c r="J7" s="3"/>
      <c r="K7" s="3"/>
      <c r="L7" s="3"/>
      <c r="M7" s="3"/>
      <c r="N7" s="3"/>
      <c r="O7" s="3" t="s">
        <v>8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10">
        <f>COUNTA(Januari!$C7:$AG7)</f>
        <v>5</v>
      </c>
    </row>
    <row r="8" spans="1:34" ht="30" customHeight="1" x14ac:dyDescent="0.25">
      <c r="B8" s="9" t="s">
        <v>4</v>
      </c>
      <c r="C8" s="3"/>
      <c r="D8" s="3"/>
      <c r="E8" s="3"/>
      <c r="F8" s="3"/>
      <c r="G8" s="3" t="s">
        <v>16</v>
      </c>
      <c r="H8" s="3" t="s">
        <v>16</v>
      </c>
      <c r="I8" s="3"/>
      <c r="J8" s="3"/>
      <c r="K8" s="3"/>
      <c r="L8" s="3"/>
      <c r="M8" s="3" t="s">
        <v>14</v>
      </c>
      <c r="N8" s="3"/>
      <c r="O8" s="3"/>
      <c r="P8" s="3"/>
      <c r="Q8" s="3"/>
      <c r="R8" s="3"/>
      <c r="S8" s="3"/>
      <c r="T8" s="3"/>
      <c r="U8" s="3"/>
      <c r="V8" s="3" t="s">
        <v>16</v>
      </c>
      <c r="W8" s="3"/>
      <c r="X8" s="3"/>
      <c r="Y8" s="3"/>
      <c r="Z8" s="3"/>
      <c r="AA8" s="3" t="s">
        <v>8</v>
      </c>
      <c r="AB8" s="3" t="s">
        <v>8</v>
      </c>
      <c r="AC8" s="3" t="s">
        <v>8</v>
      </c>
      <c r="AD8" s="3"/>
      <c r="AE8" s="3"/>
      <c r="AF8" s="3"/>
      <c r="AG8" s="3"/>
      <c r="AH8" s="10">
        <f>COUNTA(Januari!$C8:$AG8)</f>
        <v>7</v>
      </c>
    </row>
    <row r="9" spans="1:34" ht="30" customHeight="1" x14ac:dyDescent="0.25">
      <c r="B9" s="9" t="s">
        <v>5</v>
      </c>
      <c r="C9" s="3"/>
      <c r="D9" s="3"/>
      <c r="E9" s="3" t="s">
        <v>14</v>
      </c>
      <c r="F9" s="3"/>
      <c r="G9" s="3"/>
      <c r="H9" s="3"/>
      <c r="I9" s="3"/>
      <c r="J9" s="3"/>
      <c r="K9" s="3"/>
      <c r="L9" s="3"/>
      <c r="M9" s="3"/>
      <c r="N9" s="3"/>
      <c r="O9" s="3"/>
      <c r="P9" s="3" t="s">
        <v>16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 t="s">
        <v>16</v>
      </c>
      <c r="AF9" s="3"/>
      <c r="AG9" s="3"/>
      <c r="AH9" s="10">
        <f>COUNTA(Januari!$C9:$AG9)</f>
        <v>3</v>
      </c>
    </row>
    <row r="10" spans="1:34" ht="30" customHeight="1" x14ac:dyDescent="0.25">
      <c r="B10" s="9" t="s">
        <v>6</v>
      </c>
      <c r="C10" s="3"/>
      <c r="D10" s="3"/>
      <c r="E10" s="3"/>
      <c r="F10" s="3"/>
      <c r="G10" s="3"/>
      <c r="H10" s="3"/>
      <c r="I10" s="3" t="s">
        <v>14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 t="s">
        <v>8</v>
      </c>
      <c r="V10" s="3" t="s">
        <v>8</v>
      </c>
      <c r="W10" s="3" t="s">
        <v>8</v>
      </c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10">
        <f>COUNTA(Januari!$C10:$AG10)</f>
        <v>4</v>
      </c>
    </row>
    <row r="11" spans="1:34" ht="30" customHeight="1" x14ac:dyDescent="0.25">
      <c r="B11" s="9" t="s">
        <v>7</v>
      </c>
      <c r="C11" s="3"/>
      <c r="D11" s="3"/>
      <c r="E11" s="3"/>
      <c r="F11" s="3" t="s">
        <v>16</v>
      </c>
      <c r="G11" s="3" t="s">
        <v>8</v>
      </c>
      <c r="H11" s="3" t="s">
        <v>8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 t="s">
        <v>16</v>
      </c>
      <c r="T11" s="3"/>
      <c r="U11" s="3"/>
      <c r="V11" s="3"/>
      <c r="W11" s="3"/>
      <c r="X11" s="3"/>
      <c r="Y11" s="3"/>
      <c r="Z11" s="3" t="s">
        <v>16</v>
      </c>
      <c r="AA11" s="3"/>
      <c r="AB11" s="3"/>
      <c r="AC11" s="3"/>
      <c r="AD11" s="3"/>
      <c r="AE11" s="3"/>
      <c r="AF11" s="3"/>
      <c r="AG11" s="3" t="s">
        <v>8</v>
      </c>
      <c r="AH11" s="10">
        <f>COUNTA(Januari!$C11:$AG11)</f>
        <v>6</v>
      </c>
    </row>
    <row r="12" spans="1:34" ht="30" customHeight="1" x14ac:dyDescent="0.25">
      <c r="B12" s="21" t="str">
        <f>"Total "&amp;NamaBulan</f>
        <v>Total Januari</v>
      </c>
      <c r="C12" s="13">
        <f>SUBTOTAL(103,Januari!$C$7:$C$11)</f>
        <v>0</v>
      </c>
      <c r="D12" s="13">
        <f>SUBTOTAL(103,Januari!$D$7:$D$11)</f>
        <v>0</v>
      </c>
      <c r="E12" s="13">
        <f>SUBTOTAL(103,Januari!$E$7:$E$11)</f>
        <v>2</v>
      </c>
      <c r="F12" s="13">
        <f>SUBTOTAL(103,Januari!$F$7:$F$11)</f>
        <v>2</v>
      </c>
      <c r="G12" s="13">
        <f>SUBTOTAL(103,Januari!$G$7:$G$11)</f>
        <v>3</v>
      </c>
      <c r="H12" s="13">
        <f>SUBTOTAL(103,Januari!$H$7:$H$11)</f>
        <v>3</v>
      </c>
      <c r="I12" s="13">
        <f>SUBTOTAL(103,Januari!$I$7:$I$11)</f>
        <v>1</v>
      </c>
      <c r="J12" s="13">
        <f>SUBTOTAL(103,Januari!$J$7:$J$11)</f>
        <v>0</v>
      </c>
      <c r="K12" s="13">
        <f>SUBTOTAL(103,Januari!$K$7:$K$11)</f>
        <v>0</v>
      </c>
      <c r="L12" s="13">
        <f>SUBTOTAL(103,Januari!$L$7:$L$11)</f>
        <v>0</v>
      </c>
      <c r="M12" s="13">
        <f>SUBTOTAL(103,Januari!$M$7:$M$11)</f>
        <v>1</v>
      </c>
      <c r="N12" s="13">
        <f>SUBTOTAL(103,Januari!$N$7:$N$11)</f>
        <v>0</v>
      </c>
      <c r="O12" s="13">
        <f>SUBTOTAL(103,Januari!$O$7:$O$11)</f>
        <v>1</v>
      </c>
      <c r="P12" s="13">
        <f>SUBTOTAL(103,Januari!$P$7:$P$11)</f>
        <v>1</v>
      </c>
      <c r="Q12" s="13">
        <f>SUBTOTAL(103,Januari!$Q$7:$Q$11)</f>
        <v>0</v>
      </c>
      <c r="R12" s="13">
        <f>SUBTOTAL(103,Januari!$R$7:$R$11)</f>
        <v>0</v>
      </c>
      <c r="S12" s="13">
        <f>SUBTOTAL(103,Januari!$S$7:$S$11)</f>
        <v>1</v>
      </c>
      <c r="T12" s="13">
        <f>SUBTOTAL(103,Januari!$T$7:$T$11)</f>
        <v>0</v>
      </c>
      <c r="U12" s="13">
        <f>SUBTOTAL(103,Januari!$U$7:$U$11)</f>
        <v>1</v>
      </c>
      <c r="V12" s="13">
        <f>SUBTOTAL(103,Januari!$V$7:$V$11)</f>
        <v>2</v>
      </c>
      <c r="W12" s="13">
        <f>SUBTOTAL(103,Januari!$W$7:$W$11)</f>
        <v>1</v>
      </c>
      <c r="X12" s="13">
        <f>SUBTOTAL(103,Januari!$X$7:$X$11)</f>
        <v>0</v>
      </c>
      <c r="Y12" s="13">
        <f>SUBTOTAL(103,Januari!$Y$7:$Y$11)</f>
        <v>0</v>
      </c>
      <c r="Z12" s="13">
        <f>SUBTOTAL(103,Januari!$Z$7:$Z$11)</f>
        <v>1</v>
      </c>
      <c r="AA12" s="13">
        <f>SUBTOTAL(103,Januari!$AA$7:$AA$11)</f>
        <v>1</v>
      </c>
      <c r="AB12" s="13">
        <f>SUBTOTAL(103,Januari!$AB$7:$AB$11)</f>
        <v>1</v>
      </c>
      <c r="AC12" s="13">
        <f>SUBTOTAL(103,Januari!$AC$7:$AC$11)</f>
        <v>1</v>
      </c>
      <c r="AD12" s="13">
        <f>SUBTOTAL(103,Januari!$AD$7:$AD$11)</f>
        <v>0</v>
      </c>
      <c r="AE12" s="13">
        <f>SUBTOTAL(103,Januari!$AE$7:$AE$11)</f>
        <v>1</v>
      </c>
      <c r="AF12" s="13">
        <f>SUBTOTAL(103,Januari!$AF$7:$AF$11)</f>
        <v>0</v>
      </c>
      <c r="AG12" s="13">
        <f>SUBTOTAL(103,Januari!$AG$7:$AG$11)</f>
        <v>1</v>
      </c>
      <c r="AH12" s="13">
        <f>SUBTOTAL(109,Januari[Total Hari])</f>
        <v>25</v>
      </c>
    </row>
  </sheetData>
  <mergeCells count="6">
    <mergeCell ref="C4:AG4"/>
    <mergeCell ref="D2:F2"/>
    <mergeCell ref="H2:J2"/>
    <mergeCell ref="L2:M2"/>
    <mergeCell ref="O2:Q2"/>
    <mergeCell ref="S2:U2"/>
  </mergeCells>
  <conditionalFormatting sqref="C7:AG11">
    <cfRule type="expression" priority="1" stopIfTrue="1">
      <formula>C7=""</formula>
    </cfRule>
    <cfRule type="expression" dxfId="888" priority="6" stopIfTrue="1">
      <formula>C7=KustomKunci2</formula>
    </cfRule>
    <cfRule type="expression" dxfId="887" priority="7" stopIfTrue="1">
      <formula>C7=Kustomkunci1</formula>
    </cfRule>
    <cfRule type="expression" dxfId="886" priority="8" stopIfTrue="1">
      <formula>C7=SakitKunci</formula>
    </cfRule>
    <cfRule type="expression" dxfId="885" priority="9" stopIfTrue="1">
      <formula>C7=PribadiKunci</formula>
    </cfRule>
    <cfRule type="expression" dxfId="884" priority="10" stopIfTrue="1">
      <formula>C7=LiburanKunci</formula>
    </cfRule>
  </conditionalFormatting>
  <conditionalFormatting sqref="AH7:AH11">
    <cfRule type="dataBar" priority="168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{ECCE2C3C-1B01-4700-B60E-DAAAB19A9C1A}</x14:id>
        </ext>
      </extLst>
    </cfRule>
  </conditionalFormatting>
  <dataValidations count="15">
    <dataValidation allowBlank="1" showInputMessage="1" showErrorMessage="1" prompt="Masukkan tahun dalam sel ini" sqref="AH4"/>
    <dataValidation errorStyle="warning" allowBlank="1" showInputMessage="1" showErrorMessage="1" error="Pilih nama dari daftar. Pilih BATAL, lalu tekan ALT+PANAH BAWAH kemudian ENTER untuk memilih nama" prompt="Masukkan nama karyawan dalam lembar kerja Nama Karyawan, lalu pilih salah satu nama dari daftar dalam kolom ini. Tekan ALT+PANAH BAWAH kemudian ENTER untuk memilih nama" sqref="B6"/>
    <dataValidation allowBlank="1" showInputMessage="1" showErrorMessage="1" prompt="Hari dalam sebulan dalam baris ini dibuat secara otomatis. Masukkan absensi dan tipe absensi karyawan di setiap kolom untuk setiap hari dalam sebulan. Kosong artinya tidak ada absensi" sqref="C6"/>
    <dataValidation allowBlank="1" showInputMessage="1" showErrorMessage="1" prompt="Hari kerja dalam baris ini diperbarui secara otomatis sesuai bulan menurut tahun yang dimasukkan di AH4. Setiap hari dalam sebulan memiliki kolom untuk mencatat absensi dan tipe absensi karyawan" sqref="C5"/>
    <dataValidation allowBlank="1" showInputMessage="1" showErrorMessage="1" prompt="Menghitung secara otomatis total jumlah hari absensi karyawan bulan ini" sqref="AH6"/>
    <dataValidation allowBlank="1" showInputMessage="1" showErrorMessage="1" prompt="Judul lembar kerja berada dalam sel ini. Perbarui judul, dan setiap lembar kerja secara otomatis akan mengikuti perubahannya" sqref="B1"/>
    <dataValidation allowBlank="1" showInputMessage="1" showErrorMessage="1" prompt="Bulan jadwal absensi ini. Perbarui tahun di sel AH4. Lacak total menurut bulan dalam sel terakhir pada tabel. Masukkan nama karyawan di tabel dalam kolom B" sqref="B4"/>
    <dataValidation allowBlank="1" showInputMessage="1" showErrorMessage="1" prompt="Baris ini menetapkan simbol yang digunakan dalam tabel: sel C2 adalah Liburan, G2 adalah Pribadi, &amp; K2 adalah Izin Sakit. Sel N2 &amp; R2 dapat disesuaikan" sqref="B2"/>
    <dataValidation allowBlank="1" showInputMessage="1" showErrorMessage="1" prompt="Huruf &quot;L&quot; menunjukkan absensi karena liburan" sqref="C2"/>
    <dataValidation allowBlank="1" showInputMessage="1" showErrorMessage="1" prompt="Huruf &quot;P&quot; menunjukkan absensi karena alasan pribadi" sqref="G2"/>
    <dataValidation allowBlank="1" showInputMessage="1" showErrorMessage="1" prompt="Huruf &quot;S&quot; menunjukkan absensi karena sakit" sqref="K2"/>
    <dataValidation allowBlank="1" showInputMessage="1" showErrorMessage="1" prompt="Masukkan huruf dan sesuaikan label di sebelah kanan untuk menambahkan item simbol lain" sqref="N2 R2"/>
    <dataValidation allowBlank="1" showInputMessage="1" showErrorMessage="1" prompt="Masukkan label untuk mendeskripsikan simbol kustom di sebelah kiri" sqref="O2:Q2 S2:U2"/>
    <dataValidation allowBlank="1" showInputMessage="1" showErrorMessage="1" prompt="Jadwal Absensi Karyawan mencatat absensi karyawan menurut hari setiap bulan. Terdapat 13 lembar kerja, 12 lembar kerja untuk setiap bulan &amp; lembar terakhir untuk nama karyawan. Catat absensi Januari di lembar kerja ini" sqref="A1"/>
    <dataValidation allowBlank="1" showInputMessage="1" showErrorMessage="1" prompt="Masukkan tahun dalam sel di bawah ini" sqref="AH3"/>
  </dataValidations>
  <printOptions horizontalCentered="1"/>
  <pageMargins left="0.25" right="0.25" top="0.75" bottom="0.75" header="0.3" footer="0.3"/>
  <pageSetup paperSize="9" scale="72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CE2C3C-1B01-4700-B60E-DAAAB19A9C1A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'Nama Karyawan'!$B$4:$B$8</xm:f>
          </x14:formula1>
          <xm:sqref>B7:B11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12"/>
  <sheetViews>
    <sheetView showGridLines="0" zoomScaleNormal="100" workbookViewId="0"/>
  </sheetViews>
  <sheetFormatPr defaultRowHeight="30" customHeight="1" x14ac:dyDescent="0.25"/>
  <cols>
    <col min="1" max="1" width="2.7109375" style="11" customWidth="1"/>
    <col min="2" max="2" width="25.7109375" style="11" customWidth="1"/>
    <col min="3" max="33" width="4.7109375" style="11" customWidth="1"/>
    <col min="34" max="34" width="17.28515625" style="11" customWidth="1"/>
    <col min="35" max="35" width="2.7109375" customWidth="1"/>
  </cols>
  <sheetData>
    <row r="1" spans="2:34" ht="50.1" customHeight="1" x14ac:dyDescent="0.25">
      <c r="B1" s="14" t="str">
        <f>Judul_Absensi_Karyawan</f>
        <v>Jadwal Absen E-POSTES Karyawan PT. PRATAMA INDONESIA</v>
      </c>
    </row>
    <row r="2" spans="2:34" ht="15" customHeight="1" x14ac:dyDescent="0.25">
      <c r="B2" s="19" t="s">
        <v>0</v>
      </c>
      <c r="C2" s="4" t="s">
        <v>8</v>
      </c>
      <c r="D2" s="25" t="s">
        <v>11</v>
      </c>
      <c r="E2" s="25"/>
      <c r="F2" s="25"/>
      <c r="G2" s="5" t="s">
        <v>14</v>
      </c>
      <c r="H2" s="25" t="s">
        <v>18</v>
      </c>
      <c r="I2" s="25"/>
      <c r="J2" s="25"/>
      <c r="K2" s="6" t="s">
        <v>16</v>
      </c>
      <c r="L2" s="25" t="s">
        <v>23</v>
      </c>
      <c r="M2" s="25"/>
      <c r="N2" s="7"/>
      <c r="O2" s="25" t="s">
        <v>27</v>
      </c>
      <c r="P2" s="25"/>
      <c r="Q2" s="25"/>
      <c r="R2" s="8"/>
      <c r="S2" s="25" t="s">
        <v>32</v>
      </c>
      <c r="T2" s="25"/>
      <c r="U2" s="25"/>
    </row>
    <row r="3" spans="2:34" ht="15" customHeight="1" x14ac:dyDescent="0.25">
      <c r="B3" s="14"/>
    </row>
    <row r="4" spans="2:34" ht="30" customHeight="1" x14ac:dyDescent="0.25">
      <c r="B4" s="12" t="s">
        <v>60</v>
      </c>
      <c r="C4" s="24" t="s">
        <v>9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12">
        <f>TahunKalender</f>
        <v>2022</v>
      </c>
    </row>
    <row r="5" spans="2:34" ht="15" customHeight="1" x14ac:dyDescent="0.25">
      <c r="B5" s="12"/>
      <c r="C5" s="2" t="str">
        <f>TEXT(WEEKDAY(DATE(TahunKalender,10,1),1),"aaa")</f>
        <v>Sat</v>
      </c>
      <c r="D5" s="2" t="str">
        <f>TEXT(WEEKDAY(DATE(TahunKalender,10,2),1),"aaa")</f>
        <v>Sun</v>
      </c>
      <c r="E5" s="2" t="str">
        <f>TEXT(WEEKDAY(DATE(TahunKalender,10,3),1),"aaa")</f>
        <v>Mon</v>
      </c>
      <c r="F5" s="2" t="str">
        <f>TEXT(WEEKDAY(DATE(TahunKalender,10,4),1),"aaa")</f>
        <v>Tue</v>
      </c>
      <c r="G5" s="2" t="str">
        <f>TEXT(WEEKDAY(DATE(TahunKalender,10,5),1),"aaa")</f>
        <v>Wed</v>
      </c>
      <c r="H5" s="2" t="str">
        <f>TEXT(WEEKDAY(DATE(TahunKalender,10,6),1),"aaa")</f>
        <v>Thu</v>
      </c>
      <c r="I5" s="2" t="str">
        <f>TEXT(WEEKDAY(DATE(TahunKalender,10,7),1),"aaa")</f>
        <v>Fri</v>
      </c>
      <c r="J5" s="2" t="str">
        <f>TEXT(WEEKDAY(DATE(TahunKalender,10,8),1),"aaa")</f>
        <v>Sat</v>
      </c>
      <c r="K5" s="2" t="str">
        <f>TEXT(WEEKDAY(DATE(TahunKalender,10,9),1),"aaa")</f>
        <v>Sun</v>
      </c>
      <c r="L5" s="2" t="str">
        <f>TEXT(WEEKDAY(DATE(TahunKalender,10,10),1),"aaa")</f>
        <v>Mon</v>
      </c>
      <c r="M5" s="2" t="str">
        <f>TEXT(WEEKDAY(DATE(TahunKalender,10,11),1),"aaa")</f>
        <v>Tue</v>
      </c>
      <c r="N5" s="2" t="str">
        <f>TEXT(WEEKDAY(DATE(TahunKalender,10,12),1),"aaa")</f>
        <v>Wed</v>
      </c>
      <c r="O5" s="2" t="str">
        <f>TEXT(WEEKDAY(DATE(TahunKalender,10,13),1),"aaa")</f>
        <v>Thu</v>
      </c>
      <c r="P5" s="2" t="str">
        <f>TEXT(WEEKDAY(DATE(TahunKalender,10,14),1),"aaa")</f>
        <v>Fri</v>
      </c>
      <c r="Q5" s="2" t="str">
        <f>TEXT(WEEKDAY(DATE(TahunKalender,10,15),1),"aaa")</f>
        <v>Sat</v>
      </c>
      <c r="R5" s="2" t="str">
        <f>TEXT(WEEKDAY(DATE(TahunKalender,10,16),1),"aaa")</f>
        <v>Sun</v>
      </c>
      <c r="S5" s="2" t="str">
        <f>TEXT(WEEKDAY(DATE(TahunKalender,10,17),1),"aaa")</f>
        <v>Mon</v>
      </c>
      <c r="T5" s="2" t="str">
        <f>TEXT(WEEKDAY(DATE(TahunKalender,10,18),1),"aaa")</f>
        <v>Tue</v>
      </c>
      <c r="U5" s="2" t="str">
        <f>TEXT(WEEKDAY(DATE(TahunKalender,10,19),1),"aaa")</f>
        <v>Wed</v>
      </c>
      <c r="V5" s="2" t="str">
        <f>TEXT(WEEKDAY(DATE(TahunKalender,10,20),1),"aaa")</f>
        <v>Thu</v>
      </c>
      <c r="W5" s="2" t="str">
        <f>TEXT(WEEKDAY(DATE(TahunKalender,10,21),1),"aaa")</f>
        <v>Fri</v>
      </c>
      <c r="X5" s="2" t="str">
        <f>TEXT(WEEKDAY(DATE(TahunKalender,10,22),1),"aaa")</f>
        <v>Sat</v>
      </c>
      <c r="Y5" s="2" t="str">
        <f>TEXT(WEEKDAY(DATE(TahunKalender,10,23),1),"aaa")</f>
        <v>Sun</v>
      </c>
      <c r="Z5" s="2" t="str">
        <f>TEXT(WEEKDAY(DATE(TahunKalender,10,24),1),"aaa")</f>
        <v>Mon</v>
      </c>
      <c r="AA5" s="2" t="str">
        <f>TEXT(WEEKDAY(DATE(TahunKalender,10,25),1),"aaa")</f>
        <v>Tue</v>
      </c>
      <c r="AB5" s="2" t="str">
        <f>TEXT(WEEKDAY(DATE(TahunKalender,10,26),1),"aaa")</f>
        <v>Wed</v>
      </c>
      <c r="AC5" s="2" t="str">
        <f>TEXT(WEEKDAY(DATE(TahunKalender,10,27),1),"aaa")</f>
        <v>Thu</v>
      </c>
      <c r="AD5" s="2" t="str">
        <f>TEXT(WEEKDAY(DATE(TahunKalender,10,28),1),"aaa")</f>
        <v>Fri</v>
      </c>
      <c r="AE5" s="2" t="str">
        <f>TEXT(WEEKDAY(DATE(TahunKalender,10,29),1),"aaa")</f>
        <v>Sat</v>
      </c>
      <c r="AF5" s="2" t="str">
        <f>TEXT(WEEKDAY(DATE(TahunKalender,10,30),1),"aaa")</f>
        <v>Sun</v>
      </c>
      <c r="AG5" s="2" t="str">
        <f>TEXT(WEEKDAY(DATE(TahunKalender,10,31),1),"aaa")</f>
        <v>Mon</v>
      </c>
      <c r="AH5" s="12"/>
    </row>
    <row r="6" spans="2:34" ht="15" customHeight="1" x14ac:dyDescent="0.25">
      <c r="B6" s="15" t="s">
        <v>2</v>
      </c>
      <c r="C6" s="3" t="s">
        <v>10</v>
      </c>
      <c r="D6" s="3" t="s">
        <v>12</v>
      </c>
      <c r="E6" s="3" t="s">
        <v>13</v>
      </c>
      <c r="F6" s="3" t="s">
        <v>15</v>
      </c>
      <c r="G6" s="3" t="s">
        <v>17</v>
      </c>
      <c r="H6" s="3" t="s">
        <v>19</v>
      </c>
      <c r="I6" s="3" t="s">
        <v>20</v>
      </c>
      <c r="J6" s="3" t="s">
        <v>21</v>
      </c>
      <c r="K6" s="3" t="s">
        <v>22</v>
      </c>
      <c r="L6" s="3" t="s">
        <v>24</v>
      </c>
      <c r="M6" s="3" t="s">
        <v>25</v>
      </c>
      <c r="N6" s="3" t="s">
        <v>26</v>
      </c>
      <c r="O6" s="3" t="s">
        <v>28</v>
      </c>
      <c r="P6" s="3" t="s">
        <v>29</v>
      </c>
      <c r="Q6" s="3" t="s">
        <v>30</v>
      </c>
      <c r="R6" s="3" t="s">
        <v>31</v>
      </c>
      <c r="S6" s="3" t="s">
        <v>33</v>
      </c>
      <c r="T6" s="3" t="s">
        <v>34</v>
      </c>
      <c r="U6" s="3" t="s">
        <v>35</v>
      </c>
      <c r="V6" s="3" t="s">
        <v>36</v>
      </c>
      <c r="W6" s="3" t="s">
        <v>37</v>
      </c>
      <c r="X6" s="3" t="s">
        <v>38</v>
      </c>
      <c r="Y6" s="3" t="s">
        <v>39</v>
      </c>
      <c r="Z6" s="3" t="s">
        <v>40</v>
      </c>
      <c r="AA6" s="3" t="s">
        <v>41</v>
      </c>
      <c r="AB6" s="3" t="s">
        <v>42</v>
      </c>
      <c r="AC6" s="3" t="s">
        <v>43</v>
      </c>
      <c r="AD6" s="3" t="s">
        <v>44</v>
      </c>
      <c r="AE6" s="3" t="s">
        <v>45</v>
      </c>
      <c r="AF6" s="3" t="s">
        <v>46</v>
      </c>
      <c r="AG6" s="3" t="s">
        <v>47</v>
      </c>
      <c r="AH6" s="16" t="s">
        <v>49</v>
      </c>
    </row>
    <row r="7" spans="2:34" ht="30" customHeight="1" x14ac:dyDescent="0.25">
      <c r="B7" s="17" t="s">
        <v>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10">
        <f>COUNTA(Oktober[[#This Row],[1]:[31]])</f>
        <v>0</v>
      </c>
    </row>
    <row r="8" spans="2:34" ht="30" customHeight="1" x14ac:dyDescent="0.25">
      <c r="B8" s="17" t="s">
        <v>4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10">
        <f>COUNTA(Oktober[[#This Row],[1]:[31]])</f>
        <v>0</v>
      </c>
    </row>
    <row r="9" spans="2:34" ht="30" customHeight="1" x14ac:dyDescent="0.25">
      <c r="B9" s="17" t="s">
        <v>5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10">
        <f>COUNTA(Oktober[[#This Row],[1]:[31]])</f>
        <v>0</v>
      </c>
    </row>
    <row r="10" spans="2:34" ht="30" customHeight="1" x14ac:dyDescent="0.25">
      <c r="B10" s="17" t="s">
        <v>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10">
        <f>COUNTA(Oktober[[#This Row],[1]:[31]])</f>
        <v>0</v>
      </c>
    </row>
    <row r="11" spans="2:34" ht="30" customHeight="1" x14ac:dyDescent="0.25">
      <c r="B11" s="17" t="s">
        <v>7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10">
        <f>COUNTA(Oktober[[#This Row],[1]:[31]])</f>
        <v>0</v>
      </c>
    </row>
    <row r="12" spans="2:34" ht="30" customHeight="1" x14ac:dyDescent="0.25">
      <c r="B12" s="21" t="str">
        <f>"Total "&amp;NamaBulan</f>
        <v>Total Oktober</v>
      </c>
      <c r="C12" s="13">
        <f>SUBTOTAL(103,Oktober[1])</f>
        <v>0</v>
      </c>
      <c r="D12" s="13">
        <f>SUBTOTAL(103,Oktober[2])</f>
        <v>0</v>
      </c>
      <c r="E12" s="13">
        <f>SUBTOTAL(103,Oktober[3])</f>
        <v>0</v>
      </c>
      <c r="F12" s="13">
        <f>SUBTOTAL(103,Oktober[4])</f>
        <v>0</v>
      </c>
      <c r="G12" s="13">
        <f>SUBTOTAL(103,Oktober[5])</f>
        <v>0</v>
      </c>
      <c r="H12" s="13">
        <f>SUBTOTAL(103,Oktober[6])</f>
        <v>0</v>
      </c>
      <c r="I12" s="13">
        <f>SUBTOTAL(103,Oktober[7])</f>
        <v>0</v>
      </c>
      <c r="J12" s="13">
        <f>SUBTOTAL(103,Oktober[8])</f>
        <v>0</v>
      </c>
      <c r="K12" s="13">
        <f>SUBTOTAL(103,Oktober[9])</f>
        <v>0</v>
      </c>
      <c r="L12" s="13">
        <f>SUBTOTAL(103,Oktober[10])</f>
        <v>0</v>
      </c>
      <c r="M12" s="13">
        <f>SUBTOTAL(103,Oktober[11])</f>
        <v>0</v>
      </c>
      <c r="N12" s="13">
        <f>SUBTOTAL(103,Oktober[12])</f>
        <v>0</v>
      </c>
      <c r="O12" s="13">
        <f>SUBTOTAL(103,Oktober[13])</f>
        <v>0</v>
      </c>
      <c r="P12" s="13">
        <f>SUBTOTAL(103,Oktober[14])</f>
        <v>0</v>
      </c>
      <c r="Q12" s="13">
        <f>SUBTOTAL(103,Oktober[15])</f>
        <v>0</v>
      </c>
      <c r="R12" s="13">
        <f>SUBTOTAL(103,Oktober[16])</f>
        <v>0</v>
      </c>
      <c r="S12" s="13">
        <f>SUBTOTAL(103,Oktober[17])</f>
        <v>0</v>
      </c>
      <c r="T12" s="13">
        <f>SUBTOTAL(103,Oktober[18])</f>
        <v>0</v>
      </c>
      <c r="U12" s="13">
        <f>SUBTOTAL(103,Oktober[19])</f>
        <v>0</v>
      </c>
      <c r="V12" s="13">
        <f>SUBTOTAL(103,Oktober[20])</f>
        <v>0</v>
      </c>
      <c r="W12" s="13">
        <f>SUBTOTAL(103,Oktober[21])</f>
        <v>0</v>
      </c>
      <c r="X12" s="13">
        <f>SUBTOTAL(103,Oktober[22])</f>
        <v>0</v>
      </c>
      <c r="Y12" s="13">
        <f>SUBTOTAL(103,Oktober[23])</f>
        <v>0</v>
      </c>
      <c r="Z12" s="13">
        <f>SUBTOTAL(103,Oktober[24])</f>
        <v>0</v>
      </c>
      <c r="AA12" s="13">
        <f>SUBTOTAL(103,Oktober[25])</f>
        <v>0</v>
      </c>
      <c r="AB12" s="13">
        <f>SUBTOTAL(103,Oktober[26])</f>
        <v>0</v>
      </c>
      <c r="AC12" s="13">
        <f>SUBTOTAL(103,Oktober[27])</f>
        <v>0</v>
      </c>
      <c r="AD12" s="13">
        <f>SUBTOTAL(103,Oktober[28])</f>
        <v>0</v>
      </c>
      <c r="AE12" s="13">
        <f>SUBTOTAL(103,Oktober[29])</f>
        <v>0</v>
      </c>
      <c r="AF12" s="13">
        <f>SUBTOTAL(103,Oktober[[30 ]])</f>
        <v>0</v>
      </c>
      <c r="AG12" s="13">
        <f>SUBTOTAL(103,Oktober[31])</f>
        <v>0</v>
      </c>
      <c r="AH12" s="13">
        <f>SUBTOTAL(109,Oktober[Total Hari])</f>
        <v>0</v>
      </c>
    </row>
  </sheetData>
  <mergeCells count="6">
    <mergeCell ref="C4:AG4"/>
    <mergeCell ref="D2:F2"/>
    <mergeCell ref="H2:J2"/>
    <mergeCell ref="L2:M2"/>
    <mergeCell ref="O2:Q2"/>
    <mergeCell ref="S2:U2"/>
  </mergeCells>
  <conditionalFormatting sqref="C7:AG11">
    <cfRule type="expression" priority="1" stopIfTrue="1">
      <formula>C7=""</formula>
    </cfRule>
  </conditionalFormatting>
  <conditionalFormatting sqref="C7:AG11">
    <cfRule type="expression" dxfId="221" priority="2" stopIfTrue="1">
      <formula>C7=KustomKunci2</formula>
    </cfRule>
    <cfRule type="expression" dxfId="220" priority="3" stopIfTrue="1">
      <formula>C7=Kustomkunci1</formula>
    </cfRule>
    <cfRule type="expression" dxfId="219" priority="4" stopIfTrue="1">
      <formula>C7=SakitKunci</formula>
    </cfRule>
    <cfRule type="expression" dxfId="218" priority="5" stopIfTrue="1">
      <formula>C7=PribadiKunci</formula>
    </cfRule>
    <cfRule type="expression" dxfId="217" priority="6" stopIfTrue="1">
      <formula>C7=LiburanKunci</formula>
    </cfRule>
  </conditionalFormatting>
  <conditionalFormatting sqref="AH7:AH11">
    <cfRule type="dataBar" priority="7">
      <dataBar>
        <cfvo type="min"/>
        <cfvo type="formula" val="DATEDIF(DATE(TahunKalender,2,1),DATE(TahunKalender,3,1),&quot;d&quot;)"/>
        <color theme="2" tint="-0.249977111117893"/>
      </dataBar>
      <extLst>
        <ext xmlns:x14="http://schemas.microsoft.com/office/spreadsheetml/2009/9/main" uri="{B025F937-C7B1-47D3-B67F-A62EFF666E3E}">
          <x14:id>{F32A08EA-50E8-4B5F-AB1F-5A7739FBC16C}</x14:id>
        </ext>
      </extLst>
    </cfRule>
  </conditionalFormatting>
  <dataValidations count="14">
    <dataValidation allowBlank="1" showInputMessage="1" showErrorMessage="1" prompt="Hari kerja dalam baris ini diperbarui secara otomatis sesuai bulan menurut tahun yang ada di AH4. Setiap hari dalam sebulan memiliki kolom untuk mencatat absensi dan tipe absensi karyawan" sqref="C5"/>
    <dataValidation allowBlank="1" showInputMessage="1" showErrorMessage="1" prompt="Otomatis memperbarui tahun berdasarkan tahun yang dimasukkan dalam lembar kerja Januari" sqref="AH4"/>
    <dataValidation allowBlank="1" showInputMessage="1" showErrorMessage="1" prompt="Otomatis menghitung total jumlah hari karyawan absen bulan ini di kolom ini" sqref="AH6"/>
    <dataValidation allowBlank="1" showInputMessage="1" showErrorMessage="1" prompt="Catat absensi bulan Oktober di lembar kerja ini" sqref="A1"/>
    <dataValidation errorStyle="warning" allowBlank="1" showInputMessage="1" showErrorMessage="1" error="Pilih nama dari daftar. Pilih BATAL, lalu tekan ALT+PANAH BAWAH kemudian ENTER untuk memilih nama" prompt="Masukkan nama karyawan dalam lembar kerja Nama Karyawan, lalu pilih salah satu nama dari daftar dalam kolom ini. Tekan ALT+PANAH BAWAH kemudian ENTER untuk memilih nama" sqref="B6"/>
    <dataValidation allowBlank="1" showInputMessage="1" showErrorMessage="1" prompt="Judul yang otomatis diperbarui berada dalam sel ini. Untuk mengubah judul, perbarui B1 pada lembar kerja Januari" sqref="B1"/>
    <dataValidation allowBlank="1" showInputMessage="1" showErrorMessage="1" prompt="Huruf &quot;L&quot; menunjukkan absensi karena liburan" sqref="C2"/>
    <dataValidation allowBlank="1" showInputMessage="1" showErrorMessage="1" prompt="Huruf &quot;P&quot; menunjukkan absensi karena alasan pribadi" sqref="G2"/>
    <dataValidation allowBlank="1" showInputMessage="1" showErrorMessage="1" prompt="Huruf &quot;S&quot; menunjukkan absensi karena sakit" sqref="K2"/>
    <dataValidation allowBlank="1" showInputMessage="1" showErrorMessage="1" prompt="Masukkan huruf dan sesuaikan label di sebelah kanan untuk menambahkan item simbol lain" sqref="N2 R2"/>
    <dataValidation allowBlank="1" showInputMessage="1" showErrorMessage="1" prompt="Masukkan label untuk mendeskripsikan simbol kustom di sebelah kiri" sqref="O2:Q2 S2:U2"/>
    <dataValidation allowBlank="1" showInputMessage="1" showErrorMessage="1" prompt="Baris ini menetapkan simbol yang digunakan dalam tabel: sel C2 adalah Liburan, G2 adalah Pribadi, &amp; K2 adalah Izin Sakit. Sel N2 &amp; R2 dapat disesuaikan" sqref="B2"/>
    <dataValidation allowBlank="1" showInputMessage="1" showErrorMessage="1" prompt="Nama bulan untuk jadwal absensi ini berada dalam sel ini. Total absensi untuk bulan ini berada dalam sel terakhir pada tabel. Pilih nama karyawan dalam tabel di kolom B" sqref="B4"/>
    <dataValidation allowBlank="1" showInputMessage="1" showErrorMessage="1" prompt="Hari dalam sebulan dalam baris ini dibuat secara otomatis. Masukkan absensi dan tipe absensi karyawan di setiap kolom untuk setiap hari dalam sebulan. Kosong artinya tidak ada absensi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2A08EA-50E8-4B5F-AB1F-5A7739FBC16C}">
            <x14:dataBar minLength="0" maxLength="100">
              <x14:cfvo type="autoMin"/>
              <x14:cfvo type="formula">
                <xm:f>DATEDIF(DATE(TahunKalender,2,1),DATE(TahunKalender,3,1),"d")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'Nama Karyawan'!$B$4:$B$8</xm:f>
          </x14:formula1>
          <xm:sqref>B7:B11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12"/>
  <sheetViews>
    <sheetView showGridLines="0" zoomScaleNormal="100" workbookViewId="0"/>
  </sheetViews>
  <sheetFormatPr defaultRowHeight="30" customHeight="1" x14ac:dyDescent="0.25"/>
  <cols>
    <col min="1" max="1" width="2.7109375" style="11" customWidth="1"/>
    <col min="2" max="2" width="25.7109375" style="11" customWidth="1"/>
    <col min="3" max="33" width="4.7109375" style="11" customWidth="1"/>
    <col min="34" max="34" width="17.28515625" style="11" customWidth="1"/>
    <col min="35" max="35" width="2.7109375" customWidth="1"/>
  </cols>
  <sheetData>
    <row r="1" spans="2:34" ht="50.1" customHeight="1" x14ac:dyDescent="0.25">
      <c r="B1" s="14" t="str">
        <f>Judul_Absensi_Karyawan</f>
        <v>Jadwal Absen E-POSTES Karyawan PT. PRATAMA INDONESIA</v>
      </c>
    </row>
    <row r="2" spans="2:34" ht="15" customHeight="1" x14ac:dyDescent="0.25">
      <c r="B2" s="19" t="s">
        <v>0</v>
      </c>
      <c r="C2" s="4" t="s">
        <v>8</v>
      </c>
      <c r="D2" s="25" t="s">
        <v>11</v>
      </c>
      <c r="E2" s="25"/>
      <c r="F2" s="25"/>
      <c r="G2" s="5" t="s">
        <v>14</v>
      </c>
      <c r="H2" s="25" t="s">
        <v>18</v>
      </c>
      <c r="I2" s="25"/>
      <c r="J2" s="25"/>
      <c r="K2" s="6" t="s">
        <v>16</v>
      </c>
      <c r="L2" s="25" t="s">
        <v>23</v>
      </c>
      <c r="M2" s="25"/>
      <c r="N2" s="7"/>
      <c r="O2" s="25" t="s">
        <v>27</v>
      </c>
      <c r="P2" s="25"/>
      <c r="Q2" s="25"/>
      <c r="R2" s="8"/>
      <c r="S2" s="25" t="s">
        <v>32</v>
      </c>
      <c r="T2" s="25"/>
      <c r="U2" s="25"/>
    </row>
    <row r="3" spans="2:34" ht="15" customHeight="1" x14ac:dyDescent="0.25">
      <c r="B3" s="14"/>
    </row>
    <row r="4" spans="2:34" ht="30" customHeight="1" x14ac:dyDescent="0.25">
      <c r="B4" s="12" t="s">
        <v>61</v>
      </c>
      <c r="C4" s="24" t="s">
        <v>9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12">
        <f>TahunKalender</f>
        <v>2022</v>
      </c>
    </row>
    <row r="5" spans="2:34" ht="15" customHeight="1" x14ac:dyDescent="0.25">
      <c r="B5" s="12"/>
      <c r="C5" s="2" t="str">
        <f>TEXT(WEEKDAY(DATE(TahunKalender,11,1),1),"aaa")</f>
        <v>Tue</v>
      </c>
      <c r="D5" s="2" t="str">
        <f>TEXT(WEEKDAY(DATE(TahunKalender,11,2),1),"aaa")</f>
        <v>Wed</v>
      </c>
      <c r="E5" s="2" t="str">
        <f>TEXT(WEEKDAY(DATE(TahunKalender,11,3),1),"aaa")</f>
        <v>Thu</v>
      </c>
      <c r="F5" s="2" t="str">
        <f>TEXT(WEEKDAY(DATE(TahunKalender,11,4),1),"aaa")</f>
        <v>Fri</v>
      </c>
      <c r="G5" s="2" t="str">
        <f>TEXT(WEEKDAY(DATE(TahunKalender,11,5),1),"aaa")</f>
        <v>Sat</v>
      </c>
      <c r="H5" s="2" t="str">
        <f>TEXT(WEEKDAY(DATE(TahunKalender,11,6),1),"aaa")</f>
        <v>Sun</v>
      </c>
      <c r="I5" s="2" t="str">
        <f>TEXT(WEEKDAY(DATE(TahunKalender,11,7),1),"aaa")</f>
        <v>Mon</v>
      </c>
      <c r="J5" s="2" t="str">
        <f>TEXT(WEEKDAY(DATE(TahunKalender,11,8),1),"aaa")</f>
        <v>Tue</v>
      </c>
      <c r="K5" s="2" t="str">
        <f>TEXT(WEEKDAY(DATE(TahunKalender,11,9),1),"aaa")</f>
        <v>Wed</v>
      </c>
      <c r="L5" s="2" t="str">
        <f>TEXT(WEEKDAY(DATE(TahunKalender,11,10),1),"aaa")</f>
        <v>Thu</v>
      </c>
      <c r="M5" s="2" t="str">
        <f>TEXT(WEEKDAY(DATE(TahunKalender,11,11),1),"aaa")</f>
        <v>Fri</v>
      </c>
      <c r="N5" s="2" t="str">
        <f>TEXT(WEEKDAY(DATE(TahunKalender,11,12),1),"aaa")</f>
        <v>Sat</v>
      </c>
      <c r="O5" s="2" t="str">
        <f>TEXT(WEEKDAY(DATE(TahunKalender,11,13),1),"aaa")</f>
        <v>Sun</v>
      </c>
      <c r="P5" s="2" t="str">
        <f>TEXT(WEEKDAY(DATE(TahunKalender,11,14),1),"aaa")</f>
        <v>Mon</v>
      </c>
      <c r="Q5" s="2" t="str">
        <f>TEXT(WEEKDAY(DATE(TahunKalender,11,15),1),"aaa")</f>
        <v>Tue</v>
      </c>
      <c r="R5" s="2" t="str">
        <f>TEXT(WEEKDAY(DATE(TahunKalender,11,16),1),"aaa")</f>
        <v>Wed</v>
      </c>
      <c r="S5" s="2" t="str">
        <f>TEXT(WEEKDAY(DATE(TahunKalender,11,17),1),"aaa")</f>
        <v>Thu</v>
      </c>
      <c r="T5" s="2" t="str">
        <f>TEXT(WEEKDAY(DATE(TahunKalender,11,18),1),"aaa")</f>
        <v>Fri</v>
      </c>
      <c r="U5" s="2" t="str">
        <f>TEXT(WEEKDAY(DATE(TahunKalender,11,19),1),"aaa")</f>
        <v>Sat</v>
      </c>
      <c r="V5" s="2" t="str">
        <f>TEXT(WEEKDAY(DATE(TahunKalender,11,20),1),"aaa")</f>
        <v>Sun</v>
      </c>
      <c r="W5" s="2" t="str">
        <f>TEXT(WEEKDAY(DATE(TahunKalender,11,21),1),"aaa")</f>
        <v>Mon</v>
      </c>
      <c r="X5" s="2" t="str">
        <f>TEXT(WEEKDAY(DATE(TahunKalender,11,22),1),"aaa")</f>
        <v>Tue</v>
      </c>
      <c r="Y5" s="2" t="str">
        <f>TEXT(WEEKDAY(DATE(TahunKalender,11,23),1),"aaa")</f>
        <v>Wed</v>
      </c>
      <c r="Z5" s="2" t="str">
        <f>TEXT(WEEKDAY(DATE(TahunKalender,11,24),1),"aaa")</f>
        <v>Thu</v>
      </c>
      <c r="AA5" s="2" t="str">
        <f>TEXT(WEEKDAY(DATE(TahunKalender,11,25),1),"aaa")</f>
        <v>Fri</v>
      </c>
      <c r="AB5" s="2" t="str">
        <f>TEXT(WEEKDAY(DATE(TahunKalender,11,26),1),"aaa")</f>
        <v>Sat</v>
      </c>
      <c r="AC5" s="2" t="str">
        <f>TEXT(WEEKDAY(DATE(TahunKalender,11,27),1),"aaa")</f>
        <v>Sun</v>
      </c>
      <c r="AD5" s="2" t="str">
        <f>TEXT(WEEKDAY(DATE(TahunKalender,11,28),1),"aaa")</f>
        <v>Mon</v>
      </c>
      <c r="AE5" s="2" t="str">
        <f>TEXT(WEEKDAY(DATE(TahunKalender,11,29),1),"aaa")</f>
        <v>Tue</v>
      </c>
      <c r="AF5" s="2" t="str">
        <f>TEXT(WEEKDAY(DATE(TahunKalender,11,30),1),"aaa")</f>
        <v>Wed</v>
      </c>
      <c r="AG5" s="2"/>
      <c r="AH5" s="12"/>
    </row>
    <row r="6" spans="2:34" ht="15" customHeight="1" x14ac:dyDescent="0.25">
      <c r="B6" s="15" t="s">
        <v>2</v>
      </c>
      <c r="C6" s="3" t="s">
        <v>10</v>
      </c>
      <c r="D6" s="3" t="s">
        <v>12</v>
      </c>
      <c r="E6" s="3" t="s">
        <v>13</v>
      </c>
      <c r="F6" s="3" t="s">
        <v>15</v>
      </c>
      <c r="G6" s="3" t="s">
        <v>17</v>
      </c>
      <c r="H6" s="3" t="s">
        <v>19</v>
      </c>
      <c r="I6" s="3" t="s">
        <v>20</v>
      </c>
      <c r="J6" s="3" t="s">
        <v>21</v>
      </c>
      <c r="K6" s="3" t="s">
        <v>22</v>
      </c>
      <c r="L6" s="3" t="s">
        <v>24</v>
      </c>
      <c r="M6" s="3" t="s">
        <v>25</v>
      </c>
      <c r="N6" s="3" t="s">
        <v>26</v>
      </c>
      <c r="O6" s="3" t="s">
        <v>28</v>
      </c>
      <c r="P6" s="3" t="s">
        <v>29</v>
      </c>
      <c r="Q6" s="3" t="s">
        <v>30</v>
      </c>
      <c r="R6" s="3" t="s">
        <v>31</v>
      </c>
      <c r="S6" s="3" t="s">
        <v>33</v>
      </c>
      <c r="T6" s="3" t="s">
        <v>34</v>
      </c>
      <c r="U6" s="3" t="s">
        <v>35</v>
      </c>
      <c r="V6" s="3" t="s">
        <v>36</v>
      </c>
      <c r="W6" s="3" t="s">
        <v>37</v>
      </c>
      <c r="X6" s="3" t="s">
        <v>38</v>
      </c>
      <c r="Y6" s="3" t="s">
        <v>39</v>
      </c>
      <c r="Z6" s="3" t="s">
        <v>40</v>
      </c>
      <c r="AA6" s="3" t="s">
        <v>41</v>
      </c>
      <c r="AB6" s="3" t="s">
        <v>42</v>
      </c>
      <c r="AC6" s="3" t="s">
        <v>43</v>
      </c>
      <c r="AD6" s="3" t="s">
        <v>44</v>
      </c>
      <c r="AE6" s="3" t="s">
        <v>45</v>
      </c>
      <c r="AF6" s="3" t="s">
        <v>46</v>
      </c>
      <c r="AG6" s="3" t="s">
        <v>51</v>
      </c>
      <c r="AH6" s="16" t="s">
        <v>49</v>
      </c>
    </row>
    <row r="7" spans="2:34" ht="30" customHeight="1" x14ac:dyDescent="0.25">
      <c r="B7" s="17" t="s">
        <v>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10">
        <f>COUNTA(November[[#This Row],[1]:[30 ]])</f>
        <v>0</v>
      </c>
    </row>
    <row r="8" spans="2:34" ht="30" customHeight="1" x14ac:dyDescent="0.25">
      <c r="B8" s="17" t="s">
        <v>4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10">
        <f>COUNTA(November[[#This Row],[1]:[30 ]])</f>
        <v>0</v>
      </c>
    </row>
    <row r="9" spans="2:34" ht="30" customHeight="1" x14ac:dyDescent="0.25">
      <c r="B9" s="17" t="s">
        <v>5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10">
        <f>COUNTA(November[[#This Row],[1]:[30 ]])</f>
        <v>0</v>
      </c>
    </row>
    <row r="10" spans="2:34" ht="30" customHeight="1" x14ac:dyDescent="0.25">
      <c r="B10" s="17" t="s">
        <v>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10">
        <f>COUNTA(November[[#This Row],[1]:[30 ]])</f>
        <v>0</v>
      </c>
    </row>
    <row r="11" spans="2:34" ht="30" customHeight="1" x14ac:dyDescent="0.25">
      <c r="B11" s="17" t="s">
        <v>7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10">
        <f>COUNTA(November[[#This Row],[1]:[30 ]])</f>
        <v>0</v>
      </c>
    </row>
    <row r="12" spans="2:34" ht="30" customHeight="1" x14ac:dyDescent="0.25">
      <c r="B12" s="21" t="str">
        <f>"Total "&amp;NamaBulan</f>
        <v>Total November</v>
      </c>
      <c r="C12" s="13">
        <f>SUBTOTAL(103,November[1])</f>
        <v>0</v>
      </c>
      <c r="D12" s="13">
        <f>SUBTOTAL(103,November[2])</f>
        <v>0</v>
      </c>
      <c r="E12" s="13">
        <f>SUBTOTAL(103,November[3])</f>
        <v>0</v>
      </c>
      <c r="F12" s="13">
        <f>SUBTOTAL(103,November[4])</f>
        <v>0</v>
      </c>
      <c r="G12" s="13">
        <f>SUBTOTAL(103,November[5])</f>
        <v>0</v>
      </c>
      <c r="H12" s="13">
        <f>SUBTOTAL(103,November[6])</f>
        <v>0</v>
      </c>
      <c r="I12" s="13">
        <f>SUBTOTAL(103,November[7])</f>
        <v>0</v>
      </c>
      <c r="J12" s="13">
        <f>SUBTOTAL(103,November[8])</f>
        <v>0</v>
      </c>
      <c r="K12" s="13">
        <f>SUBTOTAL(103,November[9])</f>
        <v>0</v>
      </c>
      <c r="L12" s="13">
        <f>SUBTOTAL(103,November[10])</f>
        <v>0</v>
      </c>
      <c r="M12" s="13">
        <f>SUBTOTAL(103,November[11])</f>
        <v>0</v>
      </c>
      <c r="N12" s="13">
        <f>SUBTOTAL(103,November[12])</f>
        <v>0</v>
      </c>
      <c r="O12" s="13">
        <f>SUBTOTAL(103,November[13])</f>
        <v>0</v>
      </c>
      <c r="P12" s="13">
        <f>SUBTOTAL(103,November[14])</f>
        <v>0</v>
      </c>
      <c r="Q12" s="13">
        <f>SUBTOTAL(103,November[15])</f>
        <v>0</v>
      </c>
      <c r="R12" s="13">
        <f>SUBTOTAL(103,November[16])</f>
        <v>0</v>
      </c>
      <c r="S12" s="13">
        <f>SUBTOTAL(103,November[17])</f>
        <v>0</v>
      </c>
      <c r="T12" s="13">
        <f>SUBTOTAL(103,November[18])</f>
        <v>0</v>
      </c>
      <c r="U12" s="13">
        <f>SUBTOTAL(103,November[19])</f>
        <v>0</v>
      </c>
      <c r="V12" s="13">
        <f>SUBTOTAL(103,November[20])</f>
        <v>0</v>
      </c>
      <c r="W12" s="13">
        <f>SUBTOTAL(103,November[21])</f>
        <v>0</v>
      </c>
      <c r="X12" s="13">
        <f>SUBTOTAL(103,November[22])</f>
        <v>0</v>
      </c>
      <c r="Y12" s="13">
        <f>SUBTOTAL(103,November[23])</f>
        <v>0</v>
      </c>
      <c r="Z12" s="13">
        <f>SUBTOTAL(103,November[24])</f>
        <v>0</v>
      </c>
      <c r="AA12" s="13">
        <f>SUBTOTAL(103,November[25])</f>
        <v>0</v>
      </c>
      <c r="AB12" s="13">
        <f>SUBTOTAL(103,November[26])</f>
        <v>0</v>
      </c>
      <c r="AC12" s="13">
        <f>SUBTOTAL(103,November[27])</f>
        <v>0</v>
      </c>
      <c r="AD12" s="13">
        <f>SUBTOTAL(103,November[28])</f>
        <v>0</v>
      </c>
      <c r="AE12" s="13">
        <f>SUBTOTAL(103,November[29])</f>
        <v>0</v>
      </c>
      <c r="AF12" s="13">
        <f>SUBTOTAL(103,November[[30 ]])</f>
        <v>0</v>
      </c>
      <c r="AG12" s="13">
        <f>SUBTOTAL(103,November[[ ]])</f>
        <v>0</v>
      </c>
      <c r="AH12" s="13">
        <f>SUBTOTAL(109,November[Total Hari])</f>
        <v>0</v>
      </c>
    </row>
  </sheetData>
  <mergeCells count="6">
    <mergeCell ref="C4:AG4"/>
    <mergeCell ref="D2:F2"/>
    <mergeCell ref="H2:J2"/>
    <mergeCell ref="L2:M2"/>
    <mergeCell ref="O2:Q2"/>
    <mergeCell ref="S2:U2"/>
  </mergeCells>
  <conditionalFormatting sqref="C7:AG11">
    <cfRule type="expression" priority="1" stopIfTrue="1">
      <formula>C7=""</formula>
    </cfRule>
  </conditionalFormatting>
  <conditionalFormatting sqref="C7:AG11">
    <cfRule type="expression" dxfId="147" priority="2" stopIfTrue="1">
      <formula>C7=KustomKunci2</formula>
    </cfRule>
    <cfRule type="expression" dxfId="146" priority="3" stopIfTrue="1">
      <formula>C7=Kustomkunci1</formula>
    </cfRule>
    <cfRule type="expression" dxfId="145" priority="4" stopIfTrue="1">
      <formula>C7=SakitKunci</formula>
    </cfRule>
    <cfRule type="expression" dxfId="144" priority="5" stopIfTrue="1">
      <formula>C7=PribadiKunci</formula>
    </cfRule>
    <cfRule type="expression" dxfId="143" priority="6" stopIfTrue="1">
      <formula>C7=LiburanKunci</formula>
    </cfRule>
  </conditionalFormatting>
  <conditionalFormatting sqref="AH7:AH11">
    <cfRule type="dataBar" priority="7">
      <dataBar>
        <cfvo type="min"/>
        <cfvo type="formula" val="DATEDIF(DATE(TahunKalender,2,1),DATE(TahunKalender,3,1),&quot;d&quot;)"/>
        <color theme="2" tint="-0.249977111117893"/>
      </dataBar>
      <extLst>
        <ext xmlns:x14="http://schemas.microsoft.com/office/spreadsheetml/2009/9/main" uri="{B025F937-C7B1-47D3-B67F-A62EFF666E3E}">
          <x14:id>{27D92E49-5CF1-46DF-AD7A-3A5E92F274F3}</x14:id>
        </ext>
      </extLst>
    </cfRule>
  </conditionalFormatting>
  <dataValidations count="14">
    <dataValidation allowBlank="1" showInputMessage="1" showErrorMessage="1" prompt="Hari dalam sebulan dalam baris ini dibuat secara otomatis. Masukkan absensi dan tipe absensi karyawan di setiap kolom untuk setiap hari dalam sebulan. Kosong artinya tidak ada absensi" sqref="C6"/>
    <dataValidation allowBlank="1" showInputMessage="1" showErrorMessage="1" prompt="Nama bulan untuk jadwal absensi ini berada dalam sel ini. Total absensi untuk bulan ini berada dalam sel terakhir pada tabel. Pilih nama karyawan dalam tabel di kolom B" sqref="B4"/>
    <dataValidation allowBlank="1" showInputMessage="1" showErrorMessage="1" prompt="Baris ini menetapkan simbol yang digunakan dalam tabel: sel C2 adalah Liburan, G2 adalah Pribadi, &amp; K2 adalah Izin Sakit. Sel N2 &amp; R2 dapat disesuaikan" sqref="B2"/>
    <dataValidation allowBlank="1" showInputMessage="1" showErrorMessage="1" prompt="Masukkan label untuk mendeskripsikan simbol kustom di sebelah kiri" sqref="O2:Q2 S2:U2"/>
    <dataValidation allowBlank="1" showInputMessage="1" showErrorMessage="1" prompt="Masukkan huruf dan sesuaikan label di sebelah kanan untuk menambahkan item simbol lain" sqref="N2 R2"/>
    <dataValidation allowBlank="1" showInputMessage="1" showErrorMessage="1" prompt="Huruf &quot;S&quot; menunjukkan absensi karena sakit" sqref="K2"/>
    <dataValidation allowBlank="1" showInputMessage="1" showErrorMessage="1" prompt="Huruf &quot;P&quot; menunjukkan absensi karena alasan pribadi" sqref="G2"/>
    <dataValidation allowBlank="1" showInputMessage="1" showErrorMessage="1" prompt="Huruf &quot;L&quot; menunjukkan absensi karena liburan" sqref="C2"/>
    <dataValidation allowBlank="1" showInputMessage="1" showErrorMessage="1" prompt="Judul yang otomatis diperbarui berada dalam sel ini. Untuk mengubah judul, perbarui B1 pada lembar kerja Januari" sqref="B1"/>
    <dataValidation errorStyle="warning" allowBlank="1" showInputMessage="1" showErrorMessage="1" error="Pilih nama dari daftar. Pilih BATAL, lalu tekan ALT+PANAH BAWAH kemudian ENTER untuk memilih nama" prompt="Masukkan nama karyawan dalam lembar kerja Nama Karyawan, lalu pilih salah satu nama dari daftar dalam kolom ini. Tekan ALT+PANAH BAWAH kemudian ENTER untuk memilih nama" sqref="B6"/>
    <dataValidation allowBlank="1" showInputMessage="1" showErrorMessage="1" prompt="Catat absensi bulan November di lembar kerja ini" sqref="A1"/>
    <dataValidation allowBlank="1" showInputMessage="1" showErrorMessage="1" prompt="Otomatis menghitung total jumlah hari karyawan absen bulan ini di kolom ini" sqref="AH6"/>
    <dataValidation allowBlank="1" showInputMessage="1" showErrorMessage="1" prompt="Otomatis memperbarui tahun berdasarkan tahun yang dimasukkan dalam lembar kerja Januari" sqref="AH4"/>
    <dataValidation allowBlank="1" showInputMessage="1" showErrorMessage="1" prompt="Hari kerja dalam baris ini diperbarui secara otomatis sesuai bulan menurut tahun yang ada di AH4. Setiap hari dalam sebulan memiliki kolom untuk mencatat absensi dan tipe absensi karyawan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D92E49-5CF1-46DF-AD7A-3A5E92F274F3}">
            <x14:dataBar minLength="0" maxLength="100">
              <x14:cfvo type="autoMin"/>
              <x14:cfvo type="formula">
                <xm:f>DATEDIF(DATE(TahunKalender,2,1),DATE(TahunKalender,3,1),"d")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'Nama Karyawan'!$B$4:$B$8</xm:f>
          </x14:formula1>
          <xm:sqref>B7:B11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  <pageSetUpPr fitToPage="1"/>
  </sheetPr>
  <dimension ref="A1:AH12"/>
  <sheetViews>
    <sheetView showGridLines="0" zoomScaleNormal="100" workbookViewId="0"/>
  </sheetViews>
  <sheetFormatPr defaultRowHeight="30" customHeight="1" x14ac:dyDescent="0.25"/>
  <cols>
    <col min="1" max="1" width="2.7109375" style="11" customWidth="1"/>
    <col min="2" max="2" width="25.7109375" style="11" customWidth="1"/>
    <col min="3" max="33" width="4.7109375" style="11" customWidth="1"/>
    <col min="34" max="34" width="17.28515625" style="11" customWidth="1"/>
    <col min="35" max="35" width="2.7109375" customWidth="1"/>
  </cols>
  <sheetData>
    <row r="1" spans="2:34" ht="50.1" customHeight="1" x14ac:dyDescent="0.25">
      <c r="B1" s="14" t="str">
        <f>Judul_Absensi_Karyawan</f>
        <v>Jadwal Absen E-POSTES Karyawan PT. PRATAMA INDONESIA</v>
      </c>
    </row>
    <row r="2" spans="2:34" ht="15" customHeight="1" x14ac:dyDescent="0.25">
      <c r="B2" s="19" t="s">
        <v>0</v>
      </c>
      <c r="C2" s="4" t="s">
        <v>8</v>
      </c>
      <c r="D2" s="25" t="s">
        <v>11</v>
      </c>
      <c r="E2" s="25"/>
      <c r="F2" s="25"/>
      <c r="G2" s="5" t="s">
        <v>14</v>
      </c>
      <c r="H2" s="25" t="s">
        <v>18</v>
      </c>
      <c r="I2" s="25"/>
      <c r="J2" s="25"/>
      <c r="K2" s="6" t="s">
        <v>16</v>
      </c>
      <c r="L2" s="25" t="s">
        <v>23</v>
      </c>
      <c r="M2" s="25"/>
      <c r="N2" s="7"/>
      <c r="O2" s="25" t="s">
        <v>27</v>
      </c>
      <c r="P2" s="25"/>
      <c r="Q2" s="25"/>
      <c r="R2" s="8"/>
      <c r="S2" s="25" t="s">
        <v>32</v>
      </c>
      <c r="T2" s="25"/>
      <c r="U2" s="25"/>
    </row>
    <row r="3" spans="2:34" ht="15" customHeight="1" x14ac:dyDescent="0.25">
      <c r="B3" s="14"/>
    </row>
    <row r="4" spans="2:34" ht="30" customHeight="1" x14ac:dyDescent="0.25">
      <c r="B4" s="12" t="s">
        <v>62</v>
      </c>
      <c r="C4" s="24" t="s">
        <v>9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12">
        <f>TahunKalender</f>
        <v>2022</v>
      </c>
    </row>
    <row r="5" spans="2:34" ht="15" customHeight="1" x14ac:dyDescent="0.25">
      <c r="B5" s="12"/>
      <c r="C5" s="2" t="str">
        <f>TEXT(WEEKDAY(DATE(TahunKalender,12,1),1),"aaa")</f>
        <v>Thu</v>
      </c>
      <c r="D5" s="2" t="str">
        <f>TEXT(WEEKDAY(DATE(TahunKalender,12,2),1),"aaa")</f>
        <v>Fri</v>
      </c>
      <c r="E5" s="2" t="str">
        <f>TEXT(WEEKDAY(DATE(TahunKalender,12,3),1),"aaa")</f>
        <v>Sat</v>
      </c>
      <c r="F5" s="2" t="str">
        <f>TEXT(WEEKDAY(DATE(TahunKalender,12,4),1),"aaa")</f>
        <v>Sun</v>
      </c>
      <c r="G5" s="2" t="str">
        <f>TEXT(WEEKDAY(DATE(TahunKalender,12,5),1),"aaa")</f>
        <v>Mon</v>
      </c>
      <c r="H5" s="2" t="str">
        <f>TEXT(WEEKDAY(DATE(TahunKalender,12,6),1),"aaa")</f>
        <v>Tue</v>
      </c>
      <c r="I5" s="2" t="str">
        <f>TEXT(WEEKDAY(DATE(TahunKalender,12,7),1),"aaa")</f>
        <v>Wed</v>
      </c>
      <c r="J5" s="2" t="str">
        <f>TEXT(WEEKDAY(DATE(TahunKalender,12,8),1),"aaa")</f>
        <v>Thu</v>
      </c>
      <c r="K5" s="2" t="str">
        <f>TEXT(WEEKDAY(DATE(TahunKalender,12,9),1),"aaa")</f>
        <v>Fri</v>
      </c>
      <c r="L5" s="2" t="str">
        <f>TEXT(WEEKDAY(DATE(TahunKalender,12,10),1),"aaa")</f>
        <v>Sat</v>
      </c>
      <c r="M5" s="2" t="str">
        <f>TEXT(WEEKDAY(DATE(TahunKalender,12,11),1),"aaa")</f>
        <v>Sun</v>
      </c>
      <c r="N5" s="2" t="str">
        <f>TEXT(WEEKDAY(DATE(TahunKalender,12,12),1),"aaa")</f>
        <v>Mon</v>
      </c>
      <c r="O5" s="2" t="str">
        <f>TEXT(WEEKDAY(DATE(TahunKalender,12,13),1),"aaa")</f>
        <v>Tue</v>
      </c>
      <c r="P5" s="2" t="str">
        <f>TEXT(WEEKDAY(DATE(TahunKalender,12,14),1),"aaa")</f>
        <v>Wed</v>
      </c>
      <c r="Q5" s="2" t="str">
        <f>TEXT(WEEKDAY(DATE(TahunKalender,12,15),1),"aaa")</f>
        <v>Thu</v>
      </c>
      <c r="R5" s="2" t="str">
        <f>TEXT(WEEKDAY(DATE(TahunKalender,12,16),1),"aaa")</f>
        <v>Fri</v>
      </c>
      <c r="S5" s="2" t="str">
        <f>TEXT(WEEKDAY(DATE(TahunKalender,12,17),1),"aaa")</f>
        <v>Sat</v>
      </c>
      <c r="T5" s="2" t="str">
        <f>TEXT(WEEKDAY(DATE(TahunKalender,12,18),1),"aaa")</f>
        <v>Sun</v>
      </c>
      <c r="U5" s="2" t="str">
        <f>TEXT(WEEKDAY(DATE(TahunKalender,12,19),1),"aaa")</f>
        <v>Mon</v>
      </c>
      <c r="V5" s="2" t="str">
        <f>TEXT(WEEKDAY(DATE(TahunKalender,12,20),1),"aaa")</f>
        <v>Tue</v>
      </c>
      <c r="W5" s="2" t="str">
        <f>TEXT(WEEKDAY(DATE(TahunKalender,12,21),1),"aaa")</f>
        <v>Wed</v>
      </c>
      <c r="X5" s="2" t="str">
        <f>TEXT(WEEKDAY(DATE(TahunKalender,12,22),1),"aaa")</f>
        <v>Thu</v>
      </c>
      <c r="Y5" s="2" t="str">
        <f>TEXT(WEEKDAY(DATE(TahunKalender,12,23),1),"aaa")</f>
        <v>Fri</v>
      </c>
      <c r="Z5" s="2" t="str">
        <f>TEXT(WEEKDAY(DATE(TahunKalender,12,24),1),"aaa")</f>
        <v>Sat</v>
      </c>
      <c r="AA5" s="2" t="str">
        <f>TEXT(WEEKDAY(DATE(TahunKalender,12,25),1),"aaa")</f>
        <v>Sun</v>
      </c>
      <c r="AB5" s="2" t="str">
        <f>TEXT(WEEKDAY(DATE(TahunKalender,12,26),1),"aaa")</f>
        <v>Mon</v>
      </c>
      <c r="AC5" s="2" t="str">
        <f>TEXT(WEEKDAY(DATE(TahunKalender,12,27),1),"aaa")</f>
        <v>Tue</v>
      </c>
      <c r="AD5" s="2" t="str">
        <f>TEXT(WEEKDAY(DATE(TahunKalender,12,28),1),"aaa")</f>
        <v>Wed</v>
      </c>
      <c r="AE5" s="2" t="str">
        <f>TEXT(WEEKDAY(DATE(TahunKalender,12,29),1),"aaa")</f>
        <v>Thu</v>
      </c>
      <c r="AF5" s="2" t="str">
        <f>TEXT(WEEKDAY(DATE(TahunKalender,12,30),1),"aaa")</f>
        <v>Fri</v>
      </c>
      <c r="AG5" s="2" t="str">
        <f>TEXT(WEEKDAY(DATE(TahunKalender,12,31),1),"aaa")</f>
        <v>Sat</v>
      </c>
      <c r="AH5" s="12"/>
    </row>
    <row r="6" spans="2:34" ht="15" customHeight="1" x14ac:dyDescent="0.25">
      <c r="B6" s="15" t="s">
        <v>2</v>
      </c>
      <c r="C6" s="3" t="s">
        <v>10</v>
      </c>
      <c r="D6" s="3" t="s">
        <v>12</v>
      </c>
      <c r="E6" s="3" t="s">
        <v>13</v>
      </c>
      <c r="F6" s="3" t="s">
        <v>15</v>
      </c>
      <c r="G6" s="3" t="s">
        <v>17</v>
      </c>
      <c r="H6" s="3" t="s">
        <v>19</v>
      </c>
      <c r="I6" s="3" t="s">
        <v>20</v>
      </c>
      <c r="J6" s="3" t="s">
        <v>21</v>
      </c>
      <c r="K6" s="3" t="s">
        <v>22</v>
      </c>
      <c r="L6" s="3" t="s">
        <v>24</v>
      </c>
      <c r="M6" s="3" t="s">
        <v>25</v>
      </c>
      <c r="N6" s="3" t="s">
        <v>26</v>
      </c>
      <c r="O6" s="3" t="s">
        <v>28</v>
      </c>
      <c r="P6" s="3" t="s">
        <v>29</v>
      </c>
      <c r="Q6" s="3" t="s">
        <v>30</v>
      </c>
      <c r="R6" s="3" t="s">
        <v>31</v>
      </c>
      <c r="S6" s="3" t="s">
        <v>33</v>
      </c>
      <c r="T6" s="3" t="s">
        <v>34</v>
      </c>
      <c r="U6" s="3" t="s">
        <v>35</v>
      </c>
      <c r="V6" s="3" t="s">
        <v>36</v>
      </c>
      <c r="W6" s="3" t="s">
        <v>37</v>
      </c>
      <c r="X6" s="3" t="s">
        <v>38</v>
      </c>
      <c r="Y6" s="3" t="s">
        <v>39</v>
      </c>
      <c r="Z6" s="3" t="s">
        <v>40</v>
      </c>
      <c r="AA6" s="3" t="s">
        <v>41</v>
      </c>
      <c r="AB6" s="3" t="s">
        <v>42</v>
      </c>
      <c r="AC6" s="3" t="s">
        <v>43</v>
      </c>
      <c r="AD6" s="3" t="s">
        <v>44</v>
      </c>
      <c r="AE6" s="3" t="s">
        <v>45</v>
      </c>
      <c r="AF6" s="3" t="s">
        <v>46</v>
      </c>
      <c r="AG6" s="3" t="s">
        <v>47</v>
      </c>
      <c r="AH6" s="16" t="s">
        <v>49</v>
      </c>
    </row>
    <row r="7" spans="2:34" ht="30" customHeight="1" x14ac:dyDescent="0.25">
      <c r="B7" s="17" t="s">
        <v>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10">
        <f>COUNTA(Desember[[#This Row],[1]:[31]])</f>
        <v>0</v>
      </c>
    </row>
    <row r="8" spans="2:34" ht="30" customHeight="1" x14ac:dyDescent="0.25">
      <c r="B8" s="17" t="s">
        <v>4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10">
        <f>COUNTA(Desember[[#This Row],[1]:[31]])</f>
        <v>0</v>
      </c>
    </row>
    <row r="9" spans="2:34" ht="30" customHeight="1" x14ac:dyDescent="0.25">
      <c r="B9" s="17" t="s">
        <v>5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10">
        <f>COUNTA(Desember[[#This Row],[1]:[31]])</f>
        <v>0</v>
      </c>
    </row>
    <row r="10" spans="2:34" ht="30" customHeight="1" x14ac:dyDescent="0.25">
      <c r="B10" s="17" t="s">
        <v>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10">
        <f>COUNTA(Desember[[#This Row],[1]:[31]])</f>
        <v>0</v>
      </c>
    </row>
    <row r="11" spans="2:34" ht="30" customHeight="1" x14ac:dyDescent="0.25">
      <c r="B11" s="17" t="s">
        <v>7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10">
        <f>COUNTA(Desember[[#This Row],[1]:[31]])</f>
        <v>0</v>
      </c>
    </row>
    <row r="12" spans="2:34" ht="30" customHeight="1" x14ac:dyDescent="0.25">
      <c r="B12" s="21" t="str">
        <f>"Total "&amp;NamaBulan</f>
        <v>Total Desember</v>
      </c>
      <c r="C12" s="13">
        <f>SUBTOTAL(103,Desember[1])</f>
        <v>0</v>
      </c>
      <c r="D12" s="13">
        <f>SUBTOTAL(103,Desember[2])</f>
        <v>0</v>
      </c>
      <c r="E12" s="13">
        <f>SUBTOTAL(103,Desember[3])</f>
        <v>0</v>
      </c>
      <c r="F12" s="13">
        <f>SUBTOTAL(103,Desember[4])</f>
        <v>0</v>
      </c>
      <c r="G12" s="13">
        <f>SUBTOTAL(103,Desember[5])</f>
        <v>0</v>
      </c>
      <c r="H12" s="13">
        <f>SUBTOTAL(103,Desember[6])</f>
        <v>0</v>
      </c>
      <c r="I12" s="13">
        <f>SUBTOTAL(103,Desember[7])</f>
        <v>0</v>
      </c>
      <c r="J12" s="13">
        <f>SUBTOTAL(103,Desember[8])</f>
        <v>0</v>
      </c>
      <c r="K12" s="13">
        <f>SUBTOTAL(103,Desember[9])</f>
        <v>0</v>
      </c>
      <c r="L12" s="13">
        <f>SUBTOTAL(103,Desember[10])</f>
        <v>0</v>
      </c>
      <c r="M12" s="13">
        <f>SUBTOTAL(103,Desember[11])</f>
        <v>0</v>
      </c>
      <c r="N12" s="13">
        <f>SUBTOTAL(103,Desember[12])</f>
        <v>0</v>
      </c>
      <c r="O12" s="13">
        <f>SUBTOTAL(103,Desember[13])</f>
        <v>0</v>
      </c>
      <c r="P12" s="13">
        <f>SUBTOTAL(103,Desember[14])</f>
        <v>0</v>
      </c>
      <c r="Q12" s="13">
        <f>SUBTOTAL(103,Desember[15])</f>
        <v>0</v>
      </c>
      <c r="R12" s="13">
        <f>SUBTOTAL(103,Desember[16])</f>
        <v>0</v>
      </c>
      <c r="S12" s="13">
        <f>SUBTOTAL(103,Desember[17])</f>
        <v>0</v>
      </c>
      <c r="T12" s="13">
        <f>SUBTOTAL(103,Desember[18])</f>
        <v>0</v>
      </c>
      <c r="U12" s="13">
        <f>SUBTOTAL(103,Desember[19])</f>
        <v>0</v>
      </c>
      <c r="V12" s="13">
        <f>SUBTOTAL(103,Desember[20])</f>
        <v>0</v>
      </c>
      <c r="W12" s="13">
        <f>SUBTOTAL(103,Desember[21])</f>
        <v>0</v>
      </c>
      <c r="X12" s="13">
        <f>SUBTOTAL(103,Desember[22])</f>
        <v>0</v>
      </c>
      <c r="Y12" s="13">
        <f>SUBTOTAL(103,Desember[23])</f>
        <v>0</v>
      </c>
      <c r="Z12" s="13">
        <f>SUBTOTAL(103,Desember[24])</f>
        <v>0</v>
      </c>
      <c r="AA12" s="13">
        <f>SUBTOTAL(103,Desember[25])</f>
        <v>0</v>
      </c>
      <c r="AB12" s="13">
        <f>SUBTOTAL(103,Desember[26])</f>
        <v>0</v>
      </c>
      <c r="AC12" s="13">
        <f>SUBTOTAL(103,Desember[27])</f>
        <v>0</v>
      </c>
      <c r="AD12" s="13">
        <f>SUBTOTAL(103,Desember[28])</f>
        <v>0</v>
      </c>
      <c r="AE12" s="13">
        <f>SUBTOTAL(103,Desember[29])</f>
        <v>0</v>
      </c>
      <c r="AF12" s="13">
        <f>SUBTOTAL(103,Desember[[30 ]])</f>
        <v>0</v>
      </c>
      <c r="AG12" s="13">
        <f>SUBTOTAL(103,Desember[31])</f>
        <v>0</v>
      </c>
      <c r="AH12" s="13">
        <f>SUBTOTAL(109,Desember[Total Hari])</f>
        <v>0</v>
      </c>
    </row>
  </sheetData>
  <mergeCells count="6">
    <mergeCell ref="C4:AG4"/>
    <mergeCell ref="D2:F2"/>
    <mergeCell ref="H2:J2"/>
    <mergeCell ref="L2:M2"/>
    <mergeCell ref="O2:Q2"/>
    <mergeCell ref="S2:U2"/>
  </mergeCells>
  <conditionalFormatting sqref="C7:AG11">
    <cfRule type="expression" priority="1" stopIfTrue="1">
      <formula>C7=""</formula>
    </cfRule>
  </conditionalFormatting>
  <conditionalFormatting sqref="C7:AG11">
    <cfRule type="expression" dxfId="73" priority="2" stopIfTrue="1">
      <formula>C7=KustomKunci2</formula>
    </cfRule>
    <cfRule type="expression" dxfId="72" priority="3" stopIfTrue="1">
      <formula>C7=Kustomkunci1</formula>
    </cfRule>
    <cfRule type="expression" dxfId="71" priority="4" stopIfTrue="1">
      <formula>C7=SakitKunci</formula>
    </cfRule>
    <cfRule type="expression" dxfId="70" priority="5" stopIfTrue="1">
      <formula>C7=PribadiKunci</formula>
    </cfRule>
    <cfRule type="expression" dxfId="69" priority="6" stopIfTrue="1">
      <formula>C7=LiburanKunci</formula>
    </cfRule>
  </conditionalFormatting>
  <conditionalFormatting sqref="AH7:AH11">
    <cfRule type="dataBar" priority="30">
      <dataBar>
        <cfvo type="min"/>
        <cfvo type="formula" val="DATEDIF(DATE(TahunKalender,2,1),DATE(TahunKalender,3,1),&quot;d&quot;)"/>
        <color theme="2" tint="-0.249977111117893"/>
      </dataBar>
      <extLst>
        <ext xmlns:x14="http://schemas.microsoft.com/office/spreadsheetml/2009/9/main" uri="{B025F937-C7B1-47D3-B67F-A62EFF666E3E}">
          <x14:id>{17586780-365B-4F4C-BBB4-F5991705D361}</x14:id>
        </ext>
      </extLst>
    </cfRule>
  </conditionalFormatting>
  <dataValidations count="14">
    <dataValidation allowBlank="1" showInputMessage="1" showErrorMessage="1" prompt="Otomatis memperbarui tahun berdasarkan tahun yang dimasukkan dalam lembar kerja Januari" sqref="AH4"/>
    <dataValidation allowBlank="1" showInputMessage="1" showErrorMessage="1" prompt="Otomatis menghitung total jumlah hari karyawan absen bulan ini di kolom ini" sqref="AH6"/>
    <dataValidation allowBlank="1" showInputMessage="1" showErrorMessage="1" prompt="Catat absensi bulan Desember di lembar kerja ini" sqref="A1"/>
    <dataValidation errorStyle="warning" allowBlank="1" showInputMessage="1" showErrorMessage="1" error="Pilih nama dari daftar. Pilih BATAL, lalu tekan ALT+PANAH BAWAH kemudian ENTER untuk memilih nama" prompt="Masukkan nama karyawan dalam lembar kerja Nama Karyawan, lalu pilih salah satu nama dari daftar dalam kolom ini. Tekan ALT+PANAH BAWAH kemudian ENTER untuk memilih nama" sqref="B6"/>
    <dataValidation allowBlank="1" showInputMessage="1" showErrorMessage="1" prompt="Judul yang otomatis diperbarui berada dalam sel ini. Untuk mengubah judul, perbarui B1 pada lembar kerja Januari" sqref="B1"/>
    <dataValidation allowBlank="1" showInputMessage="1" showErrorMessage="1" prompt="Huruf &quot;L&quot; menunjukkan absensi karena liburan" sqref="C2"/>
    <dataValidation allowBlank="1" showInputMessage="1" showErrorMessage="1" prompt="Huruf &quot;P&quot; menunjukkan absensi karena alasan pribadi" sqref="G2"/>
    <dataValidation allowBlank="1" showInputMessage="1" showErrorMessage="1" prompt="Huruf &quot;S&quot; menunjukkan absensi karena sakit" sqref="K2"/>
    <dataValidation allowBlank="1" showInputMessage="1" showErrorMessage="1" prompt="Masukkan huruf dan sesuaikan label di sebelah kanan untuk menambahkan item simbol lain" sqref="N2 R2"/>
    <dataValidation allowBlank="1" showInputMessage="1" showErrorMessage="1" prompt="Masukkan label untuk mendeskripsikan simbol kustom di sebelah kiri" sqref="O2:Q2 S2:U2"/>
    <dataValidation allowBlank="1" showInputMessage="1" showErrorMessage="1" prompt="Baris ini menetapkan simbol yang digunakan dalam tabel: sel C2 adalah Liburan, G2 adalah Pribadi, &amp; K2 adalah Izin Sakit. Sel N2 &amp; R2 dapat disesuaikan" sqref="B2"/>
    <dataValidation allowBlank="1" showInputMessage="1" showErrorMessage="1" prompt="Nama bulan untuk jadwal absensi ini berada dalam sel ini. Total absensi untuk bulan ini berada dalam sel terakhir pada tabel. Pilih nama karyawan dalam tabel di kolom B" sqref="B4"/>
    <dataValidation allowBlank="1" showInputMessage="1" showErrorMessage="1" prompt="Hari kerja dalam baris ini diperbarui secara otomatis sesuai bulan menurut tahun yang ada di AH4. Setiap hari dalam sebulan memiliki kolom untuk mencatat absensi dan tipe absensi karyawan" sqref="C5"/>
    <dataValidation allowBlank="1" showInputMessage="1" showErrorMessage="1" prompt="Hari dalam sebulan dalam baris ini dibuat secara otomatis. Masukkan absensi dan tipe absensi karyawan di setiap kolom untuk setiap hari dalam sebulan. Kosong artinya tidak ada absensi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586780-365B-4F4C-BBB4-F5991705D361}">
            <x14:dataBar minLength="0" maxLength="100">
              <x14:cfvo type="autoMin"/>
              <x14:cfvo type="formula">
                <xm:f>DATEDIF(DATE(TahunKalender,2,1),DATE(TahunKalender,3,1),"d")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'Nama Karyawan'!$B$4:$B$8</xm:f>
          </x14:formula1>
          <xm:sqref>B7:B11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B8"/>
  <sheetViews>
    <sheetView showGridLines="0" workbookViewId="0"/>
  </sheetViews>
  <sheetFormatPr defaultRowHeight="30" customHeight="1" x14ac:dyDescent="0.25"/>
  <cols>
    <col min="1" max="1" width="2.7109375" customWidth="1"/>
    <col min="2" max="2" width="30.7109375" customWidth="1"/>
    <col min="3" max="3" width="2.7109375" customWidth="1"/>
  </cols>
  <sheetData>
    <row r="1" spans="2:2" ht="50.1" customHeight="1" x14ac:dyDescent="0.25">
      <c r="B1" s="22" t="s">
        <v>2</v>
      </c>
    </row>
    <row r="2" spans="2:2" ht="15" customHeight="1" x14ac:dyDescent="0.25"/>
    <row r="3" spans="2:2" ht="30" customHeight="1" x14ac:dyDescent="0.25">
      <c r="B3" t="s">
        <v>2</v>
      </c>
    </row>
    <row r="4" spans="2:2" ht="30" customHeight="1" x14ac:dyDescent="0.25">
      <c r="B4" s="1" t="s">
        <v>3</v>
      </c>
    </row>
    <row r="5" spans="2:2" ht="30" customHeight="1" x14ac:dyDescent="0.25">
      <c r="B5" s="1" t="s">
        <v>4</v>
      </c>
    </row>
    <row r="6" spans="2:2" ht="30" customHeight="1" x14ac:dyDescent="0.25">
      <c r="B6" s="1" t="s">
        <v>5</v>
      </c>
    </row>
    <row r="7" spans="2:2" ht="30" customHeight="1" x14ac:dyDescent="0.25">
      <c r="B7" s="1" t="s">
        <v>6</v>
      </c>
    </row>
    <row r="8" spans="2:2" ht="30" customHeight="1" x14ac:dyDescent="0.25">
      <c r="B8" s="1" t="s">
        <v>7</v>
      </c>
    </row>
  </sheetData>
  <dataValidations count="3">
    <dataValidation allowBlank="1" showInputMessage="1" showErrorMessage="1" prompt="Judul nama karyawan" sqref="B1"/>
    <dataValidation allowBlank="1" showInputMessage="1" showErrorMessage="1" prompt="Masukkan nama karyawan dalam tabel nama karyawan di lembar kerja ini. Nama ini digunakan sebagai opsi dalam Kolom B dari tabel absensi setiap bulan" sqref="A1"/>
    <dataValidation allowBlank="1" showInputMessage="1" showErrorMessage="1" prompt="Masukkan nama karyawan dalam kolom ini" sqref="B3"/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12"/>
  <sheetViews>
    <sheetView showGridLines="0" zoomScaleNormal="100" workbookViewId="0"/>
  </sheetViews>
  <sheetFormatPr defaultColWidth="9.140625" defaultRowHeight="30" customHeight="1" x14ac:dyDescent="0.25"/>
  <cols>
    <col min="1" max="1" width="2.7109375" style="11" customWidth="1"/>
    <col min="2" max="2" width="25.7109375" style="11" customWidth="1"/>
    <col min="3" max="33" width="4.7109375" style="11" customWidth="1"/>
    <col min="34" max="34" width="17.28515625" style="11" customWidth="1"/>
    <col min="35" max="35" width="2.7109375" customWidth="1"/>
  </cols>
  <sheetData>
    <row r="1" spans="2:34" ht="50.1" customHeight="1" x14ac:dyDescent="0.25">
      <c r="B1" s="14" t="str">
        <f>Judul_Absensi_Karyawan</f>
        <v>Jadwal Absen E-POSTES Karyawan PT. PRATAMA INDONESIA</v>
      </c>
    </row>
    <row r="2" spans="2:34" ht="15" customHeight="1" x14ac:dyDescent="0.25">
      <c r="B2" s="19" t="s">
        <v>0</v>
      </c>
      <c r="C2" s="4" t="s">
        <v>8</v>
      </c>
      <c r="D2" s="25" t="s">
        <v>11</v>
      </c>
      <c r="E2" s="25"/>
      <c r="F2" s="25"/>
      <c r="G2" s="5" t="s">
        <v>14</v>
      </c>
      <c r="H2" s="25" t="s">
        <v>18</v>
      </c>
      <c r="I2" s="25"/>
      <c r="J2" s="25"/>
      <c r="K2" s="6" t="s">
        <v>16</v>
      </c>
      <c r="L2" s="25" t="s">
        <v>23</v>
      </c>
      <c r="M2" s="25"/>
      <c r="N2" s="7"/>
      <c r="O2" s="25" t="s">
        <v>27</v>
      </c>
      <c r="P2" s="25"/>
      <c r="Q2" s="25"/>
      <c r="R2" s="8"/>
      <c r="S2" s="25" t="s">
        <v>32</v>
      </c>
      <c r="T2" s="25"/>
      <c r="U2" s="25"/>
    </row>
    <row r="3" spans="2:34" ht="15" customHeight="1" x14ac:dyDescent="0.25">
      <c r="B3"/>
    </row>
    <row r="4" spans="2:34" ht="30" customHeight="1" x14ac:dyDescent="0.25">
      <c r="B4" s="12" t="s">
        <v>50</v>
      </c>
      <c r="C4" s="24" t="s">
        <v>9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12">
        <f>TahunKalender</f>
        <v>2022</v>
      </c>
    </row>
    <row r="5" spans="2:34" ht="15" customHeight="1" x14ac:dyDescent="0.25">
      <c r="B5" s="12"/>
      <c r="C5" s="2" t="str">
        <f>TEXT(WEEKDAY(DATE(TahunKalender,2,1),1),"aaa")</f>
        <v>Tue</v>
      </c>
      <c r="D5" s="2" t="str">
        <f>TEXT(WEEKDAY(DATE(TahunKalender,2,2),1),"aaa")</f>
        <v>Wed</v>
      </c>
      <c r="E5" s="2" t="str">
        <f>TEXT(WEEKDAY(DATE(TahunKalender,2,3),1),"aaa")</f>
        <v>Thu</v>
      </c>
      <c r="F5" s="2" t="str">
        <f>TEXT(WEEKDAY(DATE(TahunKalender,2,4),1),"aaa")</f>
        <v>Fri</v>
      </c>
      <c r="G5" s="2" t="str">
        <f>TEXT(WEEKDAY(DATE(TahunKalender,2,5),1),"aaa")</f>
        <v>Sat</v>
      </c>
      <c r="H5" s="2" t="str">
        <f>TEXT(WEEKDAY(DATE(TahunKalender,2,6),1),"aaa")</f>
        <v>Sun</v>
      </c>
      <c r="I5" s="2" t="str">
        <f>TEXT(WEEKDAY(DATE(TahunKalender,2,7),1),"aaa")</f>
        <v>Mon</v>
      </c>
      <c r="J5" s="2" t="str">
        <f>TEXT(WEEKDAY(DATE(TahunKalender,2,8),1),"aaa")</f>
        <v>Tue</v>
      </c>
      <c r="K5" s="2" t="str">
        <f>TEXT(WEEKDAY(DATE(TahunKalender,2,9),1),"aaa")</f>
        <v>Wed</v>
      </c>
      <c r="L5" s="2" t="str">
        <f>TEXT(WEEKDAY(DATE(TahunKalender,2,10),1),"aaa")</f>
        <v>Thu</v>
      </c>
      <c r="M5" s="2" t="str">
        <f>TEXT(WEEKDAY(DATE(TahunKalender,2,11),1),"aaa")</f>
        <v>Fri</v>
      </c>
      <c r="N5" s="2" t="str">
        <f>TEXT(WEEKDAY(DATE(TahunKalender,2,12),1),"aaa")</f>
        <v>Sat</v>
      </c>
      <c r="O5" s="2" t="str">
        <f>TEXT(WEEKDAY(DATE(TahunKalender,2,13),1),"aaa")</f>
        <v>Sun</v>
      </c>
      <c r="P5" s="2" t="str">
        <f>TEXT(WEEKDAY(DATE(TahunKalender,2,14),1),"aaa")</f>
        <v>Mon</v>
      </c>
      <c r="Q5" s="2" t="str">
        <f>TEXT(WEEKDAY(DATE(TahunKalender,2,15),1),"aaa")</f>
        <v>Tue</v>
      </c>
      <c r="R5" s="2" t="str">
        <f>TEXT(WEEKDAY(DATE(TahunKalender,2,16),1),"aaa")</f>
        <v>Wed</v>
      </c>
      <c r="S5" s="2" t="str">
        <f>TEXT(WEEKDAY(DATE(TahunKalender,2,17),1),"aaa")</f>
        <v>Thu</v>
      </c>
      <c r="T5" s="2" t="str">
        <f>TEXT(WEEKDAY(DATE(TahunKalender,2,18),1),"aaa")</f>
        <v>Fri</v>
      </c>
      <c r="U5" s="2" t="str">
        <f>TEXT(WEEKDAY(DATE(TahunKalender,2,19),1),"aaa")</f>
        <v>Sat</v>
      </c>
      <c r="V5" s="2" t="str">
        <f>TEXT(WEEKDAY(DATE(TahunKalender,2,20),1),"aaa")</f>
        <v>Sun</v>
      </c>
      <c r="W5" s="2" t="str">
        <f>TEXT(WEEKDAY(DATE(TahunKalender,2,21),1),"aaa")</f>
        <v>Mon</v>
      </c>
      <c r="X5" s="2" t="str">
        <f>TEXT(WEEKDAY(DATE(TahunKalender,2,22),1),"aaa")</f>
        <v>Tue</v>
      </c>
      <c r="Y5" s="2" t="str">
        <f>TEXT(WEEKDAY(DATE(TahunKalender,2,23),1),"aaa")</f>
        <v>Wed</v>
      </c>
      <c r="Z5" s="2" t="str">
        <f>TEXT(WEEKDAY(DATE(TahunKalender,2,24),1),"aaa")</f>
        <v>Thu</v>
      </c>
      <c r="AA5" s="2" t="str">
        <f>TEXT(WEEKDAY(DATE(TahunKalender,2,25),1),"aaa")</f>
        <v>Fri</v>
      </c>
      <c r="AB5" s="2" t="str">
        <f>TEXT(WEEKDAY(DATE(TahunKalender,2,26),1),"aaa")</f>
        <v>Sat</v>
      </c>
      <c r="AC5" s="2" t="str">
        <f>TEXT(WEEKDAY(DATE(TahunKalender,2,27),1),"aaa")</f>
        <v>Sun</v>
      </c>
      <c r="AD5" s="2" t="str">
        <f>TEXT(WEEKDAY(DATE(TahunKalender,2,28),1),"aaa")</f>
        <v>Mon</v>
      </c>
      <c r="AE5" s="2" t="str">
        <f>TEXT(WEEKDAY(DATE(TahunKalender,2,29),1),"aaa")</f>
        <v>Tue</v>
      </c>
      <c r="AF5" s="2"/>
      <c r="AG5" s="2"/>
      <c r="AH5" s="12"/>
    </row>
    <row r="6" spans="2:34" ht="15" customHeight="1" x14ac:dyDescent="0.25">
      <c r="B6" s="15" t="s">
        <v>2</v>
      </c>
      <c r="C6" s="3" t="s">
        <v>10</v>
      </c>
      <c r="D6" s="3" t="s">
        <v>12</v>
      </c>
      <c r="E6" s="3" t="s">
        <v>13</v>
      </c>
      <c r="F6" s="3" t="s">
        <v>15</v>
      </c>
      <c r="G6" s="3" t="s">
        <v>17</v>
      </c>
      <c r="H6" s="3" t="s">
        <v>19</v>
      </c>
      <c r="I6" s="3" t="s">
        <v>20</v>
      </c>
      <c r="J6" s="3" t="s">
        <v>21</v>
      </c>
      <c r="K6" s="3" t="s">
        <v>22</v>
      </c>
      <c r="L6" s="3" t="s">
        <v>24</v>
      </c>
      <c r="M6" s="3" t="s">
        <v>25</v>
      </c>
      <c r="N6" s="3" t="s">
        <v>26</v>
      </c>
      <c r="O6" s="3" t="s">
        <v>28</v>
      </c>
      <c r="P6" s="3" t="s">
        <v>29</v>
      </c>
      <c r="Q6" s="3" t="s">
        <v>30</v>
      </c>
      <c r="R6" s="3" t="s">
        <v>31</v>
      </c>
      <c r="S6" s="3" t="s">
        <v>33</v>
      </c>
      <c r="T6" s="3" t="s">
        <v>34</v>
      </c>
      <c r="U6" s="3" t="s">
        <v>35</v>
      </c>
      <c r="V6" s="3" t="s">
        <v>36</v>
      </c>
      <c r="W6" s="3" t="s">
        <v>37</v>
      </c>
      <c r="X6" s="3" t="s">
        <v>38</v>
      </c>
      <c r="Y6" s="3" t="s">
        <v>39</v>
      </c>
      <c r="Z6" s="3" t="s">
        <v>40</v>
      </c>
      <c r="AA6" s="3" t="s">
        <v>41</v>
      </c>
      <c r="AB6" s="3" t="s">
        <v>42</v>
      </c>
      <c r="AC6" s="3" t="s">
        <v>43</v>
      </c>
      <c r="AD6" s="3" t="s">
        <v>44</v>
      </c>
      <c r="AE6" s="3" t="s">
        <v>45</v>
      </c>
      <c r="AF6" s="3" t="s">
        <v>51</v>
      </c>
      <c r="AG6" s="3" t="s">
        <v>52</v>
      </c>
      <c r="AH6" s="16" t="s">
        <v>49</v>
      </c>
    </row>
    <row r="7" spans="2:34" ht="30" customHeight="1" x14ac:dyDescent="0.25">
      <c r="B7" s="17" t="s">
        <v>3</v>
      </c>
      <c r="C7" s="3"/>
      <c r="D7" s="3"/>
      <c r="E7" s="3" t="s">
        <v>8</v>
      </c>
      <c r="F7" s="3" t="s">
        <v>8</v>
      </c>
      <c r="G7" s="3" t="s">
        <v>8</v>
      </c>
      <c r="H7" s="3" t="s">
        <v>8</v>
      </c>
      <c r="I7" s="3"/>
      <c r="J7" s="3"/>
      <c r="K7" s="3"/>
      <c r="L7" s="3"/>
      <c r="M7" s="3"/>
      <c r="N7" s="3"/>
      <c r="O7" s="3" t="s">
        <v>8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10">
        <f>COUNTA(Februari[[#This Row],[1]:[29]])</f>
        <v>5</v>
      </c>
    </row>
    <row r="8" spans="2:34" ht="30" customHeight="1" x14ac:dyDescent="0.25">
      <c r="B8" s="17" t="s">
        <v>4</v>
      </c>
      <c r="C8" s="3"/>
      <c r="D8" s="3"/>
      <c r="E8" s="3"/>
      <c r="F8" s="3"/>
      <c r="G8" s="3" t="s">
        <v>16</v>
      </c>
      <c r="H8" s="3" t="s">
        <v>16</v>
      </c>
      <c r="I8" s="3"/>
      <c r="J8" s="3"/>
      <c r="K8" s="3"/>
      <c r="L8" s="3"/>
      <c r="M8" s="3" t="s">
        <v>14</v>
      </c>
      <c r="N8" s="3"/>
      <c r="O8" s="3"/>
      <c r="P8" s="3"/>
      <c r="Q8" s="3"/>
      <c r="R8" s="3"/>
      <c r="S8" s="3"/>
      <c r="T8" s="3"/>
      <c r="U8" s="3"/>
      <c r="V8" s="3" t="s">
        <v>16</v>
      </c>
      <c r="W8" s="3"/>
      <c r="X8" s="3"/>
      <c r="Y8" s="3"/>
      <c r="Z8" s="3"/>
      <c r="AA8" s="3" t="s">
        <v>8</v>
      </c>
      <c r="AB8" s="3" t="s">
        <v>8</v>
      </c>
      <c r="AC8" s="3" t="s">
        <v>8</v>
      </c>
      <c r="AD8" s="3"/>
      <c r="AE8" s="3"/>
      <c r="AF8" s="3"/>
      <c r="AG8" s="3"/>
      <c r="AH8" s="10">
        <f>COUNTA(Februari[[#This Row],[1]:[29]])</f>
        <v>7</v>
      </c>
    </row>
    <row r="9" spans="2:34" ht="30" customHeight="1" x14ac:dyDescent="0.25">
      <c r="B9" s="17" t="s">
        <v>5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10">
        <f>COUNTA(Februari[[#This Row],[1]:[29]])</f>
        <v>0</v>
      </c>
    </row>
    <row r="10" spans="2:34" ht="30" customHeight="1" x14ac:dyDescent="0.25">
      <c r="B10" s="17" t="s">
        <v>6</v>
      </c>
      <c r="C10" s="3"/>
      <c r="D10" s="3"/>
      <c r="E10" s="3" t="s">
        <v>16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 t="s">
        <v>16</v>
      </c>
      <c r="Q10" s="3"/>
      <c r="R10" s="3"/>
      <c r="S10" s="3"/>
      <c r="T10" s="3" t="s">
        <v>14</v>
      </c>
      <c r="U10" s="3"/>
      <c r="V10" s="3"/>
      <c r="W10" s="3"/>
      <c r="X10" s="3"/>
      <c r="Y10" s="3"/>
      <c r="Z10" s="3"/>
      <c r="AA10" s="3"/>
      <c r="AB10" s="3"/>
      <c r="AC10" s="3"/>
      <c r="AD10" s="3" t="s">
        <v>16</v>
      </c>
      <c r="AE10" s="3"/>
      <c r="AF10" s="3"/>
      <c r="AG10" s="3"/>
      <c r="AH10" s="10">
        <f>COUNTA(Februari[[#This Row],[1]:[29]])</f>
        <v>4</v>
      </c>
    </row>
    <row r="11" spans="2:34" ht="30" customHeight="1" x14ac:dyDescent="0.25">
      <c r="B11" s="17" t="s">
        <v>7</v>
      </c>
      <c r="C11" s="3"/>
      <c r="D11" s="3"/>
      <c r="E11" s="3"/>
      <c r="F11" s="3"/>
      <c r="G11" s="3"/>
      <c r="H11" s="3"/>
      <c r="I11" s="3"/>
      <c r="J11" s="3" t="s">
        <v>8</v>
      </c>
      <c r="K11" s="3" t="s">
        <v>8</v>
      </c>
      <c r="L11" s="3" t="s">
        <v>8</v>
      </c>
      <c r="M11" s="3" t="s">
        <v>8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 t="s">
        <v>16</v>
      </c>
      <c r="AA11" s="3"/>
      <c r="AB11" s="3"/>
      <c r="AC11" s="3"/>
      <c r="AD11" s="3"/>
      <c r="AE11" s="3"/>
      <c r="AF11" s="3"/>
      <c r="AG11" s="3"/>
      <c r="AH11" s="10">
        <f>COUNTA(Februari[[#This Row],[1]:[29]])</f>
        <v>5</v>
      </c>
    </row>
    <row r="12" spans="2:34" ht="30" customHeight="1" x14ac:dyDescent="0.25">
      <c r="B12" s="21" t="str">
        <f>"Total "&amp;NamaBulan</f>
        <v>Total Februari</v>
      </c>
      <c r="C12" s="13">
        <f>SUBTOTAL(103,Februari[1])</f>
        <v>0</v>
      </c>
      <c r="D12" s="13">
        <f>SUBTOTAL(103,Februari[2])</f>
        <v>0</v>
      </c>
      <c r="E12" s="13">
        <f>SUBTOTAL(103,Februari[3])</f>
        <v>2</v>
      </c>
      <c r="F12" s="13">
        <f>SUBTOTAL(103,Februari[4])</f>
        <v>1</v>
      </c>
      <c r="G12" s="13">
        <f>SUBTOTAL(103,Februari[5])</f>
        <v>2</v>
      </c>
      <c r="H12" s="13">
        <f>SUBTOTAL(103,Februari[6])</f>
        <v>2</v>
      </c>
      <c r="I12" s="13">
        <f>SUBTOTAL(103,Februari[7])</f>
        <v>0</v>
      </c>
      <c r="J12" s="13">
        <f>SUBTOTAL(103,Februari[8])</f>
        <v>1</v>
      </c>
      <c r="K12" s="13">
        <f>SUBTOTAL(103,Februari[9])</f>
        <v>1</v>
      </c>
      <c r="L12" s="13">
        <f>SUBTOTAL(103,Februari[10])</f>
        <v>1</v>
      </c>
      <c r="M12" s="13">
        <f>SUBTOTAL(103,Februari[11])</f>
        <v>2</v>
      </c>
      <c r="N12" s="13">
        <f>SUBTOTAL(103,Februari[12])</f>
        <v>0</v>
      </c>
      <c r="O12" s="13">
        <f>SUBTOTAL(103,Februari[13])</f>
        <v>1</v>
      </c>
      <c r="P12" s="13">
        <f>SUBTOTAL(103,Februari[14])</f>
        <v>1</v>
      </c>
      <c r="Q12" s="13">
        <f>SUBTOTAL(103,Februari[15])</f>
        <v>0</v>
      </c>
      <c r="R12" s="13">
        <f>SUBTOTAL(103,Februari[16])</f>
        <v>0</v>
      </c>
      <c r="S12" s="13">
        <f>SUBTOTAL(103,Februari[17])</f>
        <v>0</v>
      </c>
      <c r="T12" s="13">
        <f>SUBTOTAL(103,Februari[18])</f>
        <v>1</v>
      </c>
      <c r="U12" s="13">
        <f>SUBTOTAL(103,Februari[19])</f>
        <v>0</v>
      </c>
      <c r="V12" s="13">
        <f>SUBTOTAL(103,Februari[20])</f>
        <v>1</v>
      </c>
      <c r="W12" s="13">
        <f>SUBTOTAL(103,Februari[21])</f>
        <v>0</v>
      </c>
      <c r="X12" s="13">
        <f>SUBTOTAL(103,Februari[22])</f>
        <v>0</v>
      </c>
      <c r="Y12" s="13">
        <f>SUBTOTAL(103,Februari[23])</f>
        <v>0</v>
      </c>
      <c r="Z12" s="13">
        <f>SUBTOTAL(103,Februari[24])</f>
        <v>1</v>
      </c>
      <c r="AA12" s="13">
        <f>SUBTOTAL(103,Februari[25])</f>
        <v>1</v>
      </c>
      <c r="AB12" s="13">
        <f>SUBTOTAL(103,Februari[26])</f>
        <v>1</v>
      </c>
      <c r="AC12" s="13">
        <f>SUBTOTAL(103,Februari[27])</f>
        <v>1</v>
      </c>
      <c r="AD12" s="13">
        <f>SUBTOTAL(103,Februari[28])</f>
        <v>1</v>
      </c>
      <c r="AE12" s="13">
        <f>SUBTOTAL(103,Februari[29])</f>
        <v>0</v>
      </c>
      <c r="AF12" s="13"/>
      <c r="AG12" s="13"/>
      <c r="AH12" s="13">
        <f>SUBTOTAL(109,Februari[Total Hari])</f>
        <v>21</v>
      </c>
    </row>
  </sheetData>
  <mergeCells count="6">
    <mergeCell ref="C4:AG4"/>
    <mergeCell ref="D2:F2"/>
    <mergeCell ref="H2:J2"/>
    <mergeCell ref="L2:M2"/>
    <mergeCell ref="O2:Q2"/>
    <mergeCell ref="S2:U2"/>
  </mergeCells>
  <conditionalFormatting sqref="AE6">
    <cfRule type="expression" dxfId="815" priority="16">
      <formula>MONTH(DATE(TahunKalender,2,29))&lt;&gt;2</formula>
    </cfRule>
  </conditionalFormatting>
  <conditionalFormatting sqref="AE5">
    <cfRule type="expression" dxfId="814" priority="15">
      <formula>MONTH(DATE(TahunKalender,2,29))&lt;&gt;2</formula>
    </cfRule>
  </conditionalFormatting>
  <conditionalFormatting sqref="C7:AG11">
    <cfRule type="expression" priority="2" stopIfTrue="1">
      <formula>C7=""</formula>
    </cfRule>
    <cfRule type="expression" dxfId="813" priority="3" stopIfTrue="1">
      <formula>C7=KustomKunci2</formula>
    </cfRule>
  </conditionalFormatting>
  <conditionalFormatting sqref="C7:AG11">
    <cfRule type="expression" dxfId="812" priority="5" stopIfTrue="1">
      <formula>C7=Kustomkunci1</formula>
    </cfRule>
    <cfRule type="expression" dxfId="811" priority="6" stopIfTrue="1">
      <formula>C7=SakitKunci</formula>
    </cfRule>
    <cfRule type="expression" dxfId="810" priority="7" stopIfTrue="1">
      <formula>C7=PribadiKunci</formula>
    </cfRule>
    <cfRule type="expression" dxfId="809" priority="8" stopIfTrue="1">
      <formula>C7=LiburanKunci</formula>
    </cfRule>
  </conditionalFormatting>
  <conditionalFormatting sqref="AH7:AH11">
    <cfRule type="dataBar" priority="153">
      <dataBar>
        <cfvo type="min"/>
        <cfvo type="formula" val="DATEDIF(DATE(TahunKalender,2,1),DATE(TahunKalender,3,1),&quot;d&quot;)"/>
        <color theme="2" tint="-0.249977111117893"/>
      </dataBar>
      <extLst>
        <ext xmlns:x14="http://schemas.microsoft.com/office/spreadsheetml/2009/9/main" uri="{B025F937-C7B1-47D3-B67F-A62EFF666E3E}">
          <x14:id>{94738C71-AB78-40C3-A818-D083AE35CC38}</x14:id>
        </ext>
      </extLst>
    </cfRule>
  </conditionalFormatting>
  <dataValidations xWindow="232" yWindow="365" count="14">
    <dataValidation allowBlank="1" showInputMessage="1" showErrorMessage="1" prompt="Otomatis memperbarui tahun berdasarkan tahun yang dimasukkan dalam lembar kerja Januari" sqref="AH4"/>
    <dataValidation allowBlank="1" showInputMessage="1" showErrorMessage="1" prompt="Lacak absensi bulan Februari di lembar kerja ini" sqref="A1"/>
    <dataValidation allowBlank="1" showInputMessage="1" showErrorMessage="1" prompt="Otomatis menghitung total jumlah hari karyawan absen bulan ini di kolom ini" sqref="AH6"/>
    <dataValidation allowBlank="1" showInputMessage="1" showErrorMessage="1" prompt="Judul yang otomatis diperbarui berada dalam sel ini. Untuk mengubah judul, perbarui B1 pada lembar kerja Januari" sqref="B1"/>
    <dataValidation allowBlank="1" showInputMessage="1" showErrorMessage="1" prompt="Nama bulan untuk jadwal absensi ini berada dalam sel ini. Total absensi untuk bulan ini berada dalam sel terakhir pada tabel. Pilih nama karyawan dalam tabel di kolom B" sqref="B4"/>
    <dataValidation errorStyle="warning" allowBlank="1" showInputMessage="1" showErrorMessage="1" error="Pilih nama dari daftar. Pilih BATAL, lalu tekan ALT+PANAH BAWAH kemudian ENTER untuk memilih nama" prompt="Masukkan nama karyawan dalam lembar kerja Nama Karyawan, lalu pilih salah satu nama dari daftar dalam kolom ini. Tekan ALT+PANAH BAWAH kemudian ENTER untuk memilih nama" sqref="B6"/>
    <dataValidation allowBlank="1" showInputMessage="1" showErrorMessage="1" prompt="Baris ini menetapkan simbol yang digunakan dalam tabel: sel C2 adalah Liburan, G2 adalah Pribadi, &amp; K2 adalah Izin Sakit. Sel N2 &amp; R2 dapat disesuaikan" sqref="B2"/>
    <dataValidation allowBlank="1" showInputMessage="1" showErrorMessage="1" prompt="Masukkan label untuk mendeskripsikan simbol kustom di sebelah kiri" sqref="O2:Q2 S2:U2"/>
    <dataValidation allowBlank="1" showInputMessage="1" showErrorMessage="1" prompt="Masukkan huruf dan sesuaikan label di sebelah kanan untuk menambahkan item simbol lain" sqref="N2 R2"/>
    <dataValidation allowBlank="1" showInputMessage="1" showErrorMessage="1" prompt="Huruf &quot;S&quot; menunjukkan absensi karena sakit" sqref="K2"/>
    <dataValidation allowBlank="1" showInputMessage="1" showErrorMessage="1" prompt="Huruf &quot;P&quot; menunjukkan absensi karena alasan pribadi" sqref="G2"/>
    <dataValidation allowBlank="1" showInputMessage="1" showErrorMessage="1" prompt="Huruf &quot;L&quot; menunjukkan absensi karena liburan" sqref="C2"/>
    <dataValidation allowBlank="1" showInputMessage="1" showErrorMessage="1" prompt="Hari kerja dalam baris ini diperbarui secara otomatis sesuai bulan menurut tahun yang ada di AH4. Setiap hari dalam sebulan memiliki kolom untuk mencatat absensi dan tipe absensi karyawan" sqref="C5"/>
    <dataValidation allowBlank="1" showInputMessage="1" showErrorMessage="1" prompt="Hari dalam sebulan dalam baris ini dibuat secara otomatis. Masukkan absensi dan tipe absensi karyawan di setiap kolom untuk setiap hari dalam sebulan. Kosong artinya tidak ada absensi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738C71-AB78-40C3-A818-D083AE35CC38}">
            <x14:dataBar minLength="0" maxLength="100">
              <x14:cfvo type="autoMin"/>
              <x14:cfvo type="formula">
                <xm:f>DATEDIF(DATE(TahunKalender,2,1),DATE(TahunKalender,3,1),"d")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232" yWindow="365" count="1">
        <x14:dataValidation type="list" allowBlank="1" showInputMessage="1" showErrorMessage="1">
          <x14:formula1>
            <xm:f>'Nama Karyawan'!$B$4:$B$8</xm:f>
          </x14:formula1>
          <xm:sqref>B7:B11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12"/>
  <sheetViews>
    <sheetView showGridLines="0" zoomScaleNormal="100" workbookViewId="0"/>
  </sheetViews>
  <sheetFormatPr defaultRowHeight="30" customHeight="1" x14ac:dyDescent="0.25"/>
  <cols>
    <col min="1" max="1" width="2.7109375" style="11" customWidth="1"/>
    <col min="2" max="2" width="25.7109375" style="11" customWidth="1"/>
    <col min="3" max="33" width="4.7109375" style="11" customWidth="1"/>
    <col min="34" max="34" width="17.28515625" style="11" customWidth="1"/>
    <col min="35" max="35" width="2.7109375" customWidth="1"/>
  </cols>
  <sheetData>
    <row r="1" spans="2:34" ht="50.1" customHeight="1" x14ac:dyDescent="0.25">
      <c r="B1" s="14" t="str">
        <f>Judul_Absensi_Karyawan</f>
        <v>Jadwal Absen E-POSTES Karyawan PT. PRATAMA INDONESIA</v>
      </c>
    </row>
    <row r="2" spans="2:34" ht="15" customHeight="1" x14ac:dyDescent="0.25">
      <c r="B2" s="19" t="s">
        <v>0</v>
      </c>
      <c r="C2" s="4" t="s">
        <v>8</v>
      </c>
      <c r="D2" s="25" t="s">
        <v>11</v>
      </c>
      <c r="E2" s="25"/>
      <c r="F2" s="25"/>
      <c r="G2" s="5" t="s">
        <v>14</v>
      </c>
      <c r="H2" s="25" t="s">
        <v>18</v>
      </c>
      <c r="I2" s="25"/>
      <c r="J2" s="25"/>
      <c r="K2" s="6" t="s">
        <v>16</v>
      </c>
      <c r="L2" s="25" t="s">
        <v>23</v>
      </c>
      <c r="M2" s="25"/>
      <c r="N2" s="7"/>
      <c r="O2" s="25" t="s">
        <v>27</v>
      </c>
      <c r="P2" s="25"/>
      <c r="Q2" s="25"/>
      <c r="R2" s="8"/>
      <c r="S2" s="25" t="s">
        <v>32</v>
      </c>
      <c r="T2" s="25"/>
      <c r="U2" s="25"/>
    </row>
    <row r="3" spans="2:34" ht="15" customHeight="1" x14ac:dyDescent="0.25">
      <c r="B3" s="14"/>
    </row>
    <row r="4" spans="2:34" ht="30" customHeight="1" x14ac:dyDescent="0.25">
      <c r="B4" s="12" t="s">
        <v>53</v>
      </c>
      <c r="C4" s="24" t="s">
        <v>9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12">
        <f>TahunKalender</f>
        <v>2022</v>
      </c>
    </row>
    <row r="5" spans="2:34" ht="15" customHeight="1" x14ac:dyDescent="0.25">
      <c r="B5" s="12"/>
      <c r="C5" s="2" t="str">
        <f>TEXT(WEEKDAY(DATE(TahunKalender,3,1),1),"aaa")</f>
        <v>Tue</v>
      </c>
      <c r="D5" s="2" t="str">
        <f>TEXT(WEEKDAY(DATE(TahunKalender,3,2),1),"aaa")</f>
        <v>Wed</v>
      </c>
      <c r="E5" s="2" t="str">
        <f>TEXT(WEEKDAY(DATE(TahunKalender,3,3),1),"aaa")</f>
        <v>Thu</v>
      </c>
      <c r="F5" s="2" t="str">
        <f>TEXT(WEEKDAY(DATE(TahunKalender,3,4),1),"aaa")</f>
        <v>Fri</v>
      </c>
      <c r="G5" s="2" t="str">
        <f>TEXT(WEEKDAY(DATE(TahunKalender,3,5),1),"aaa")</f>
        <v>Sat</v>
      </c>
      <c r="H5" s="2" t="str">
        <f>TEXT(WEEKDAY(DATE(TahunKalender,3,6),1),"aaa")</f>
        <v>Sun</v>
      </c>
      <c r="I5" s="2" t="str">
        <f>TEXT(WEEKDAY(DATE(TahunKalender,3,7),1),"aaa")</f>
        <v>Mon</v>
      </c>
      <c r="J5" s="2" t="str">
        <f>TEXT(WEEKDAY(DATE(TahunKalender,3,8),1),"aaa")</f>
        <v>Tue</v>
      </c>
      <c r="K5" s="2" t="str">
        <f>TEXT(WEEKDAY(DATE(TahunKalender,3,9),1),"aaa")</f>
        <v>Wed</v>
      </c>
      <c r="L5" s="2" t="str">
        <f>TEXT(WEEKDAY(DATE(TahunKalender,3,10),1),"aaa")</f>
        <v>Thu</v>
      </c>
      <c r="M5" s="2" t="str">
        <f>TEXT(WEEKDAY(DATE(TahunKalender,3,11),1),"aaa")</f>
        <v>Fri</v>
      </c>
      <c r="N5" s="2" t="str">
        <f>TEXT(WEEKDAY(DATE(TahunKalender,3,12),1),"aaa")</f>
        <v>Sat</v>
      </c>
      <c r="O5" s="2" t="str">
        <f>TEXT(WEEKDAY(DATE(TahunKalender,3,13),1),"aaa")</f>
        <v>Sun</v>
      </c>
      <c r="P5" s="2" t="str">
        <f>TEXT(WEEKDAY(DATE(TahunKalender,3,14),1),"aaa")</f>
        <v>Mon</v>
      </c>
      <c r="Q5" s="2" t="str">
        <f>TEXT(WEEKDAY(DATE(TahunKalender,3,15),1),"aaa")</f>
        <v>Tue</v>
      </c>
      <c r="R5" s="2" t="str">
        <f>TEXT(WEEKDAY(DATE(TahunKalender,3,16),1),"aaa")</f>
        <v>Wed</v>
      </c>
      <c r="S5" s="2" t="str">
        <f>TEXT(WEEKDAY(DATE(TahunKalender,3,17),1),"aaa")</f>
        <v>Thu</v>
      </c>
      <c r="T5" s="2" t="str">
        <f>TEXT(WEEKDAY(DATE(TahunKalender,3,18),1),"aaa")</f>
        <v>Fri</v>
      </c>
      <c r="U5" s="2" t="str">
        <f>TEXT(WEEKDAY(DATE(TahunKalender,3,19),1),"aaa")</f>
        <v>Sat</v>
      </c>
      <c r="V5" s="2" t="str">
        <f>TEXT(WEEKDAY(DATE(TahunKalender,3,20),1),"aaa")</f>
        <v>Sun</v>
      </c>
      <c r="W5" s="2" t="str">
        <f>TEXT(WEEKDAY(DATE(TahunKalender,3,21),1),"aaa")</f>
        <v>Mon</v>
      </c>
      <c r="X5" s="2" t="str">
        <f>TEXT(WEEKDAY(DATE(TahunKalender,3,22),1),"aaa")</f>
        <v>Tue</v>
      </c>
      <c r="Y5" s="2" t="str">
        <f>TEXT(WEEKDAY(DATE(TahunKalender,3,23),1),"aaa")</f>
        <v>Wed</v>
      </c>
      <c r="Z5" s="2" t="str">
        <f>TEXT(WEEKDAY(DATE(TahunKalender,3,24),1),"aaa")</f>
        <v>Thu</v>
      </c>
      <c r="AA5" s="2" t="str">
        <f>TEXT(WEEKDAY(DATE(TahunKalender,3,25),1),"aaa")</f>
        <v>Fri</v>
      </c>
      <c r="AB5" s="2" t="str">
        <f>TEXT(WEEKDAY(DATE(TahunKalender,3,26),1),"aaa")</f>
        <v>Sat</v>
      </c>
      <c r="AC5" s="2" t="str">
        <f>TEXT(WEEKDAY(DATE(TahunKalender,3,27),1),"aaa")</f>
        <v>Sun</v>
      </c>
      <c r="AD5" s="2" t="str">
        <f>TEXT(WEEKDAY(DATE(TahunKalender,3,28),1),"aaa")</f>
        <v>Mon</v>
      </c>
      <c r="AE5" s="2" t="str">
        <f>TEXT(WEEKDAY(DATE(TahunKalender,3,29),1),"aaa")</f>
        <v>Tue</v>
      </c>
      <c r="AF5" s="2" t="str">
        <f>TEXT(WEEKDAY(DATE(TahunKalender,3,30),1),"aaa")</f>
        <v>Wed</v>
      </c>
      <c r="AG5" s="2" t="str">
        <f>TEXT(WEEKDAY(DATE(TahunKalender,3,31),1),"aaa")</f>
        <v>Thu</v>
      </c>
      <c r="AH5" s="12"/>
    </row>
    <row r="6" spans="2:34" ht="15" customHeight="1" x14ac:dyDescent="0.25">
      <c r="B6" s="15" t="s">
        <v>2</v>
      </c>
      <c r="C6" s="3" t="s">
        <v>10</v>
      </c>
      <c r="D6" s="3" t="s">
        <v>12</v>
      </c>
      <c r="E6" s="3" t="s">
        <v>13</v>
      </c>
      <c r="F6" s="3" t="s">
        <v>15</v>
      </c>
      <c r="G6" s="3" t="s">
        <v>17</v>
      </c>
      <c r="H6" s="3" t="s">
        <v>19</v>
      </c>
      <c r="I6" s="3" t="s">
        <v>20</v>
      </c>
      <c r="J6" s="3" t="s">
        <v>21</v>
      </c>
      <c r="K6" s="3" t="s">
        <v>22</v>
      </c>
      <c r="L6" s="3" t="s">
        <v>24</v>
      </c>
      <c r="M6" s="3" t="s">
        <v>25</v>
      </c>
      <c r="N6" s="3" t="s">
        <v>26</v>
      </c>
      <c r="O6" s="3" t="s">
        <v>28</v>
      </c>
      <c r="P6" s="3" t="s">
        <v>29</v>
      </c>
      <c r="Q6" s="3" t="s">
        <v>30</v>
      </c>
      <c r="R6" s="3" t="s">
        <v>31</v>
      </c>
      <c r="S6" s="3" t="s">
        <v>33</v>
      </c>
      <c r="T6" s="3" t="s">
        <v>34</v>
      </c>
      <c r="U6" s="3" t="s">
        <v>35</v>
      </c>
      <c r="V6" s="3" t="s">
        <v>36</v>
      </c>
      <c r="W6" s="3" t="s">
        <v>37</v>
      </c>
      <c r="X6" s="3" t="s">
        <v>38</v>
      </c>
      <c r="Y6" s="3" t="s">
        <v>39</v>
      </c>
      <c r="Z6" s="3" t="s">
        <v>40</v>
      </c>
      <c r="AA6" s="3" t="s">
        <v>41</v>
      </c>
      <c r="AB6" s="3" t="s">
        <v>42</v>
      </c>
      <c r="AC6" s="3" t="s">
        <v>43</v>
      </c>
      <c r="AD6" s="3" t="s">
        <v>44</v>
      </c>
      <c r="AE6" s="3" t="s">
        <v>45</v>
      </c>
      <c r="AF6" s="3" t="s">
        <v>46</v>
      </c>
      <c r="AG6" s="3" t="s">
        <v>47</v>
      </c>
      <c r="AH6" s="16" t="s">
        <v>49</v>
      </c>
    </row>
    <row r="7" spans="2:34" ht="30" customHeight="1" x14ac:dyDescent="0.25">
      <c r="B7" s="17" t="s">
        <v>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10">
        <f>COUNTA(Maret[[#This Row],[1]:[31]])</f>
        <v>0</v>
      </c>
    </row>
    <row r="8" spans="2:34" ht="30" customHeight="1" x14ac:dyDescent="0.25">
      <c r="B8" s="17" t="s">
        <v>4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10">
        <f>COUNTA(Maret[[#This Row],[1]:[31]])</f>
        <v>0</v>
      </c>
    </row>
    <row r="9" spans="2:34" ht="30" customHeight="1" x14ac:dyDescent="0.25">
      <c r="B9" s="17" t="s">
        <v>5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10">
        <f>COUNTA(Maret[[#This Row],[1]:[31]])</f>
        <v>0</v>
      </c>
    </row>
    <row r="10" spans="2:34" ht="30" customHeight="1" x14ac:dyDescent="0.25">
      <c r="B10" s="17" t="s">
        <v>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10">
        <f>COUNTA(Maret[[#This Row],[1]:[31]])</f>
        <v>0</v>
      </c>
    </row>
    <row r="11" spans="2:34" ht="30" customHeight="1" x14ac:dyDescent="0.25">
      <c r="B11" s="17" t="s">
        <v>7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10">
        <f>COUNTA(Maret[[#This Row],[1]:[31]])</f>
        <v>0</v>
      </c>
    </row>
    <row r="12" spans="2:34" ht="30" customHeight="1" x14ac:dyDescent="0.25">
      <c r="B12" s="21" t="str">
        <f>"Total "&amp;NamaBulan</f>
        <v>Total Maret</v>
      </c>
      <c r="C12" s="13">
        <f>SUBTOTAL(103,Maret[1])</f>
        <v>0</v>
      </c>
      <c r="D12" s="13">
        <f>SUBTOTAL(103,Maret[2])</f>
        <v>0</v>
      </c>
      <c r="E12" s="13">
        <f>SUBTOTAL(103,Maret[3])</f>
        <v>0</v>
      </c>
      <c r="F12" s="13">
        <f>SUBTOTAL(103,Maret[4])</f>
        <v>0</v>
      </c>
      <c r="G12" s="13">
        <f>SUBTOTAL(103,Maret[5])</f>
        <v>0</v>
      </c>
      <c r="H12" s="13">
        <f>SUBTOTAL(103,Maret[6])</f>
        <v>0</v>
      </c>
      <c r="I12" s="13">
        <f>SUBTOTAL(103,Maret[7])</f>
        <v>0</v>
      </c>
      <c r="J12" s="13">
        <f>SUBTOTAL(103,Maret[8])</f>
        <v>0</v>
      </c>
      <c r="K12" s="13">
        <f>SUBTOTAL(103,Maret[9])</f>
        <v>0</v>
      </c>
      <c r="L12" s="13">
        <f>SUBTOTAL(103,Maret[10])</f>
        <v>0</v>
      </c>
      <c r="M12" s="13">
        <f>SUBTOTAL(103,Maret[11])</f>
        <v>0</v>
      </c>
      <c r="N12" s="13">
        <f>SUBTOTAL(103,Maret[12])</f>
        <v>0</v>
      </c>
      <c r="O12" s="13">
        <f>SUBTOTAL(103,Maret[13])</f>
        <v>0</v>
      </c>
      <c r="P12" s="13">
        <f>SUBTOTAL(103,Maret[14])</f>
        <v>0</v>
      </c>
      <c r="Q12" s="13">
        <f>SUBTOTAL(103,Maret[15])</f>
        <v>0</v>
      </c>
      <c r="R12" s="13">
        <f>SUBTOTAL(103,Maret[16])</f>
        <v>0</v>
      </c>
      <c r="S12" s="13">
        <f>SUBTOTAL(103,Maret[17])</f>
        <v>0</v>
      </c>
      <c r="T12" s="13">
        <f>SUBTOTAL(103,Maret[18])</f>
        <v>0</v>
      </c>
      <c r="U12" s="13">
        <f>SUBTOTAL(103,Maret[19])</f>
        <v>0</v>
      </c>
      <c r="V12" s="13">
        <f>SUBTOTAL(103,Maret[20])</f>
        <v>0</v>
      </c>
      <c r="W12" s="13">
        <f>SUBTOTAL(103,Maret[21])</f>
        <v>0</v>
      </c>
      <c r="X12" s="13">
        <f>SUBTOTAL(103,Maret[22])</f>
        <v>0</v>
      </c>
      <c r="Y12" s="13">
        <f>SUBTOTAL(103,Maret[23])</f>
        <v>0</v>
      </c>
      <c r="Z12" s="13">
        <f>SUBTOTAL(103,Maret[24])</f>
        <v>0</v>
      </c>
      <c r="AA12" s="13">
        <f>SUBTOTAL(103,Maret[25])</f>
        <v>0</v>
      </c>
      <c r="AB12" s="13">
        <f>SUBTOTAL(103,Maret[26])</f>
        <v>0</v>
      </c>
      <c r="AC12" s="13">
        <f>SUBTOTAL(103,Maret[27])</f>
        <v>0</v>
      </c>
      <c r="AD12" s="13">
        <f>SUBTOTAL(103,Maret[28])</f>
        <v>0</v>
      </c>
      <c r="AE12" s="13">
        <f>SUBTOTAL(103,Maret[29])</f>
        <v>0</v>
      </c>
      <c r="AF12" s="13">
        <f>SUBTOTAL(103,Maret[[30 ]])</f>
        <v>0</v>
      </c>
      <c r="AG12" s="13">
        <f>SUBTOTAL(103,Maret[31])</f>
        <v>0</v>
      </c>
      <c r="AH12" s="13">
        <f>SUBTOTAL(109,Maret[Total Hari])</f>
        <v>0</v>
      </c>
    </row>
  </sheetData>
  <mergeCells count="6">
    <mergeCell ref="C4:AG4"/>
    <mergeCell ref="D2:F2"/>
    <mergeCell ref="H2:J2"/>
    <mergeCell ref="L2:M2"/>
    <mergeCell ref="O2:Q2"/>
    <mergeCell ref="S2:U2"/>
  </mergeCells>
  <conditionalFormatting sqref="C7:AG11">
    <cfRule type="expression" priority="1" stopIfTrue="1">
      <formula>C7=""</formula>
    </cfRule>
  </conditionalFormatting>
  <conditionalFormatting sqref="C7:AG11">
    <cfRule type="expression" dxfId="739" priority="2" stopIfTrue="1">
      <formula>C7=KustomKunci2</formula>
    </cfRule>
    <cfRule type="expression" dxfId="738" priority="3" stopIfTrue="1">
      <formula>C7=Kustomkunci1</formula>
    </cfRule>
    <cfRule type="expression" dxfId="737" priority="4" stopIfTrue="1">
      <formula>C7=SakitKunci</formula>
    </cfRule>
    <cfRule type="expression" dxfId="736" priority="5" stopIfTrue="1">
      <formula>C7=PribadiKunci</formula>
    </cfRule>
    <cfRule type="expression" dxfId="735" priority="6" stopIfTrue="1">
      <formula>C7=LiburanKunci</formula>
    </cfRule>
  </conditionalFormatting>
  <conditionalFormatting sqref="AH7:AH11">
    <cfRule type="dataBar" priority="7">
      <dataBar>
        <cfvo type="min"/>
        <cfvo type="formula" val="DATEDIF(DATE(TahunKalender,2,1),DATE(TahunKalender,3,1),&quot;d&quot;)"/>
        <color theme="2" tint="-0.249977111117893"/>
      </dataBar>
      <extLst>
        <ext xmlns:x14="http://schemas.microsoft.com/office/spreadsheetml/2009/9/main" uri="{B025F937-C7B1-47D3-B67F-A62EFF666E3E}">
          <x14:id>{7C2B6C3E-666E-4369-8C57-FD32A7D03A3C}</x14:id>
        </ext>
      </extLst>
    </cfRule>
  </conditionalFormatting>
  <dataValidations count="14">
    <dataValidation allowBlank="1" showInputMessage="1" showErrorMessage="1" prompt="Hari dalam sebulan dalam baris ini dibuat secara otomatis. Masukkan absensi dan tipe absensi karyawan di setiap kolom untuk setiap hari dalam sebulan. Kosong artinya tidak ada absensi" sqref="C6"/>
    <dataValidation allowBlank="1" showInputMessage="1" showErrorMessage="1" prompt="Hari kerja dalam baris ini diperbarui secara otomatis sesuai bulan menurut tahun yang ada di AH4. Setiap hari dalam sebulan memiliki kolom untuk mencatat absensi dan tipe absensi karyawan" sqref="C5"/>
    <dataValidation allowBlank="1" showInputMessage="1" showErrorMessage="1" prompt="Nama bulan untuk jadwal absensi ini berada dalam sel ini. Total absensi untuk bulan ini berada dalam sel terakhir pada tabel. Pilih nama karyawan dalam tabel di kolom B" sqref="B4"/>
    <dataValidation allowBlank="1" showInputMessage="1" showErrorMessage="1" prompt="Baris ini menetapkan simbol yang digunakan dalam tabel: sel C2 adalah Liburan, G2 adalah Pribadi, &amp; K2 adalah Izin Sakit. Sel N2 &amp; R2 dapat disesuaikan" sqref="B2"/>
    <dataValidation allowBlank="1" showInputMessage="1" showErrorMessage="1" prompt="Masukkan label untuk mendeskripsikan simbol kustom di sebelah kiri" sqref="O2:Q2 S2:U2"/>
    <dataValidation allowBlank="1" showInputMessage="1" showErrorMessage="1" prompt="Masukkan huruf dan sesuaikan label di sebelah kanan untuk menambahkan item simbol lain" sqref="N2 R2"/>
    <dataValidation allowBlank="1" showInputMessage="1" showErrorMessage="1" prompt="Huruf &quot;S&quot; menunjukkan absensi karena sakit" sqref="K2"/>
    <dataValidation allowBlank="1" showInputMessage="1" showErrorMessage="1" prompt="Huruf &quot;P&quot; menunjukkan absensi karena alasan pribadi" sqref="G2"/>
    <dataValidation allowBlank="1" showInputMessage="1" showErrorMessage="1" prompt="Huruf &quot;L&quot; menunjukkan absensi karena liburan" sqref="C2"/>
    <dataValidation allowBlank="1" showInputMessage="1" showErrorMessage="1" prompt="Judul yang otomatis diperbarui berada dalam sel ini. Untuk mengubah judul, perbarui B1 pada lembar kerja Januari" sqref="B1"/>
    <dataValidation errorStyle="warning" allowBlank="1" showInputMessage="1" showErrorMessage="1" error="Pilih nama dari daftar. Pilih BATAL, lalu tekan ALT+PANAH BAWAH kemudian ENTER untuk memilih nama" prompt="Masukkan nama karyawan dalam lembar kerja Nama Karyawan, lalu pilih salah satu nama dari daftar dalam kolom ini. Tekan ALT+PANAH BAWAH kemudian ENTER untuk memilih nama" sqref="B6"/>
    <dataValidation allowBlank="1" showInputMessage="1" showErrorMessage="1" prompt="Catat absensi bulan Maret di lembar kerja ini" sqref="A1"/>
    <dataValidation allowBlank="1" showInputMessage="1" showErrorMessage="1" prompt="Otomatis menghitung total jumlah hari karyawan absen bulan ini di kolom ini" sqref="AH6"/>
    <dataValidation allowBlank="1" showInputMessage="1" showErrorMessage="1" prompt="Otomatis memperbarui tahun berdasarkan tahun yang dimasukkan dalam lembar kerja Januari" sqref="AH4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B6C3E-666E-4369-8C57-FD32A7D03A3C}">
            <x14:dataBar minLength="0" maxLength="100">
              <x14:cfvo type="autoMin"/>
              <x14:cfvo type="formula">
                <xm:f>DATEDIF(DATE(TahunKalender,2,1),DATE(TahunKalender,3,1),"d")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'Nama Karyawan'!$B$4:$B$8</xm:f>
          </x14:formula1>
          <xm:sqref>B7:B11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12"/>
  <sheetViews>
    <sheetView showGridLines="0" zoomScaleNormal="100" workbookViewId="0"/>
  </sheetViews>
  <sheetFormatPr defaultRowHeight="30" customHeight="1" x14ac:dyDescent="0.25"/>
  <cols>
    <col min="1" max="1" width="2.7109375" style="11" customWidth="1"/>
    <col min="2" max="2" width="25.7109375" style="11" customWidth="1"/>
    <col min="3" max="33" width="4.7109375" style="11" customWidth="1"/>
    <col min="34" max="34" width="17.28515625" style="11" customWidth="1"/>
    <col min="35" max="35" width="2.7109375" customWidth="1"/>
  </cols>
  <sheetData>
    <row r="1" spans="2:34" ht="50.1" customHeight="1" x14ac:dyDescent="0.25">
      <c r="B1" s="14" t="str">
        <f>Judul_Absensi_Karyawan</f>
        <v>Jadwal Absen E-POSTES Karyawan PT. PRATAMA INDONESIA</v>
      </c>
    </row>
    <row r="2" spans="2:34" ht="15" customHeight="1" x14ac:dyDescent="0.25">
      <c r="B2" s="19" t="s">
        <v>0</v>
      </c>
      <c r="C2" s="4" t="s">
        <v>8</v>
      </c>
      <c r="D2" s="25" t="s">
        <v>11</v>
      </c>
      <c r="E2" s="25"/>
      <c r="F2" s="25"/>
      <c r="G2" s="5" t="s">
        <v>14</v>
      </c>
      <c r="H2" s="25" t="s">
        <v>18</v>
      </c>
      <c r="I2" s="25"/>
      <c r="J2" s="25"/>
      <c r="K2" s="6" t="s">
        <v>16</v>
      </c>
      <c r="L2" s="25" t="s">
        <v>23</v>
      </c>
      <c r="M2" s="25"/>
      <c r="N2" s="7"/>
      <c r="O2" s="25" t="s">
        <v>27</v>
      </c>
      <c r="P2" s="25"/>
      <c r="Q2" s="25"/>
      <c r="R2" s="8"/>
      <c r="S2" s="25" t="s">
        <v>32</v>
      </c>
      <c r="T2" s="25"/>
      <c r="U2" s="25"/>
    </row>
    <row r="3" spans="2:34" ht="15" customHeight="1" x14ac:dyDescent="0.25">
      <c r="B3" s="14"/>
    </row>
    <row r="4" spans="2:34" ht="30" customHeight="1" x14ac:dyDescent="0.25">
      <c r="B4" s="12" t="s">
        <v>54</v>
      </c>
      <c r="C4" s="24" t="s">
        <v>9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12">
        <f>TahunKalender</f>
        <v>2022</v>
      </c>
    </row>
    <row r="5" spans="2:34" ht="15" customHeight="1" x14ac:dyDescent="0.25">
      <c r="B5" s="12"/>
      <c r="C5" s="2" t="str">
        <f>TEXT(WEEKDAY(DATE(TahunKalender,4,1),1),"aaa")</f>
        <v>Fri</v>
      </c>
      <c r="D5" s="2" t="str">
        <f>TEXT(WEEKDAY(DATE(TahunKalender,4,2),1),"aaa")</f>
        <v>Sat</v>
      </c>
      <c r="E5" s="2" t="str">
        <f>TEXT(WEEKDAY(DATE(TahunKalender,4,3),1),"aaa")</f>
        <v>Sun</v>
      </c>
      <c r="F5" s="2" t="str">
        <f>TEXT(WEEKDAY(DATE(TahunKalender,4,4),1),"aaa")</f>
        <v>Mon</v>
      </c>
      <c r="G5" s="2" t="str">
        <f>TEXT(WEEKDAY(DATE(TahunKalender,4,5),1),"aaa")</f>
        <v>Tue</v>
      </c>
      <c r="H5" s="2" t="str">
        <f>TEXT(WEEKDAY(DATE(TahunKalender,4,6),1),"aaa")</f>
        <v>Wed</v>
      </c>
      <c r="I5" s="2" t="str">
        <f>TEXT(WEEKDAY(DATE(TahunKalender,4,7),1),"aaa")</f>
        <v>Thu</v>
      </c>
      <c r="J5" s="2" t="str">
        <f>TEXT(WEEKDAY(DATE(TahunKalender,4,8),1),"aaa")</f>
        <v>Fri</v>
      </c>
      <c r="K5" s="2" t="str">
        <f>TEXT(WEEKDAY(DATE(TahunKalender,4,9),1),"aaa")</f>
        <v>Sat</v>
      </c>
      <c r="L5" s="2" t="str">
        <f>TEXT(WEEKDAY(DATE(TahunKalender,4,10),1),"aaa")</f>
        <v>Sun</v>
      </c>
      <c r="M5" s="2" t="str">
        <f>TEXT(WEEKDAY(DATE(TahunKalender,4,11),1),"aaa")</f>
        <v>Mon</v>
      </c>
      <c r="N5" s="2" t="str">
        <f>TEXT(WEEKDAY(DATE(TahunKalender,4,12),1),"aaa")</f>
        <v>Tue</v>
      </c>
      <c r="O5" s="2" t="str">
        <f>TEXT(WEEKDAY(DATE(TahunKalender,4,13),1),"aaa")</f>
        <v>Wed</v>
      </c>
      <c r="P5" s="2" t="str">
        <f>TEXT(WEEKDAY(DATE(TahunKalender,4,14),1),"aaa")</f>
        <v>Thu</v>
      </c>
      <c r="Q5" s="2" t="str">
        <f>TEXT(WEEKDAY(DATE(TahunKalender,4,15),1),"aaa")</f>
        <v>Fri</v>
      </c>
      <c r="R5" s="2" t="str">
        <f>TEXT(WEEKDAY(DATE(TahunKalender,4,16),1),"aaa")</f>
        <v>Sat</v>
      </c>
      <c r="S5" s="2" t="str">
        <f>TEXT(WEEKDAY(DATE(TahunKalender,4,17),1),"aaa")</f>
        <v>Sun</v>
      </c>
      <c r="T5" s="2" t="str">
        <f>TEXT(WEEKDAY(DATE(TahunKalender,4,18),1),"aaa")</f>
        <v>Mon</v>
      </c>
      <c r="U5" s="2" t="str">
        <f>TEXT(WEEKDAY(DATE(TahunKalender,4,19),1),"aaa")</f>
        <v>Tue</v>
      </c>
      <c r="V5" s="2" t="str">
        <f>TEXT(WEEKDAY(DATE(TahunKalender,4,20),1),"aaa")</f>
        <v>Wed</v>
      </c>
      <c r="W5" s="2" t="str">
        <f>TEXT(WEEKDAY(DATE(TahunKalender,4,21),1),"aaa")</f>
        <v>Thu</v>
      </c>
      <c r="X5" s="2" t="str">
        <f>TEXT(WEEKDAY(DATE(TahunKalender,4,22),1),"aaa")</f>
        <v>Fri</v>
      </c>
      <c r="Y5" s="2" t="str">
        <f>TEXT(WEEKDAY(DATE(TahunKalender,4,23),1),"aaa")</f>
        <v>Sat</v>
      </c>
      <c r="Z5" s="2" t="str">
        <f>TEXT(WEEKDAY(DATE(TahunKalender,4,24),1),"aaa")</f>
        <v>Sun</v>
      </c>
      <c r="AA5" s="2" t="str">
        <f>TEXT(WEEKDAY(DATE(TahunKalender,4,25),1),"aaa")</f>
        <v>Mon</v>
      </c>
      <c r="AB5" s="2" t="str">
        <f>TEXT(WEEKDAY(DATE(TahunKalender,4,26),1),"aaa")</f>
        <v>Tue</v>
      </c>
      <c r="AC5" s="2" t="str">
        <f>TEXT(WEEKDAY(DATE(TahunKalender,4,27),1),"aaa")</f>
        <v>Wed</v>
      </c>
      <c r="AD5" s="2" t="str">
        <f>TEXT(WEEKDAY(DATE(TahunKalender,4,28),1),"aaa")</f>
        <v>Thu</v>
      </c>
      <c r="AE5" s="2" t="str">
        <f>TEXT(WEEKDAY(DATE(TahunKalender,4,29),1),"aaa")</f>
        <v>Fri</v>
      </c>
      <c r="AF5" s="2" t="str">
        <f>TEXT(WEEKDAY(DATE(TahunKalender,4,30),1),"aaa")</f>
        <v>Sat</v>
      </c>
      <c r="AG5" s="2"/>
      <c r="AH5" s="12"/>
    </row>
    <row r="6" spans="2:34" ht="15" customHeight="1" x14ac:dyDescent="0.25">
      <c r="B6" s="15" t="s">
        <v>2</v>
      </c>
      <c r="C6" s="3" t="s">
        <v>10</v>
      </c>
      <c r="D6" s="3" t="s">
        <v>12</v>
      </c>
      <c r="E6" s="3" t="s">
        <v>13</v>
      </c>
      <c r="F6" s="3" t="s">
        <v>15</v>
      </c>
      <c r="G6" s="3" t="s">
        <v>17</v>
      </c>
      <c r="H6" s="3" t="s">
        <v>19</v>
      </c>
      <c r="I6" s="3" t="s">
        <v>20</v>
      </c>
      <c r="J6" s="3" t="s">
        <v>21</v>
      </c>
      <c r="K6" s="3" t="s">
        <v>22</v>
      </c>
      <c r="L6" s="3" t="s">
        <v>24</v>
      </c>
      <c r="M6" s="3" t="s">
        <v>25</v>
      </c>
      <c r="N6" s="3" t="s">
        <v>26</v>
      </c>
      <c r="O6" s="3" t="s">
        <v>28</v>
      </c>
      <c r="P6" s="3" t="s">
        <v>29</v>
      </c>
      <c r="Q6" s="3" t="s">
        <v>30</v>
      </c>
      <c r="R6" s="3" t="s">
        <v>31</v>
      </c>
      <c r="S6" s="3" t="s">
        <v>33</v>
      </c>
      <c r="T6" s="3" t="s">
        <v>34</v>
      </c>
      <c r="U6" s="3" t="s">
        <v>35</v>
      </c>
      <c r="V6" s="3" t="s">
        <v>36</v>
      </c>
      <c r="W6" s="3" t="s">
        <v>37</v>
      </c>
      <c r="X6" s="3" t="s">
        <v>38</v>
      </c>
      <c r="Y6" s="3" t="s">
        <v>39</v>
      </c>
      <c r="Z6" s="3" t="s">
        <v>40</v>
      </c>
      <c r="AA6" s="3" t="s">
        <v>41</v>
      </c>
      <c r="AB6" s="3" t="s">
        <v>42</v>
      </c>
      <c r="AC6" s="3" t="s">
        <v>43</v>
      </c>
      <c r="AD6" s="3" t="s">
        <v>44</v>
      </c>
      <c r="AE6" s="3" t="s">
        <v>45</v>
      </c>
      <c r="AF6" s="3" t="s">
        <v>46</v>
      </c>
      <c r="AG6" s="23" t="s">
        <v>51</v>
      </c>
      <c r="AH6" s="16" t="s">
        <v>49</v>
      </c>
    </row>
    <row r="7" spans="2:34" ht="30" customHeight="1" x14ac:dyDescent="0.25">
      <c r="B7" s="17" t="s">
        <v>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10">
        <f>COUNTA(April[[#This Row],[1]:[30 ]])</f>
        <v>0</v>
      </c>
    </row>
    <row r="8" spans="2:34" ht="30" customHeight="1" x14ac:dyDescent="0.25">
      <c r="B8" s="17" t="s">
        <v>4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10">
        <f>COUNTA(April[[#This Row],[1]:[30 ]])</f>
        <v>0</v>
      </c>
    </row>
    <row r="9" spans="2:34" ht="30" customHeight="1" x14ac:dyDescent="0.25">
      <c r="B9" s="17" t="s">
        <v>5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10">
        <f>COUNTA(April[[#This Row],[1]:[30 ]])</f>
        <v>0</v>
      </c>
    </row>
    <row r="10" spans="2:34" ht="30" customHeight="1" x14ac:dyDescent="0.25">
      <c r="B10" s="17" t="s">
        <v>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10">
        <f>COUNTA(April[[#This Row],[1]:[30 ]])</f>
        <v>0</v>
      </c>
    </row>
    <row r="11" spans="2:34" ht="30" customHeight="1" x14ac:dyDescent="0.25">
      <c r="B11" s="17" t="s">
        <v>7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10">
        <f>COUNTA(April[[#This Row],[1]:[30 ]])</f>
        <v>0</v>
      </c>
    </row>
    <row r="12" spans="2:34" ht="30" customHeight="1" x14ac:dyDescent="0.25">
      <c r="B12" s="21" t="str">
        <f>"Total "&amp;NamaBulan</f>
        <v>Total April</v>
      </c>
      <c r="C12" s="13">
        <f>SUBTOTAL(103,April[1])</f>
        <v>0</v>
      </c>
      <c r="D12" s="13">
        <f>SUBTOTAL(103,April[2])</f>
        <v>0</v>
      </c>
      <c r="E12" s="13">
        <f>SUBTOTAL(103,April[3])</f>
        <v>0</v>
      </c>
      <c r="F12" s="13">
        <f>SUBTOTAL(103,April[4])</f>
        <v>0</v>
      </c>
      <c r="G12" s="13">
        <f>SUBTOTAL(103,April[5])</f>
        <v>0</v>
      </c>
      <c r="H12" s="13">
        <f>SUBTOTAL(103,April[6])</f>
        <v>0</v>
      </c>
      <c r="I12" s="13">
        <f>SUBTOTAL(103,April[7])</f>
        <v>0</v>
      </c>
      <c r="J12" s="13">
        <f>SUBTOTAL(103,April[8])</f>
        <v>0</v>
      </c>
      <c r="K12" s="13">
        <f>SUBTOTAL(103,April[9])</f>
        <v>0</v>
      </c>
      <c r="L12" s="13">
        <f>SUBTOTAL(103,April[10])</f>
        <v>0</v>
      </c>
      <c r="M12" s="13">
        <f>SUBTOTAL(103,April[11])</f>
        <v>0</v>
      </c>
      <c r="N12" s="13">
        <f>SUBTOTAL(103,April[12])</f>
        <v>0</v>
      </c>
      <c r="O12" s="13">
        <f>SUBTOTAL(103,April[13])</f>
        <v>0</v>
      </c>
      <c r="P12" s="13">
        <f>SUBTOTAL(103,April[14])</f>
        <v>0</v>
      </c>
      <c r="Q12" s="13">
        <f>SUBTOTAL(103,April[15])</f>
        <v>0</v>
      </c>
      <c r="R12" s="13">
        <f>SUBTOTAL(103,April[16])</f>
        <v>0</v>
      </c>
      <c r="S12" s="13">
        <f>SUBTOTAL(103,April[17])</f>
        <v>0</v>
      </c>
      <c r="T12" s="13">
        <f>SUBTOTAL(103,April[18])</f>
        <v>0</v>
      </c>
      <c r="U12" s="13">
        <f>SUBTOTAL(103,April[19])</f>
        <v>0</v>
      </c>
      <c r="V12" s="13">
        <f>SUBTOTAL(103,April[20])</f>
        <v>0</v>
      </c>
      <c r="W12" s="13">
        <f>SUBTOTAL(103,April[21])</f>
        <v>0</v>
      </c>
      <c r="X12" s="13">
        <f>SUBTOTAL(103,April[22])</f>
        <v>0</v>
      </c>
      <c r="Y12" s="13">
        <f>SUBTOTAL(103,April[23])</f>
        <v>0</v>
      </c>
      <c r="Z12" s="13">
        <f>SUBTOTAL(103,April[24])</f>
        <v>0</v>
      </c>
      <c r="AA12" s="13">
        <f>SUBTOTAL(103,April[25])</f>
        <v>0</v>
      </c>
      <c r="AB12" s="13">
        <f>SUBTOTAL(103,April[26])</f>
        <v>0</v>
      </c>
      <c r="AC12" s="13">
        <f>SUBTOTAL(103,April[27])</f>
        <v>0</v>
      </c>
      <c r="AD12" s="13">
        <f>SUBTOTAL(103,April[28])</f>
        <v>0</v>
      </c>
      <c r="AE12" s="13">
        <f>SUBTOTAL(103,April[29])</f>
        <v>0</v>
      </c>
      <c r="AF12" s="13">
        <f>SUBTOTAL(103,April[[30 ]])</f>
        <v>0</v>
      </c>
      <c r="AG12" s="13">
        <f>SUBTOTAL(103,April[[30 ]])</f>
        <v>0</v>
      </c>
      <c r="AH12" s="13">
        <f>SUBTOTAL(109,April[Total Hari])</f>
        <v>0</v>
      </c>
    </row>
  </sheetData>
  <mergeCells count="6">
    <mergeCell ref="C4:AG4"/>
    <mergeCell ref="D2:F2"/>
    <mergeCell ref="H2:J2"/>
    <mergeCell ref="L2:M2"/>
    <mergeCell ref="O2:Q2"/>
    <mergeCell ref="S2:U2"/>
  </mergeCells>
  <conditionalFormatting sqref="C7:AG11">
    <cfRule type="expression" priority="1" stopIfTrue="1">
      <formula>C7=""</formula>
    </cfRule>
  </conditionalFormatting>
  <conditionalFormatting sqref="C7:AG11">
    <cfRule type="expression" dxfId="665" priority="2" stopIfTrue="1">
      <formula>C7=KustomKunci2</formula>
    </cfRule>
    <cfRule type="expression" dxfId="664" priority="3" stopIfTrue="1">
      <formula>C7=Kustomkunci1</formula>
    </cfRule>
    <cfRule type="expression" dxfId="663" priority="4" stopIfTrue="1">
      <formula>C7=SakitKunci</formula>
    </cfRule>
    <cfRule type="expression" dxfId="662" priority="5" stopIfTrue="1">
      <formula>C7=PribadiKunci</formula>
    </cfRule>
    <cfRule type="expression" dxfId="661" priority="6" stopIfTrue="1">
      <formula>C7=LiburanKunci</formula>
    </cfRule>
  </conditionalFormatting>
  <conditionalFormatting sqref="AH7:AH11">
    <cfRule type="dataBar" priority="7">
      <dataBar>
        <cfvo type="min"/>
        <cfvo type="formula" val="DATEDIF(DATE(TahunKalender,2,1),DATE(TahunKalender,3,1),&quot;d&quot;)"/>
        <color theme="2" tint="-0.249977111117893"/>
      </dataBar>
      <extLst>
        <ext xmlns:x14="http://schemas.microsoft.com/office/spreadsheetml/2009/9/main" uri="{B025F937-C7B1-47D3-B67F-A62EFF666E3E}">
          <x14:id>{0C86709F-D813-4066-A3F1-C30F11214F4B}</x14:id>
        </ext>
      </extLst>
    </cfRule>
  </conditionalFormatting>
  <dataValidations count="14">
    <dataValidation allowBlank="1" showInputMessage="1" showErrorMessage="1" prompt="Otomatis memperbarui tahun berdasarkan tahun yang dimasukkan dalam lembar kerja Januari" sqref="AH4"/>
    <dataValidation allowBlank="1" showInputMessage="1" showErrorMessage="1" prompt="Otomatis menghitung total jumlah hari karyawan absen bulan ini di kolom ini" sqref="AH6"/>
    <dataValidation allowBlank="1" showInputMessage="1" showErrorMessage="1" prompt="Catat absensi bulan April di lembar kerja ini" sqref="A1"/>
    <dataValidation errorStyle="warning" allowBlank="1" showInputMessage="1" showErrorMessage="1" error="Pilih nama dari daftar. Pilih BATAL, lalu tekan ALT+PANAH BAWAH kemudian ENTER untuk memilih nama" prompt="Masukkan nama karyawan dalam lembar kerja Nama Karyawan, lalu pilih salah satu nama dari daftar dalam kolom ini. Tekan ALT+PANAH BAWAH kemudian ENTER untuk memilih nama" sqref="B6"/>
    <dataValidation allowBlank="1" showInputMessage="1" showErrorMessage="1" prompt="Judul yang otomatis diperbarui berada dalam sel ini. Untuk mengubah judul, perbarui B1 pada lembar kerja Januari" sqref="B1"/>
    <dataValidation allowBlank="1" showInputMessage="1" showErrorMessage="1" prompt="Huruf &quot;L&quot; menunjukkan absensi karena liburan" sqref="C2"/>
    <dataValidation allowBlank="1" showInputMessage="1" showErrorMessage="1" prompt="Huruf &quot;P&quot; menunjukkan absensi karena alasan pribadi" sqref="G2"/>
    <dataValidation allowBlank="1" showInputMessage="1" showErrorMessage="1" prompt="Huruf &quot;S&quot; menunjukkan absensi karena sakit" sqref="K2"/>
    <dataValidation allowBlank="1" showInputMessage="1" showErrorMessage="1" prompt="Masukkan huruf dan sesuaikan label di sebelah kanan untuk menambahkan item simbol lain" sqref="N2 R2"/>
    <dataValidation allowBlank="1" showInputMessage="1" showErrorMessage="1" prompt="Masukkan label untuk mendeskripsikan simbol kustom di sebelah kiri" sqref="O2:Q2 S2:U2"/>
    <dataValidation allowBlank="1" showInputMessage="1" showErrorMessage="1" prompt="Baris ini menetapkan simbol yang digunakan dalam tabel: sel C2 adalah Liburan, G2 adalah Pribadi, &amp; K2 adalah Izin Sakit. Sel N2 &amp; R2 dapat disesuaikan" sqref="B2"/>
    <dataValidation allowBlank="1" showInputMessage="1" showErrorMessage="1" prompt="Nama bulan untuk jadwal absensi ini berada dalam sel ini. Total absensi untuk bulan ini berada dalam sel terakhir pada tabel. Pilih nama karyawan dalam tabel di kolom B" sqref="B4"/>
    <dataValidation allowBlank="1" showInputMessage="1" showErrorMessage="1" prompt="Hari dalam sebulan dalam baris ini dibuat secara otomatis. Masukkan absensi dan tipe absensi karyawan di setiap kolom untuk setiap hari dalam sebulan. Kosong artinya tidak ada absensi" sqref="C6"/>
    <dataValidation allowBlank="1" showInputMessage="1" showErrorMessage="1" prompt="Hari kerja dalam baris ini diperbarui secara otomatis sesuai bulan menurut tahun yang ada di AH4. Setiap hari dalam sebulan memiliki kolom untuk mencatat absensi dan tipe absensi karyawan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86709F-D813-4066-A3F1-C30F11214F4B}">
            <x14:dataBar minLength="0" maxLength="100">
              <x14:cfvo type="autoMin"/>
              <x14:cfvo type="formula">
                <xm:f>DATEDIF(DATE(TahunKalender,2,1),DATE(TahunKalender,3,1),"d")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'Nama Karyawan'!$B$4:$B$8</xm:f>
          </x14:formula1>
          <xm:sqref>B7:B11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  <pageSetUpPr fitToPage="1"/>
  </sheetPr>
  <dimension ref="A1:AH12"/>
  <sheetViews>
    <sheetView showGridLines="0" zoomScaleNormal="100" workbookViewId="0"/>
  </sheetViews>
  <sheetFormatPr defaultRowHeight="30" customHeight="1" x14ac:dyDescent="0.25"/>
  <cols>
    <col min="1" max="1" width="2.7109375" style="11" customWidth="1"/>
    <col min="2" max="2" width="25.7109375" style="11" customWidth="1"/>
    <col min="3" max="33" width="4.7109375" style="11" customWidth="1"/>
    <col min="34" max="34" width="17.28515625" style="11" customWidth="1"/>
    <col min="35" max="35" width="2.7109375" customWidth="1"/>
  </cols>
  <sheetData>
    <row r="1" spans="2:34" ht="50.1" customHeight="1" x14ac:dyDescent="0.25">
      <c r="B1" s="14" t="str">
        <f>Judul_Absensi_Karyawan</f>
        <v>Jadwal Absen E-POSTES Karyawan PT. PRATAMA INDONESIA</v>
      </c>
    </row>
    <row r="2" spans="2:34" ht="15" customHeight="1" x14ac:dyDescent="0.25">
      <c r="B2" s="19" t="s">
        <v>0</v>
      </c>
      <c r="C2" s="4" t="s">
        <v>8</v>
      </c>
      <c r="D2" s="25" t="s">
        <v>11</v>
      </c>
      <c r="E2" s="25"/>
      <c r="F2" s="25"/>
      <c r="G2" s="5" t="s">
        <v>14</v>
      </c>
      <c r="H2" s="25" t="s">
        <v>18</v>
      </c>
      <c r="I2" s="25"/>
      <c r="J2" s="25"/>
      <c r="K2" s="6" t="s">
        <v>16</v>
      </c>
      <c r="L2" s="25" t="s">
        <v>23</v>
      </c>
      <c r="M2" s="25"/>
      <c r="N2" s="7"/>
      <c r="O2" s="25" t="s">
        <v>27</v>
      </c>
      <c r="P2" s="25"/>
      <c r="Q2" s="25"/>
      <c r="R2" s="8"/>
      <c r="S2" s="25" t="s">
        <v>32</v>
      </c>
      <c r="T2" s="25"/>
      <c r="U2" s="25"/>
    </row>
    <row r="3" spans="2:34" ht="15" customHeight="1" x14ac:dyDescent="0.25">
      <c r="B3" s="14"/>
    </row>
    <row r="4" spans="2:34" ht="30" customHeight="1" x14ac:dyDescent="0.25">
      <c r="B4" s="12" t="s">
        <v>55</v>
      </c>
      <c r="C4" s="24" t="s">
        <v>9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12">
        <f>TahunKalender</f>
        <v>2022</v>
      </c>
    </row>
    <row r="5" spans="2:34" ht="15" customHeight="1" x14ac:dyDescent="0.25">
      <c r="B5" s="12"/>
      <c r="C5" s="2" t="str">
        <f>TEXT(WEEKDAY(DATE(TahunKalender,5,1),1),"aaa")</f>
        <v>Sun</v>
      </c>
      <c r="D5" s="2" t="str">
        <f>TEXT(WEEKDAY(DATE(TahunKalender,5,2),1),"aaa")</f>
        <v>Mon</v>
      </c>
      <c r="E5" s="2" t="str">
        <f>TEXT(WEEKDAY(DATE(TahunKalender,5,3),1),"aaa")</f>
        <v>Tue</v>
      </c>
      <c r="F5" s="2" t="str">
        <f>TEXT(WEEKDAY(DATE(TahunKalender,5,4),1),"aaa")</f>
        <v>Wed</v>
      </c>
      <c r="G5" s="2" t="str">
        <f>TEXT(WEEKDAY(DATE(TahunKalender,5,5),1),"aaa")</f>
        <v>Thu</v>
      </c>
      <c r="H5" s="2" t="str">
        <f>TEXT(WEEKDAY(DATE(TahunKalender,5,6),1),"aaa")</f>
        <v>Fri</v>
      </c>
      <c r="I5" s="2" t="str">
        <f>TEXT(WEEKDAY(DATE(TahunKalender,5,7),1),"aaa")</f>
        <v>Sat</v>
      </c>
      <c r="J5" s="2" t="str">
        <f>TEXT(WEEKDAY(DATE(TahunKalender,5,8),1),"aaa")</f>
        <v>Sun</v>
      </c>
      <c r="K5" s="2" t="str">
        <f>TEXT(WEEKDAY(DATE(TahunKalender,5,9),1),"aaa")</f>
        <v>Mon</v>
      </c>
      <c r="L5" s="2" t="str">
        <f>TEXT(WEEKDAY(DATE(TahunKalender,5,10),1),"aaa")</f>
        <v>Tue</v>
      </c>
      <c r="M5" s="2" t="str">
        <f>TEXT(WEEKDAY(DATE(TahunKalender,5,11),1),"aaa")</f>
        <v>Wed</v>
      </c>
      <c r="N5" s="2" t="str">
        <f>TEXT(WEEKDAY(DATE(TahunKalender,5,12),1),"aaa")</f>
        <v>Thu</v>
      </c>
      <c r="O5" s="2" t="str">
        <f>TEXT(WEEKDAY(DATE(TahunKalender,5,13),1),"aaa")</f>
        <v>Fri</v>
      </c>
      <c r="P5" s="2" t="str">
        <f>TEXT(WEEKDAY(DATE(TahunKalender,5,14),1),"aaa")</f>
        <v>Sat</v>
      </c>
      <c r="Q5" s="2" t="str">
        <f>TEXT(WEEKDAY(DATE(TahunKalender,5,15),1),"aaa")</f>
        <v>Sun</v>
      </c>
      <c r="R5" s="2" t="str">
        <f>TEXT(WEEKDAY(DATE(TahunKalender,5,16),1),"aaa")</f>
        <v>Mon</v>
      </c>
      <c r="S5" s="2" t="str">
        <f>TEXT(WEEKDAY(DATE(TahunKalender,5,17),1),"aaa")</f>
        <v>Tue</v>
      </c>
      <c r="T5" s="2" t="str">
        <f>TEXT(WEEKDAY(DATE(TahunKalender,5,18),1),"aaa")</f>
        <v>Wed</v>
      </c>
      <c r="U5" s="2" t="str">
        <f>TEXT(WEEKDAY(DATE(TahunKalender,5,19),1),"aaa")</f>
        <v>Thu</v>
      </c>
      <c r="V5" s="2" t="str">
        <f>TEXT(WEEKDAY(DATE(TahunKalender,5,20),1),"aaa")</f>
        <v>Fri</v>
      </c>
      <c r="W5" s="2" t="str">
        <f>TEXT(WEEKDAY(DATE(TahunKalender,5,21),1),"aaa")</f>
        <v>Sat</v>
      </c>
      <c r="X5" s="2" t="str">
        <f>TEXT(WEEKDAY(DATE(TahunKalender,5,22),1),"aaa")</f>
        <v>Sun</v>
      </c>
      <c r="Y5" s="2" t="str">
        <f>TEXT(WEEKDAY(DATE(TahunKalender,5,23),1),"aaa")</f>
        <v>Mon</v>
      </c>
      <c r="Z5" s="2" t="str">
        <f>TEXT(WEEKDAY(DATE(TahunKalender,5,24),1),"aaa")</f>
        <v>Tue</v>
      </c>
      <c r="AA5" s="2" t="str">
        <f>TEXT(WEEKDAY(DATE(TahunKalender,5,25),1),"aaa")</f>
        <v>Wed</v>
      </c>
      <c r="AB5" s="2" t="str">
        <f>TEXT(WEEKDAY(DATE(TahunKalender,5,26),1),"aaa")</f>
        <v>Thu</v>
      </c>
      <c r="AC5" s="2" t="str">
        <f>TEXT(WEEKDAY(DATE(TahunKalender,5,27),1),"aaa")</f>
        <v>Fri</v>
      </c>
      <c r="AD5" s="2" t="str">
        <f>TEXT(WEEKDAY(DATE(TahunKalender,5,28),1),"aaa")</f>
        <v>Sat</v>
      </c>
      <c r="AE5" s="2" t="str">
        <f>TEXT(WEEKDAY(DATE(TahunKalender,5,29),1),"aaa")</f>
        <v>Sun</v>
      </c>
      <c r="AF5" s="2" t="str">
        <f>TEXT(WEEKDAY(DATE(TahunKalender,5,30),1),"aaa")</f>
        <v>Mon</v>
      </c>
      <c r="AG5" s="2" t="str">
        <f>TEXT(WEEKDAY(DATE(TahunKalender,5,31),1),"aaa")</f>
        <v>Tue</v>
      </c>
      <c r="AH5" s="12"/>
    </row>
    <row r="6" spans="2:34" ht="15" customHeight="1" x14ac:dyDescent="0.25">
      <c r="B6" s="15" t="s">
        <v>2</v>
      </c>
      <c r="C6" s="3" t="s">
        <v>10</v>
      </c>
      <c r="D6" s="3" t="s">
        <v>12</v>
      </c>
      <c r="E6" s="3" t="s">
        <v>13</v>
      </c>
      <c r="F6" s="3" t="s">
        <v>15</v>
      </c>
      <c r="G6" s="3" t="s">
        <v>17</v>
      </c>
      <c r="H6" s="3" t="s">
        <v>19</v>
      </c>
      <c r="I6" s="3" t="s">
        <v>20</v>
      </c>
      <c r="J6" s="3" t="s">
        <v>21</v>
      </c>
      <c r="K6" s="3" t="s">
        <v>22</v>
      </c>
      <c r="L6" s="3" t="s">
        <v>24</v>
      </c>
      <c r="M6" s="3" t="s">
        <v>25</v>
      </c>
      <c r="N6" s="3" t="s">
        <v>26</v>
      </c>
      <c r="O6" s="3" t="s">
        <v>28</v>
      </c>
      <c r="P6" s="3" t="s">
        <v>29</v>
      </c>
      <c r="Q6" s="3" t="s">
        <v>30</v>
      </c>
      <c r="R6" s="3" t="s">
        <v>31</v>
      </c>
      <c r="S6" s="3" t="s">
        <v>33</v>
      </c>
      <c r="T6" s="3" t="s">
        <v>34</v>
      </c>
      <c r="U6" s="3" t="s">
        <v>35</v>
      </c>
      <c r="V6" s="3" t="s">
        <v>36</v>
      </c>
      <c r="W6" s="3" t="s">
        <v>37</v>
      </c>
      <c r="X6" s="3" t="s">
        <v>38</v>
      </c>
      <c r="Y6" s="3" t="s">
        <v>39</v>
      </c>
      <c r="Z6" s="3" t="s">
        <v>40</v>
      </c>
      <c r="AA6" s="3" t="s">
        <v>41</v>
      </c>
      <c r="AB6" s="3" t="s">
        <v>42</v>
      </c>
      <c r="AC6" s="3" t="s">
        <v>43</v>
      </c>
      <c r="AD6" s="3" t="s">
        <v>44</v>
      </c>
      <c r="AE6" s="3" t="s">
        <v>45</v>
      </c>
      <c r="AF6" s="3" t="s">
        <v>46</v>
      </c>
      <c r="AG6" s="3" t="s">
        <v>47</v>
      </c>
      <c r="AH6" s="16" t="s">
        <v>49</v>
      </c>
    </row>
    <row r="7" spans="2:34" ht="30" customHeight="1" x14ac:dyDescent="0.25">
      <c r="B7" s="17" t="s">
        <v>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10">
        <f>COUNTA(Mei[[#This Row],[1]:[31]])</f>
        <v>0</v>
      </c>
    </row>
    <row r="8" spans="2:34" ht="30" customHeight="1" x14ac:dyDescent="0.25">
      <c r="B8" s="17" t="s">
        <v>4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10">
        <f>COUNTA(Mei[[#This Row],[1]:[31]])</f>
        <v>0</v>
      </c>
    </row>
    <row r="9" spans="2:34" ht="30" customHeight="1" x14ac:dyDescent="0.25">
      <c r="B9" s="17" t="s">
        <v>5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10">
        <f>COUNTA(Mei[[#This Row],[1]:[31]])</f>
        <v>0</v>
      </c>
    </row>
    <row r="10" spans="2:34" ht="30" customHeight="1" x14ac:dyDescent="0.25">
      <c r="B10" s="17" t="s">
        <v>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10">
        <f>COUNTA(Mei[[#This Row],[1]:[31]])</f>
        <v>0</v>
      </c>
    </row>
    <row r="11" spans="2:34" ht="30" customHeight="1" x14ac:dyDescent="0.25">
      <c r="B11" s="17" t="s">
        <v>7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10">
        <f>COUNTA(Mei[[#This Row],[1]:[31]])</f>
        <v>0</v>
      </c>
    </row>
    <row r="12" spans="2:34" ht="30" customHeight="1" x14ac:dyDescent="0.25">
      <c r="B12" s="21" t="str">
        <f>"Total "&amp;NamaBulan</f>
        <v>Total Mei</v>
      </c>
      <c r="C12" s="13">
        <f>SUBTOTAL(103,Mei[1])</f>
        <v>0</v>
      </c>
      <c r="D12" s="13">
        <f>SUBTOTAL(103,Mei[2])</f>
        <v>0</v>
      </c>
      <c r="E12" s="13">
        <f>SUBTOTAL(103,Mei[3])</f>
        <v>0</v>
      </c>
      <c r="F12" s="13">
        <f>SUBTOTAL(103,Mei[4])</f>
        <v>0</v>
      </c>
      <c r="G12" s="13">
        <f>SUBTOTAL(103,Mei[5])</f>
        <v>0</v>
      </c>
      <c r="H12" s="13">
        <f>SUBTOTAL(103,Mei[6])</f>
        <v>0</v>
      </c>
      <c r="I12" s="13">
        <f>SUBTOTAL(103,Mei[7])</f>
        <v>0</v>
      </c>
      <c r="J12" s="13">
        <f>SUBTOTAL(103,Mei[8])</f>
        <v>0</v>
      </c>
      <c r="K12" s="13">
        <f>SUBTOTAL(103,Mei[9])</f>
        <v>0</v>
      </c>
      <c r="L12" s="13">
        <f>SUBTOTAL(103,Mei[10])</f>
        <v>0</v>
      </c>
      <c r="M12" s="13">
        <f>SUBTOTAL(103,Mei[11])</f>
        <v>0</v>
      </c>
      <c r="N12" s="13">
        <f>SUBTOTAL(103,Mei[12])</f>
        <v>0</v>
      </c>
      <c r="O12" s="13">
        <f>SUBTOTAL(103,Mei[13])</f>
        <v>0</v>
      </c>
      <c r="P12" s="13">
        <f>SUBTOTAL(103,Mei[14])</f>
        <v>0</v>
      </c>
      <c r="Q12" s="13">
        <f>SUBTOTAL(103,Mei[15])</f>
        <v>0</v>
      </c>
      <c r="R12" s="13">
        <f>SUBTOTAL(103,Mei[16])</f>
        <v>0</v>
      </c>
      <c r="S12" s="13">
        <f>SUBTOTAL(103,Mei[17])</f>
        <v>0</v>
      </c>
      <c r="T12" s="13">
        <f>SUBTOTAL(103,Mei[18])</f>
        <v>0</v>
      </c>
      <c r="U12" s="13">
        <f>SUBTOTAL(103,Mei[19])</f>
        <v>0</v>
      </c>
      <c r="V12" s="13">
        <f>SUBTOTAL(103,Mei[20])</f>
        <v>0</v>
      </c>
      <c r="W12" s="13">
        <f>SUBTOTAL(103,Mei[21])</f>
        <v>0</v>
      </c>
      <c r="X12" s="13">
        <f>SUBTOTAL(103,Mei[22])</f>
        <v>0</v>
      </c>
      <c r="Y12" s="13">
        <f>SUBTOTAL(103,Mei[23])</f>
        <v>0</v>
      </c>
      <c r="Z12" s="13">
        <f>SUBTOTAL(103,Mei[24])</f>
        <v>0</v>
      </c>
      <c r="AA12" s="13">
        <f>SUBTOTAL(103,Mei[25])</f>
        <v>0</v>
      </c>
      <c r="AB12" s="13">
        <f>SUBTOTAL(103,Mei[26])</f>
        <v>0</v>
      </c>
      <c r="AC12" s="13">
        <f>SUBTOTAL(103,Mei[27])</f>
        <v>0</v>
      </c>
      <c r="AD12" s="13">
        <f>SUBTOTAL(103,Mei[28])</f>
        <v>0</v>
      </c>
      <c r="AE12" s="13">
        <f>SUBTOTAL(103,Mei[29])</f>
        <v>0</v>
      </c>
      <c r="AF12" s="13">
        <f>SUBTOTAL(103,Mei[[30 ]])</f>
        <v>0</v>
      </c>
      <c r="AG12" s="13">
        <f>SUBTOTAL(103,Mei[31])</f>
        <v>0</v>
      </c>
      <c r="AH12" s="13">
        <f>SUBTOTAL(109,Mei[Total Hari])</f>
        <v>0</v>
      </c>
    </row>
  </sheetData>
  <mergeCells count="6">
    <mergeCell ref="C4:AG4"/>
    <mergeCell ref="D2:F2"/>
    <mergeCell ref="H2:J2"/>
    <mergeCell ref="L2:M2"/>
    <mergeCell ref="O2:Q2"/>
    <mergeCell ref="S2:U2"/>
  </mergeCells>
  <conditionalFormatting sqref="C7:AG11">
    <cfRule type="expression" priority="1" stopIfTrue="1">
      <formula>C7=""</formula>
    </cfRule>
  </conditionalFormatting>
  <conditionalFormatting sqref="C7:AG11">
    <cfRule type="expression" dxfId="591" priority="2" stopIfTrue="1">
      <formula>C7=KustomKunci2</formula>
    </cfRule>
    <cfRule type="expression" dxfId="590" priority="3" stopIfTrue="1">
      <formula>C7=Kustomkunci1</formula>
    </cfRule>
    <cfRule type="expression" dxfId="589" priority="4" stopIfTrue="1">
      <formula>C7=SakitKunci</formula>
    </cfRule>
    <cfRule type="expression" dxfId="588" priority="5" stopIfTrue="1">
      <formula>C7=PribadiKunci</formula>
    </cfRule>
    <cfRule type="expression" dxfId="587" priority="6" stopIfTrue="1">
      <formula>C7=LiburanKunci</formula>
    </cfRule>
  </conditionalFormatting>
  <conditionalFormatting sqref="AH7:AH11">
    <cfRule type="dataBar" priority="7">
      <dataBar>
        <cfvo type="min"/>
        <cfvo type="formula" val="DATEDIF(DATE(TahunKalender,2,1),DATE(TahunKalender,3,1),&quot;d&quot;)"/>
        <color theme="2" tint="-0.249977111117893"/>
      </dataBar>
      <extLst>
        <ext xmlns:x14="http://schemas.microsoft.com/office/spreadsheetml/2009/9/main" uri="{B025F937-C7B1-47D3-B67F-A62EFF666E3E}">
          <x14:id>{5670947F-8B3C-4A6C-A280-4F5E10811DCE}</x14:id>
        </ext>
      </extLst>
    </cfRule>
  </conditionalFormatting>
  <dataValidations count="14">
    <dataValidation allowBlank="1" showInputMessage="1" showErrorMessage="1" prompt="Hari dalam sebulan dalam baris ini dibuat secara otomatis. Masukkan absensi dan tipe absensi karyawan di setiap kolom untuk setiap hari dalam sebulan. Kosong artinya tidak ada absensi" sqref="C6"/>
    <dataValidation allowBlank="1" showInputMessage="1" showErrorMessage="1" prompt="Nama bulan untuk jadwal absensi ini berada dalam sel ini. Total absensi untuk bulan ini berada dalam sel terakhir pada tabel. Pilih nama karyawan dalam tabel di kolom B" sqref="B4"/>
    <dataValidation allowBlank="1" showInputMessage="1" showErrorMessage="1" prompt="Baris ini menetapkan simbol yang digunakan dalam tabel: sel C2 adalah Liburan, G2 adalah Pribadi, &amp; K2 adalah Izin Sakit. Sel N2 &amp; R2 dapat disesuaikan" sqref="B2"/>
    <dataValidation allowBlank="1" showInputMessage="1" showErrorMessage="1" prompt="Masukkan label untuk mendeskripsikan simbol kustom di sebelah kiri" sqref="O2:Q2 S2:U2"/>
    <dataValidation allowBlank="1" showInputMessage="1" showErrorMessage="1" prompt="Masukkan huruf dan sesuaikan label di sebelah kanan untuk menambahkan item simbol lain" sqref="N2 R2"/>
    <dataValidation allowBlank="1" showInputMessage="1" showErrorMessage="1" prompt="Huruf &quot;S&quot; menunjukkan absensi karena sakit" sqref="K2"/>
    <dataValidation allowBlank="1" showInputMessage="1" showErrorMessage="1" prompt="Huruf &quot;P&quot; menunjukkan absensi karena alasan pribadi" sqref="G2"/>
    <dataValidation allowBlank="1" showInputMessage="1" showErrorMessage="1" prompt="Huruf &quot;L&quot; menunjukkan absensi karena liburan" sqref="C2"/>
    <dataValidation allowBlank="1" showInputMessage="1" showErrorMessage="1" prompt="Judul yang otomatis diperbarui berada dalam sel ini. Untuk mengubah judul, perbarui B1 pada lembar kerja Januari" sqref="B1"/>
    <dataValidation errorStyle="warning" allowBlank="1" showInputMessage="1" showErrorMessage="1" error="Pilih nama dari daftar. Pilih BATAL, lalu tekan ALT+PANAH BAWAH kemudian ENTER untuk memilih nama" prompt="Masukkan nama karyawan dalam lembar kerja Nama Karyawan, lalu pilih salah satu nama dari daftar dalam kolom ini. Tekan ALT+PANAH BAWAH kemudian ENTER untuk memilih nama" sqref="B6"/>
    <dataValidation allowBlank="1" showInputMessage="1" showErrorMessage="1" prompt="Catat absensi bulan Mei di lembar kerja ini" sqref="A1"/>
    <dataValidation allowBlank="1" showInputMessage="1" showErrorMessage="1" prompt="Otomatis menghitung total jumlah hari karyawan absen bulan ini di kolom ini" sqref="AH6"/>
    <dataValidation allowBlank="1" showInputMessage="1" showErrorMessage="1" prompt="Otomatis memperbarui tahun berdasarkan tahun yang dimasukkan dalam lembar kerja Januari" sqref="AH4"/>
    <dataValidation allowBlank="1" showInputMessage="1" showErrorMessage="1" prompt="Hari kerja dalam baris ini diperbarui secara otomatis sesuai bulan menurut tahun yang ada di AH4. Setiap hari dalam sebulan memiliki kolom untuk mencatat absensi dan tipe absensi karyawan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70947F-8B3C-4A6C-A280-4F5E10811DCE}">
            <x14:dataBar minLength="0" maxLength="100">
              <x14:cfvo type="autoMin"/>
              <x14:cfvo type="formula">
                <xm:f>DATEDIF(DATE(TahunKalender,2,1),DATE(TahunKalender,3,1),"d")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'Nama Karyawan'!$B$4:$B$8</xm:f>
          </x14:formula1>
          <xm:sqref>B7:B11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  <pageSetUpPr fitToPage="1"/>
  </sheetPr>
  <dimension ref="A1:AH12"/>
  <sheetViews>
    <sheetView showGridLines="0" zoomScaleNormal="100" workbookViewId="0"/>
  </sheetViews>
  <sheetFormatPr defaultRowHeight="30" customHeight="1" x14ac:dyDescent="0.25"/>
  <cols>
    <col min="1" max="1" width="2.7109375" style="11" customWidth="1"/>
    <col min="2" max="2" width="25.7109375" style="11" customWidth="1"/>
    <col min="3" max="33" width="4.7109375" style="11" customWidth="1"/>
    <col min="34" max="34" width="17.28515625" style="11" customWidth="1"/>
    <col min="35" max="35" width="2.7109375" customWidth="1"/>
  </cols>
  <sheetData>
    <row r="1" spans="2:34" ht="50.1" customHeight="1" x14ac:dyDescent="0.25">
      <c r="B1" s="14" t="str">
        <f>Judul_Absensi_Karyawan</f>
        <v>Jadwal Absen E-POSTES Karyawan PT. PRATAMA INDONESIA</v>
      </c>
    </row>
    <row r="2" spans="2:34" ht="15" customHeight="1" x14ac:dyDescent="0.25">
      <c r="B2" s="19" t="s">
        <v>0</v>
      </c>
      <c r="C2" s="4" t="s">
        <v>8</v>
      </c>
      <c r="D2" s="25" t="s">
        <v>11</v>
      </c>
      <c r="E2" s="25"/>
      <c r="F2" s="25"/>
      <c r="G2" s="5" t="s">
        <v>14</v>
      </c>
      <c r="H2" s="25" t="s">
        <v>18</v>
      </c>
      <c r="I2" s="25"/>
      <c r="J2" s="25"/>
      <c r="K2" s="6" t="s">
        <v>16</v>
      </c>
      <c r="L2" s="25" t="s">
        <v>23</v>
      </c>
      <c r="M2" s="25"/>
      <c r="N2" s="7"/>
      <c r="O2" s="25" t="s">
        <v>27</v>
      </c>
      <c r="P2" s="25"/>
      <c r="Q2" s="25"/>
      <c r="R2" s="8"/>
      <c r="S2" s="25" t="s">
        <v>32</v>
      </c>
      <c r="T2" s="25"/>
      <c r="U2" s="25"/>
    </row>
    <row r="3" spans="2:34" ht="15" customHeight="1" x14ac:dyDescent="0.25">
      <c r="B3" s="14"/>
    </row>
    <row r="4" spans="2:34" ht="30" customHeight="1" x14ac:dyDescent="0.25">
      <c r="B4" s="12" t="s">
        <v>56</v>
      </c>
      <c r="C4" s="24" t="s">
        <v>9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12">
        <f>TahunKalender</f>
        <v>2022</v>
      </c>
    </row>
    <row r="5" spans="2:34" ht="15" customHeight="1" x14ac:dyDescent="0.25">
      <c r="B5" s="12"/>
      <c r="C5" s="2" t="str">
        <f>TEXT(WEEKDAY(DATE(TahunKalender,6,1),1),"aaa")</f>
        <v>Wed</v>
      </c>
      <c r="D5" s="2" t="str">
        <f>TEXT(WEEKDAY(DATE(TahunKalender,6,2),1),"aaa")</f>
        <v>Thu</v>
      </c>
      <c r="E5" s="2" t="str">
        <f>TEXT(WEEKDAY(DATE(TahunKalender,6,3),1),"aaa")</f>
        <v>Fri</v>
      </c>
      <c r="F5" s="2" t="str">
        <f>TEXT(WEEKDAY(DATE(TahunKalender,6,4),1),"aaa")</f>
        <v>Sat</v>
      </c>
      <c r="G5" s="2" t="str">
        <f>TEXT(WEEKDAY(DATE(TahunKalender,6,5),1),"aaa")</f>
        <v>Sun</v>
      </c>
      <c r="H5" s="2" t="str">
        <f>TEXT(WEEKDAY(DATE(TahunKalender,6,6),1),"aaa")</f>
        <v>Mon</v>
      </c>
      <c r="I5" s="2" t="str">
        <f>TEXT(WEEKDAY(DATE(TahunKalender,6,7),1),"aaa")</f>
        <v>Tue</v>
      </c>
      <c r="J5" s="2" t="str">
        <f>TEXT(WEEKDAY(DATE(TahunKalender,6,8),1),"aaa")</f>
        <v>Wed</v>
      </c>
      <c r="K5" s="2" t="str">
        <f>TEXT(WEEKDAY(DATE(TahunKalender,6,9),1),"aaa")</f>
        <v>Thu</v>
      </c>
      <c r="L5" s="2" t="str">
        <f>TEXT(WEEKDAY(DATE(TahunKalender,6,10),1),"aaa")</f>
        <v>Fri</v>
      </c>
      <c r="M5" s="2" t="str">
        <f>TEXT(WEEKDAY(DATE(TahunKalender,6,11),1),"aaa")</f>
        <v>Sat</v>
      </c>
      <c r="N5" s="2" t="str">
        <f>TEXT(WEEKDAY(DATE(TahunKalender,6,12),1),"aaa")</f>
        <v>Sun</v>
      </c>
      <c r="O5" s="2" t="str">
        <f>TEXT(WEEKDAY(DATE(TahunKalender,6,13),1),"aaa")</f>
        <v>Mon</v>
      </c>
      <c r="P5" s="2" t="str">
        <f>TEXT(WEEKDAY(DATE(TahunKalender,6,14),1),"aaa")</f>
        <v>Tue</v>
      </c>
      <c r="Q5" s="2" t="str">
        <f>TEXT(WEEKDAY(DATE(TahunKalender,6,15),1),"aaa")</f>
        <v>Wed</v>
      </c>
      <c r="R5" s="2" t="str">
        <f>TEXT(WEEKDAY(DATE(TahunKalender,6,16),1),"aaa")</f>
        <v>Thu</v>
      </c>
      <c r="S5" s="2" t="str">
        <f>TEXT(WEEKDAY(DATE(TahunKalender,6,17),1),"aaa")</f>
        <v>Fri</v>
      </c>
      <c r="T5" s="2" t="str">
        <f>TEXT(WEEKDAY(DATE(TahunKalender,6,18),1),"aaa")</f>
        <v>Sat</v>
      </c>
      <c r="U5" s="2" t="str">
        <f>TEXT(WEEKDAY(DATE(TahunKalender,6,19),1),"aaa")</f>
        <v>Sun</v>
      </c>
      <c r="V5" s="2" t="str">
        <f>TEXT(WEEKDAY(DATE(TahunKalender,6,20),1),"aaa")</f>
        <v>Mon</v>
      </c>
      <c r="W5" s="2" t="str">
        <f>TEXT(WEEKDAY(DATE(TahunKalender,6,21),1),"aaa")</f>
        <v>Tue</v>
      </c>
      <c r="X5" s="2" t="str">
        <f>TEXT(WEEKDAY(DATE(TahunKalender,6,22),1),"aaa")</f>
        <v>Wed</v>
      </c>
      <c r="Y5" s="2" t="str">
        <f>TEXT(WEEKDAY(DATE(TahunKalender,6,23),1),"aaa")</f>
        <v>Thu</v>
      </c>
      <c r="Z5" s="2" t="str">
        <f>TEXT(WEEKDAY(DATE(TahunKalender,6,24),1),"aaa")</f>
        <v>Fri</v>
      </c>
      <c r="AA5" s="2" t="str">
        <f>TEXT(WEEKDAY(DATE(TahunKalender,6,25),1),"aaa")</f>
        <v>Sat</v>
      </c>
      <c r="AB5" s="2" t="str">
        <f>TEXT(WEEKDAY(DATE(TahunKalender,6,26),1),"aaa")</f>
        <v>Sun</v>
      </c>
      <c r="AC5" s="2" t="str">
        <f>TEXT(WEEKDAY(DATE(TahunKalender,6,27),1),"aaa")</f>
        <v>Mon</v>
      </c>
      <c r="AD5" s="2" t="str">
        <f>TEXT(WEEKDAY(DATE(TahunKalender,6,28),1),"aaa")</f>
        <v>Tue</v>
      </c>
      <c r="AE5" s="2" t="str">
        <f>TEXT(WEEKDAY(DATE(TahunKalender,6,29),1),"aaa")</f>
        <v>Wed</v>
      </c>
      <c r="AF5" s="2" t="str">
        <f>TEXT(WEEKDAY(DATE(TahunKalender,6,30),1),"aaa")</f>
        <v>Thu</v>
      </c>
      <c r="AG5" s="2"/>
      <c r="AH5" s="12"/>
    </row>
    <row r="6" spans="2:34" ht="15" customHeight="1" x14ac:dyDescent="0.25">
      <c r="B6" s="15" t="s">
        <v>2</v>
      </c>
      <c r="C6" s="3" t="s">
        <v>10</v>
      </c>
      <c r="D6" s="3" t="s">
        <v>12</v>
      </c>
      <c r="E6" s="3" t="s">
        <v>13</v>
      </c>
      <c r="F6" s="3" t="s">
        <v>15</v>
      </c>
      <c r="G6" s="3" t="s">
        <v>17</v>
      </c>
      <c r="H6" s="3" t="s">
        <v>19</v>
      </c>
      <c r="I6" s="3" t="s">
        <v>20</v>
      </c>
      <c r="J6" s="3" t="s">
        <v>21</v>
      </c>
      <c r="K6" s="3" t="s">
        <v>22</v>
      </c>
      <c r="L6" s="3" t="s">
        <v>24</v>
      </c>
      <c r="M6" s="3" t="s">
        <v>25</v>
      </c>
      <c r="N6" s="3" t="s">
        <v>26</v>
      </c>
      <c r="O6" s="3" t="s">
        <v>28</v>
      </c>
      <c r="P6" s="3" t="s">
        <v>29</v>
      </c>
      <c r="Q6" s="3" t="s">
        <v>30</v>
      </c>
      <c r="R6" s="3" t="s">
        <v>31</v>
      </c>
      <c r="S6" s="3" t="s">
        <v>33</v>
      </c>
      <c r="T6" s="3" t="s">
        <v>34</v>
      </c>
      <c r="U6" s="3" t="s">
        <v>35</v>
      </c>
      <c r="V6" s="3" t="s">
        <v>36</v>
      </c>
      <c r="W6" s="3" t="s">
        <v>37</v>
      </c>
      <c r="X6" s="3" t="s">
        <v>38</v>
      </c>
      <c r="Y6" s="3" t="s">
        <v>39</v>
      </c>
      <c r="Z6" s="3" t="s">
        <v>40</v>
      </c>
      <c r="AA6" s="3" t="s">
        <v>41</v>
      </c>
      <c r="AB6" s="3" t="s">
        <v>42</v>
      </c>
      <c r="AC6" s="3" t="s">
        <v>43</v>
      </c>
      <c r="AD6" s="3" t="s">
        <v>44</v>
      </c>
      <c r="AE6" s="3" t="s">
        <v>45</v>
      </c>
      <c r="AF6" s="3" t="s">
        <v>46</v>
      </c>
      <c r="AG6" s="3" t="s">
        <v>51</v>
      </c>
      <c r="AH6" s="16" t="s">
        <v>49</v>
      </c>
    </row>
    <row r="7" spans="2:34" ht="30" customHeight="1" x14ac:dyDescent="0.25">
      <c r="B7" s="17" t="s">
        <v>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10">
        <f>COUNTA(Juni[[#This Row],[1]:[30 ]])</f>
        <v>0</v>
      </c>
    </row>
    <row r="8" spans="2:34" ht="30" customHeight="1" x14ac:dyDescent="0.25">
      <c r="B8" s="17" t="s">
        <v>4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10">
        <f>COUNTA(Juni[[#This Row],[1]:[30 ]])</f>
        <v>0</v>
      </c>
    </row>
    <row r="9" spans="2:34" ht="30" customHeight="1" x14ac:dyDescent="0.25">
      <c r="B9" s="17" t="s">
        <v>5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10">
        <f>COUNTA(Juni[[#This Row],[1]:[30 ]])</f>
        <v>0</v>
      </c>
    </row>
    <row r="10" spans="2:34" ht="30" customHeight="1" x14ac:dyDescent="0.25">
      <c r="B10" s="17" t="s">
        <v>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10">
        <f>COUNTA(Juni[[#This Row],[1]:[30 ]])</f>
        <v>0</v>
      </c>
    </row>
    <row r="11" spans="2:34" ht="30" customHeight="1" x14ac:dyDescent="0.25">
      <c r="B11" s="17" t="s">
        <v>7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10">
        <f>COUNTA(Juni[[#This Row],[1]:[30 ]])</f>
        <v>0</v>
      </c>
    </row>
    <row r="12" spans="2:34" ht="30" customHeight="1" x14ac:dyDescent="0.25">
      <c r="B12" s="21" t="str">
        <f>"Total "&amp;NamaBulan</f>
        <v>Total Juni</v>
      </c>
      <c r="C12" s="13">
        <f>SUBTOTAL(103,Juni[1])</f>
        <v>0</v>
      </c>
      <c r="D12" s="13">
        <f>SUBTOTAL(103,Juni[2])</f>
        <v>0</v>
      </c>
      <c r="E12" s="13">
        <f>SUBTOTAL(103,Juni[3])</f>
        <v>0</v>
      </c>
      <c r="F12" s="13">
        <f>SUBTOTAL(103,Juni[4])</f>
        <v>0</v>
      </c>
      <c r="G12" s="13">
        <f>SUBTOTAL(103,Juni[5])</f>
        <v>0</v>
      </c>
      <c r="H12" s="13">
        <f>SUBTOTAL(103,Juni[6])</f>
        <v>0</v>
      </c>
      <c r="I12" s="13">
        <f>SUBTOTAL(103,Juni[7])</f>
        <v>0</v>
      </c>
      <c r="J12" s="13">
        <f>SUBTOTAL(103,Juni[8])</f>
        <v>0</v>
      </c>
      <c r="K12" s="13">
        <f>SUBTOTAL(103,Juni[9])</f>
        <v>0</v>
      </c>
      <c r="L12" s="13">
        <f>SUBTOTAL(103,Juni[10])</f>
        <v>0</v>
      </c>
      <c r="M12" s="13">
        <f>SUBTOTAL(103,Juni[11])</f>
        <v>0</v>
      </c>
      <c r="N12" s="13">
        <f>SUBTOTAL(103,Juni[12])</f>
        <v>0</v>
      </c>
      <c r="O12" s="13">
        <f>SUBTOTAL(103,Juni[13])</f>
        <v>0</v>
      </c>
      <c r="P12" s="13">
        <f>SUBTOTAL(103,Juni[14])</f>
        <v>0</v>
      </c>
      <c r="Q12" s="13">
        <f>SUBTOTAL(103,Juni[15])</f>
        <v>0</v>
      </c>
      <c r="R12" s="13">
        <f>SUBTOTAL(103,Juni[16])</f>
        <v>0</v>
      </c>
      <c r="S12" s="13">
        <f>SUBTOTAL(103,Juni[17])</f>
        <v>0</v>
      </c>
      <c r="T12" s="13">
        <f>SUBTOTAL(103,Juni[18])</f>
        <v>0</v>
      </c>
      <c r="U12" s="13">
        <f>SUBTOTAL(103,Juni[19])</f>
        <v>0</v>
      </c>
      <c r="V12" s="13">
        <f>SUBTOTAL(103,Juni[20])</f>
        <v>0</v>
      </c>
      <c r="W12" s="13">
        <f>SUBTOTAL(103,Juni[21])</f>
        <v>0</v>
      </c>
      <c r="X12" s="13">
        <f>SUBTOTAL(103,Juni[22])</f>
        <v>0</v>
      </c>
      <c r="Y12" s="13">
        <f>SUBTOTAL(103,Juni[23])</f>
        <v>0</v>
      </c>
      <c r="Z12" s="13">
        <f>SUBTOTAL(103,Juni[24])</f>
        <v>0</v>
      </c>
      <c r="AA12" s="13">
        <f>SUBTOTAL(103,Juni[25])</f>
        <v>0</v>
      </c>
      <c r="AB12" s="13">
        <f>SUBTOTAL(103,Juni[26])</f>
        <v>0</v>
      </c>
      <c r="AC12" s="13">
        <f>SUBTOTAL(103,Juni[27])</f>
        <v>0</v>
      </c>
      <c r="AD12" s="13">
        <f>SUBTOTAL(103,Juni[28])</f>
        <v>0</v>
      </c>
      <c r="AE12" s="13">
        <f>SUBTOTAL(103,Juni[29])</f>
        <v>0</v>
      </c>
      <c r="AF12" s="13">
        <f>SUBTOTAL(103,Juni[[30 ]])</f>
        <v>0</v>
      </c>
      <c r="AG12" s="13">
        <f>SUBTOTAL(103,Juni[[ ]])</f>
        <v>0</v>
      </c>
      <c r="AH12" s="13">
        <f>SUBTOTAL(109,Juni[Total Hari])</f>
        <v>0</v>
      </c>
    </row>
  </sheetData>
  <mergeCells count="6">
    <mergeCell ref="C4:AG4"/>
    <mergeCell ref="D2:F2"/>
    <mergeCell ref="H2:J2"/>
    <mergeCell ref="L2:M2"/>
    <mergeCell ref="O2:Q2"/>
    <mergeCell ref="S2:U2"/>
  </mergeCells>
  <conditionalFormatting sqref="C7:AG11">
    <cfRule type="expression" priority="1" stopIfTrue="1">
      <formula>C7=""</formula>
    </cfRule>
  </conditionalFormatting>
  <conditionalFormatting sqref="C7:AG11">
    <cfRule type="expression" dxfId="517" priority="2" stopIfTrue="1">
      <formula>C7=KustomKunci2</formula>
    </cfRule>
    <cfRule type="expression" dxfId="516" priority="3" stopIfTrue="1">
      <formula>C7=Kustomkunci1</formula>
    </cfRule>
    <cfRule type="expression" dxfId="515" priority="4" stopIfTrue="1">
      <formula>C7=SakitKunci</formula>
    </cfRule>
    <cfRule type="expression" dxfId="514" priority="5" stopIfTrue="1">
      <formula>C7=PribadiKunci</formula>
    </cfRule>
    <cfRule type="expression" dxfId="513" priority="6" stopIfTrue="1">
      <formula>C7=LiburanKunci</formula>
    </cfRule>
  </conditionalFormatting>
  <conditionalFormatting sqref="AH7:AH11">
    <cfRule type="dataBar" priority="7">
      <dataBar>
        <cfvo type="min"/>
        <cfvo type="formula" val="DATEDIF(DATE(TahunKalender,2,1),DATE(TahunKalender,3,1),&quot;d&quot;)"/>
        <color theme="2" tint="-0.249977111117893"/>
      </dataBar>
      <extLst>
        <ext xmlns:x14="http://schemas.microsoft.com/office/spreadsheetml/2009/9/main" uri="{B025F937-C7B1-47D3-B67F-A62EFF666E3E}">
          <x14:id>{5E94D469-7B22-408B-924D-8DC8A136AD3B}</x14:id>
        </ext>
      </extLst>
    </cfRule>
  </conditionalFormatting>
  <dataValidations count="14">
    <dataValidation allowBlank="1" showInputMessage="1" showErrorMessage="1" prompt="Hari kerja dalam baris ini diperbarui secara otomatis sesuai bulan menurut tahun yang ada di AH4. Setiap hari dalam sebulan memiliki kolom untuk mencatat absensi dan tipe absensi karyawan" sqref="C5"/>
    <dataValidation allowBlank="1" showInputMessage="1" showErrorMessage="1" prompt="Otomatis memperbarui tahun berdasarkan tahun yang dimasukkan dalam lembar kerja Januari" sqref="AH4"/>
    <dataValidation allowBlank="1" showInputMessage="1" showErrorMessage="1" prompt="Otomatis menghitung total jumlah hari karyawan absen bulan ini di kolom ini" sqref="AH6"/>
    <dataValidation allowBlank="1" showInputMessage="1" showErrorMessage="1" prompt="Catat absensi bulan Juni di lembar kerja ini" sqref="A1"/>
    <dataValidation errorStyle="warning" allowBlank="1" showInputMessage="1" showErrorMessage="1" error="Pilih nama dari daftar. Pilih BATAL, lalu tekan ALT+PANAH BAWAH kemudian ENTER untuk memilih nama" prompt="Masukkan nama karyawan dalam lembar kerja Nama Karyawan, lalu pilih salah satu nama dari daftar dalam kolom ini. Tekan ALT+PANAH BAWAH kemudian ENTER untuk memilih nama" sqref="B6"/>
    <dataValidation allowBlank="1" showInputMessage="1" showErrorMessage="1" prompt="Judul yang otomatis diperbarui berada dalam sel ini. Untuk mengubah judul, perbarui B1 pada lembar kerja Januari" sqref="B1"/>
    <dataValidation allowBlank="1" showInputMessage="1" showErrorMessage="1" prompt="Huruf &quot;L&quot; menunjukkan absensi karena liburan" sqref="C2"/>
    <dataValidation allowBlank="1" showInputMessage="1" showErrorMessage="1" prompt="Huruf &quot;P&quot; menunjukkan absensi karena alasan pribadi" sqref="G2"/>
    <dataValidation allowBlank="1" showInputMessage="1" showErrorMessage="1" prompt="Huruf &quot;S&quot; menunjukkan absensi karena sakit" sqref="K2"/>
    <dataValidation allowBlank="1" showInputMessage="1" showErrorMessage="1" prompt="Masukkan huruf dan sesuaikan label di sebelah kanan untuk menambahkan item simbol lain" sqref="N2 R2"/>
    <dataValidation allowBlank="1" showInputMessage="1" showErrorMessage="1" prompt="Masukkan label untuk mendeskripsikan simbol kustom di sebelah kiri" sqref="O2:Q2 S2:U2"/>
    <dataValidation allowBlank="1" showInputMessage="1" showErrorMessage="1" prompt="Baris ini menetapkan simbol yang digunakan dalam tabel: sel C2 adalah Liburan, G2 adalah Pribadi, &amp; K2 adalah Izin Sakit. Sel N2 &amp; R2 dapat disesuaikan" sqref="B2"/>
    <dataValidation allowBlank="1" showInputMessage="1" showErrorMessage="1" prompt="Nama bulan untuk jadwal absensi ini berada dalam sel ini. Total absensi untuk bulan ini berada dalam sel terakhir pada tabel. Pilih nama karyawan dalam tabel di kolom B" sqref="B4"/>
    <dataValidation allowBlank="1" showInputMessage="1" showErrorMessage="1" prompt="Hari dalam sebulan dalam baris ini dibuat secara otomatis. Masukkan absensi dan tipe absensi karyawan di setiap kolom untuk setiap hari dalam sebulan. Kosong artinya tidak ada absensi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94D469-7B22-408B-924D-8DC8A136AD3B}">
            <x14:dataBar minLength="0" maxLength="100">
              <x14:cfvo type="autoMin"/>
              <x14:cfvo type="formula">
                <xm:f>DATEDIF(DATE(TahunKalender,2,1),DATE(TahunKalender,3,1),"d")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'Nama Karyawan'!$B$4:$B$8</xm:f>
          </x14:formula1>
          <xm:sqref>B7:B11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AH12"/>
  <sheetViews>
    <sheetView showGridLines="0" zoomScaleNormal="100" workbookViewId="0"/>
  </sheetViews>
  <sheetFormatPr defaultRowHeight="30" customHeight="1" x14ac:dyDescent="0.25"/>
  <cols>
    <col min="1" max="1" width="2.7109375" style="11" customWidth="1"/>
    <col min="2" max="2" width="25.7109375" style="11" customWidth="1"/>
    <col min="3" max="33" width="4.7109375" style="11" customWidth="1"/>
    <col min="34" max="34" width="17.28515625" style="11" customWidth="1"/>
    <col min="35" max="35" width="2.7109375" customWidth="1"/>
  </cols>
  <sheetData>
    <row r="1" spans="2:34" ht="50.1" customHeight="1" x14ac:dyDescent="0.25">
      <c r="B1" s="14" t="str">
        <f>Judul_Absensi_Karyawan</f>
        <v>Jadwal Absen E-POSTES Karyawan PT. PRATAMA INDONESIA</v>
      </c>
    </row>
    <row r="2" spans="2:34" ht="15" customHeight="1" x14ac:dyDescent="0.25">
      <c r="B2" s="19" t="s">
        <v>0</v>
      </c>
      <c r="C2" s="4" t="s">
        <v>8</v>
      </c>
      <c r="D2" s="25" t="s">
        <v>11</v>
      </c>
      <c r="E2" s="25"/>
      <c r="F2" s="25"/>
      <c r="G2" s="5" t="s">
        <v>14</v>
      </c>
      <c r="H2" s="25" t="s">
        <v>18</v>
      </c>
      <c r="I2" s="25"/>
      <c r="J2" s="25"/>
      <c r="K2" s="6" t="s">
        <v>16</v>
      </c>
      <c r="L2" s="25" t="s">
        <v>23</v>
      </c>
      <c r="M2" s="25"/>
      <c r="N2" s="7"/>
      <c r="O2" s="25" t="s">
        <v>27</v>
      </c>
      <c r="P2" s="25"/>
      <c r="Q2" s="25"/>
      <c r="R2" s="8"/>
      <c r="S2" s="25" t="s">
        <v>32</v>
      </c>
      <c r="T2" s="25"/>
      <c r="U2" s="25"/>
    </row>
    <row r="3" spans="2:34" ht="15" customHeight="1" x14ac:dyDescent="0.25">
      <c r="B3" s="14"/>
    </row>
    <row r="4" spans="2:34" ht="30" customHeight="1" x14ac:dyDescent="0.25">
      <c r="B4" s="12" t="s">
        <v>57</v>
      </c>
      <c r="C4" s="24" t="s">
        <v>9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12">
        <f>TahunKalender</f>
        <v>2022</v>
      </c>
    </row>
    <row r="5" spans="2:34" ht="15" customHeight="1" x14ac:dyDescent="0.25">
      <c r="B5" s="12"/>
      <c r="C5" s="2" t="str">
        <f>TEXT(WEEKDAY(DATE(TahunKalender,7,1),1),"aaa")</f>
        <v>Fri</v>
      </c>
      <c r="D5" s="2" t="str">
        <f>TEXT(WEEKDAY(DATE(TahunKalender,7,2),1),"aaa")</f>
        <v>Sat</v>
      </c>
      <c r="E5" s="2" t="str">
        <f>TEXT(WEEKDAY(DATE(TahunKalender,7,3),1),"aaa")</f>
        <v>Sun</v>
      </c>
      <c r="F5" s="2" t="str">
        <f>TEXT(WEEKDAY(DATE(TahunKalender,7,4),1),"aaa")</f>
        <v>Mon</v>
      </c>
      <c r="G5" s="2" t="str">
        <f>TEXT(WEEKDAY(DATE(TahunKalender,7,5),1),"aaa")</f>
        <v>Tue</v>
      </c>
      <c r="H5" s="2" t="str">
        <f>TEXT(WEEKDAY(DATE(TahunKalender,7,6),1),"aaa")</f>
        <v>Wed</v>
      </c>
      <c r="I5" s="2" t="str">
        <f>TEXT(WEEKDAY(DATE(TahunKalender,7,7),1),"aaa")</f>
        <v>Thu</v>
      </c>
      <c r="J5" s="2" t="str">
        <f>TEXT(WEEKDAY(DATE(TahunKalender,7,8),1),"aaa")</f>
        <v>Fri</v>
      </c>
      <c r="K5" s="2" t="str">
        <f>TEXT(WEEKDAY(DATE(TahunKalender,7,9),1),"aaa")</f>
        <v>Sat</v>
      </c>
      <c r="L5" s="2" t="str">
        <f>TEXT(WEEKDAY(DATE(TahunKalender,7,10),1),"aaa")</f>
        <v>Sun</v>
      </c>
      <c r="M5" s="2" t="str">
        <f>TEXT(WEEKDAY(DATE(TahunKalender,7,11),1),"aaa")</f>
        <v>Mon</v>
      </c>
      <c r="N5" s="2" t="str">
        <f>TEXT(WEEKDAY(DATE(TahunKalender,7,12),1),"aaa")</f>
        <v>Tue</v>
      </c>
      <c r="O5" s="2" t="str">
        <f>TEXT(WEEKDAY(DATE(TahunKalender,7,13),1),"aaa")</f>
        <v>Wed</v>
      </c>
      <c r="P5" s="2" t="str">
        <f>TEXT(WEEKDAY(DATE(TahunKalender,7,14),1),"aaa")</f>
        <v>Thu</v>
      </c>
      <c r="Q5" s="2" t="str">
        <f>TEXT(WEEKDAY(DATE(TahunKalender,7,15),1),"aaa")</f>
        <v>Fri</v>
      </c>
      <c r="R5" s="2" t="str">
        <f>TEXT(WEEKDAY(DATE(TahunKalender,7,16),1),"aaa")</f>
        <v>Sat</v>
      </c>
      <c r="S5" s="2" t="str">
        <f>TEXT(WEEKDAY(DATE(TahunKalender,7,17),1),"aaa")</f>
        <v>Sun</v>
      </c>
      <c r="T5" s="2" t="str">
        <f>TEXT(WEEKDAY(DATE(TahunKalender,7,18),1),"aaa")</f>
        <v>Mon</v>
      </c>
      <c r="U5" s="2" t="str">
        <f>TEXT(WEEKDAY(DATE(TahunKalender,7,19),1),"aaa")</f>
        <v>Tue</v>
      </c>
      <c r="V5" s="2" t="str">
        <f>TEXT(WEEKDAY(DATE(TahunKalender,7,20),1),"aaa")</f>
        <v>Wed</v>
      </c>
      <c r="W5" s="2" t="str">
        <f>TEXT(WEEKDAY(DATE(TahunKalender,7,21),1),"aaa")</f>
        <v>Thu</v>
      </c>
      <c r="X5" s="2" t="str">
        <f>TEXT(WEEKDAY(DATE(TahunKalender,7,22),1),"aaa")</f>
        <v>Fri</v>
      </c>
      <c r="Y5" s="2" t="str">
        <f>TEXT(WEEKDAY(DATE(TahunKalender,7,23),1),"aaa")</f>
        <v>Sat</v>
      </c>
      <c r="Z5" s="2" t="str">
        <f>TEXT(WEEKDAY(DATE(TahunKalender,7,24),1),"aaa")</f>
        <v>Sun</v>
      </c>
      <c r="AA5" s="2" t="str">
        <f>TEXT(WEEKDAY(DATE(TahunKalender,7,25),1),"aaa")</f>
        <v>Mon</v>
      </c>
      <c r="AB5" s="2" t="str">
        <f>TEXT(WEEKDAY(DATE(TahunKalender,7,26),1),"aaa")</f>
        <v>Tue</v>
      </c>
      <c r="AC5" s="2" t="str">
        <f>TEXT(WEEKDAY(DATE(TahunKalender,7,27),1),"aaa")</f>
        <v>Wed</v>
      </c>
      <c r="AD5" s="2" t="str">
        <f>TEXT(WEEKDAY(DATE(TahunKalender,7,28),1),"aaa")</f>
        <v>Thu</v>
      </c>
      <c r="AE5" s="2" t="str">
        <f>TEXT(WEEKDAY(DATE(TahunKalender,7,29),1),"aaa")</f>
        <v>Fri</v>
      </c>
      <c r="AF5" s="2" t="str">
        <f>TEXT(WEEKDAY(DATE(TahunKalender,7,30),1),"aaa")</f>
        <v>Sat</v>
      </c>
      <c r="AG5" s="2" t="str">
        <f>TEXT(WEEKDAY(DATE(TahunKalender,7,31),1),"aaa")</f>
        <v>Sun</v>
      </c>
      <c r="AH5" s="12"/>
    </row>
    <row r="6" spans="2:34" ht="15" customHeight="1" x14ac:dyDescent="0.25">
      <c r="B6" s="15" t="s">
        <v>2</v>
      </c>
      <c r="C6" s="3" t="s">
        <v>10</v>
      </c>
      <c r="D6" s="3" t="s">
        <v>12</v>
      </c>
      <c r="E6" s="3" t="s">
        <v>13</v>
      </c>
      <c r="F6" s="3" t="s">
        <v>15</v>
      </c>
      <c r="G6" s="3" t="s">
        <v>17</v>
      </c>
      <c r="H6" s="3" t="s">
        <v>19</v>
      </c>
      <c r="I6" s="3" t="s">
        <v>20</v>
      </c>
      <c r="J6" s="3" t="s">
        <v>21</v>
      </c>
      <c r="K6" s="3" t="s">
        <v>22</v>
      </c>
      <c r="L6" s="3" t="s">
        <v>24</v>
      </c>
      <c r="M6" s="3" t="s">
        <v>25</v>
      </c>
      <c r="N6" s="3" t="s">
        <v>26</v>
      </c>
      <c r="O6" s="3" t="s">
        <v>28</v>
      </c>
      <c r="P6" s="3" t="s">
        <v>29</v>
      </c>
      <c r="Q6" s="3" t="s">
        <v>30</v>
      </c>
      <c r="R6" s="3" t="s">
        <v>31</v>
      </c>
      <c r="S6" s="3" t="s">
        <v>33</v>
      </c>
      <c r="T6" s="3" t="s">
        <v>34</v>
      </c>
      <c r="U6" s="3" t="s">
        <v>35</v>
      </c>
      <c r="V6" s="3" t="s">
        <v>36</v>
      </c>
      <c r="W6" s="3" t="s">
        <v>37</v>
      </c>
      <c r="X6" s="3" t="s">
        <v>38</v>
      </c>
      <c r="Y6" s="3" t="s">
        <v>39</v>
      </c>
      <c r="Z6" s="3" t="s">
        <v>40</v>
      </c>
      <c r="AA6" s="3" t="s">
        <v>41</v>
      </c>
      <c r="AB6" s="3" t="s">
        <v>42</v>
      </c>
      <c r="AC6" s="3" t="s">
        <v>43</v>
      </c>
      <c r="AD6" s="3" t="s">
        <v>44</v>
      </c>
      <c r="AE6" s="3" t="s">
        <v>45</v>
      </c>
      <c r="AF6" s="3" t="s">
        <v>46</v>
      </c>
      <c r="AG6" s="3" t="s">
        <v>47</v>
      </c>
      <c r="AH6" s="16" t="s">
        <v>49</v>
      </c>
    </row>
    <row r="7" spans="2:34" ht="30" customHeight="1" x14ac:dyDescent="0.25">
      <c r="B7" s="17" t="s">
        <v>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10">
        <f>COUNTA(Juli[[#This Row],[1]:[31]])</f>
        <v>0</v>
      </c>
    </row>
    <row r="8" spans="2:34" ht="30" customHeight="1" x14ac:dyDescent="0.25">
      <c r="B8" s="17" t="s">
        <v>4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10">
        <f>COUNTA(Juli[[#This Row],[1]:[31]])</f>
        <v>0</v>
      </c>
    </row>
    <row r="9" spans="2:34" ht="30" customHeight="1" x14ac:dyDescent="0.25">
      <c r="B9" s="17" t="s">
        <v>5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10">
        <f>COUNTA(Juli[[#This Row],[1]:[31]])</f>
        <v>0</v>
      </c>
    </row>
    <row r="10" spans="2:34" ht="30" customHeight="1" x14ac:dyDescent="0.25">
      <c r="B10" s="17" t="s">
        <v>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10">
        <f>COUNTA(Juli[[#This Row],[1]:[31]])</f>
        <v>0</v>
      </c>
    </row>
    <row r="11" spans="2:34" ht="30" customHeight="1" x14ac:dyDescent="0.25">
      <c r="B11" s="17" t="s">
        <v>7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10">
        <f>COUNTA(Juli[[#This Row],[1]:[31]])</f>
        <v>0</v>
      </c>
    </row>
    <row r="12" spans="2:34" ht="30" customHeight="1" x14ac:dyDescent="0.25">
      <c r="B12" s="21" t="str">
        <f>"Total "&amp;NamaBulan</f>
        <v>Total Juli</v>
      </c>
      <c r="C12" s="13">
        <f>SUBTOTAL(103,Juli[1])</f>
        <v>0</v>
      </c>
      <c r="D12" s="13">
        <f>SUBTOTAL(103,Juli[2])</f>
        <v>0</v>
      </c>
      <c r="E12" s="13">
        <f>SUBTOTAL(103,Juli[3])</f>
        <v>0</v>
      </c>
      <c r="F12" s="13">
        <f>SUBTOTAL(103,Juli[4])</f>
        <v>0</v>
      </c>
      <c r="G12" s="13">
        <f>SUBTOTAL(103,Juli[5])</f>
        <v>0</v>
      </c>
      <c r="H12" s="13">
        <f>SUBTOTAL(103,Juli[6])</f>
        <v>0</v>
      </c>
      <c r="I12" s="13">
        <f>SUBTOTAL(103,Juli[7])</f>
        <v>0</v>
      </c>
      <c r="J12" s="13">
        <f>SUBTOTAL(103,Juli[8])</f>
        <v>0</v>
      </c>
      <c r="K12" s="13">
        <f>SUBTOTAL(103,Juli[9])</f>
        <v>0</v>
      </c>
      <c r="L12" s="13">
        <f>SUBTOTAL(103,Juli[10])</f>
        <v>0</v>
      </c>
      <c r="M12" s="13">
        <f>SUBTOTAL(103,Juli[11])</f>
        <v>0</v>
      </c>
      <c r="N12" s="13">
        <f>SUBTOTAL(103,Juli[12])</f>
        <v>0</v>
      </c>
      <c r="O12" s="13">
        <f>SUBTOTAL(103,Juli[13])</f>
        <v>0</v>
      </c>
      <c r="P12" s="13">
        <f>SUBTOTAL(103,Juli[14])</f>
        <v>0</v>
      </c>
      <c r="Q12" s="13">
        <f>SUBTOTAL(103,Juli[15])</f>
        <v>0</v>
      </c>
      <c r="R12" s="13">
        <f>SUBTOTAL(103,Juli[16])</f>
        <v>0</v>
      </c>
      <c r="S12" s="13">
        <f>SUBTOTAL(103,Juli[17])</f>
        <v>0</v>
      </c>
      <c r="T12" s="13">
        <f>SUBTOTAL(103,Juli[18])</f>
        <v>0</v>
      </c>
      <c r="U12" s="13">
        <f>SUBTOTAL(103,Juli[19])</f>
        <v>0</v>
      </c>
      <c r="V12" s="13">
        <f>SUBTOTAL(103,Juli[20])</f>
        <v>0</v>
      </c>
      <c r="W12" s="13">
        <f>SUBTOTAL(103,Juli[21])</f>
        <v>0</v>
      </c>
      <c r="X12" s="13">
        <f>SUBTOTAL(103,Juli[22])</f>
        <v>0</v>
      </c>
      <c r="Y12" s="13">
        <f>SUBTOTAL(103,Juli[23])</f>
        <v>0</v>
      </c>
      <c r="Z12" s="13">
        <f>SUBTOTAL(103,Juli[24])</f>
        <v>0</v>
      </c>
      <c r="AA12" s="13">
        <f>SUBTOTAL(103,Juli[25])</f>
        <v>0</v>
      </c>
      <c r="AB12" s="13">
        <f>SUBTOTAL(103,Juli[26])</f>
        <v>0</v>
      </c>
      <c r="AC12" s="13">
        <f>SUBTOTAL(103,Juli[27])</f>
        <v>0</v>
      </c>
      <c r="AD12" s="13">
        <f>SUBTOTAL(103,Juli[28])</f>
        <v>0</v>
      </c>
      <c r="AE12" s="13">
        <f>SUBTOTAL(103,Juli[29])</f>
        <v>0</v>
      </c>
      <c r="AF12" s="13">
        <f>SUBTOTAL(103,Juli[[30 ]])</f>
        <v>0</v>
      </c>
      <c r="AG12" s="13">
        <f>SUBTOTAL(103,Juli[31])</f>
        <v>0</v>
      </c>
      <c r="AH12" s="13">
        <f>SUBTOTAL(109,Juli[Total Hari])</f>
        <v>0</v>
      </c>
    </row>
  </sheetData>
  <mergeCells count="6">
    <mergeCell ref="C4:AG4"/>
    <mergeCell ref="D2:F2"/>
    <mergeCell ref="H2:J2"/>
    <mergeCell ref="L2:M2"/>
    <mergeCell ref="O2:Q2"/>
    <mergeCell ref="S2:U2"/>
  </mergeCells>
  <conditionalFormatting sqref="C7:AG11">
    <cfRule type="expression" priority="1" stopIfTrue="1">
      <formula>C7=""</formula>
    </cfRule>
  </conditionalFormatting>
  <conditionalFormatting sqref="C7:AG11">
    <cfRule type="expression" dxfId="443" priority="2" stopIfTrue="1">
      <formula>C7=KustomKunci2</formula>
    </cfRule>
    <cfRule type="expression" dxfId="442" priority="3" stopIfTrue="1">
      <formula>C7=Kustomkunci1</formula>
    </cfRule>
    <cfRule type="expression" dxfId="441" priority="4" stopIfTrue="1">
      <formula>C7=SakitKunci</formula>
    </cfRule>
    <cfRule type="expression" dxfId="440" priority="5" stopIfTrue="1">
      <formula>C7=PribadiKunci</formula>
    </cfRule>
    <cfRule type="expression" dxfId="439" priority="6" stopIfTrue="1">
      <formula>C7=LiburanKunci</formula>
    </cfRule>
  </conditionalFormatting>
  <conditionalFormatting sqref="AH7:AH11">
    <cfRule type="dataBar" priority="7">
      <dataBar>
        <cfvo type="min"/>
        <cfvo type="formula" val="DATEDIF(DATE(TahunKalender,2,1),DATE(TahunKalender,3,1),&quot;d&quot;)"/>
        <color theme="2" tint="-0.249977111117893"/>
      </dataBar>
      <extLst>
        <ext xmlns:x14="http://schemas.microsoft.com/office/spreadsheetml/2009/9/main" uri="{B025F937-C7B1-47D3-B67F-A62EFF666E3E}">
          <x14:id>{E0DCF129-9B2A-4CEB-9E56-27607F4BED20}</x14:id>
        </ext>
      </extLst>
    </cfRule>
  </conditionalFormatting>
  <dataValidations count="14">
    <dataValidation allowBlank="1" showInputMessage="1" showErrorMessage="1" prompt="Hari dalam sebulan dalam baris ini dibuat secara otomatis. Masukkan absensi dan tipe absensi karyawan di setiap kolom untuk setiap hari dalam sebulan. Kosong artinya tidak ada absensi" sqref="C6"/>
    <dataValidation allowBlank="1" showInputMessage="1" showErrorMessage="1" prompt="Nama bulan untuk jadwal absensi ini berada dalam sel ini. Total absensi untuk bulan ini berada dalam sel terakhir pada tabel. Pilih nama karyawan dalam tabel di kolom B" sqref="B4"/>
    <dataValidation allowBlank="1" showInputMessage="1" showErrorMessage="1" prompt="Baris ini menetapkan simbol yang digunakan dalam tabel: sel C2 adalah Liburan, G2 adalah Pribadi, &amp; K2 adalah Izin Sakit. Sel N2 &amp; R2 dapat disesuaikan" sqref="B2"/>
    <dataValidation allowBlank="1" showInputMessage="1" showErrorMessage="1" prompt="Masukkan label untuk mendeskripsikan simbol kustom di sebelah kiri" sqref="O2:Q2 S2:U2"/>
    <dataValidation allowBlank="1" showInputMessage="1" showErrorMessage="1" prompt="Masukkan huruf dan sesuaikan label di sebelah kanan untuk menambahkan item simbol lain" sqref="N2 R2"/>
    <dataValidation allowBlank="1" showInputMessage="1" showErrorMessage="1" prompt="Huruf &quot;S&quot; menunjukkan absensi karena sakit" sqref="K2"/>
    <dataValidation allowBlank="1" showInputMessage="1" showErrorMessage="1" prompt="Huruf &quot;P&quot; menunjukkan absensi karena alasan pribadi" sqref="G2"/>
    <dataValidation allowBlank="1" showInputMessage="1" showErrorMessage="1" prompt="Huruf &quot;L&quot; menunjukkan absensi karena liburan" sqref="C2"/>
    <dataValidation allowBlank="1" showInputMessage="1" showErrorMessage="1" prompt="Judul yang otomatis diperbarui berada dalam sel ini. Untuk mengubah judul, perbarui B1 pada lembar kerja Januari" sqref="B1"/>
    <dataValidation errorStyle="warning" allowBlank="1" showInputMessage="1" showErrorMessage="1" error="Pilih nama dari daftar. Pilih BATAL, lalu tekan ALT+PANAH BAWAH kemudian ENTER untuk memilih nama" prompt="Masukkan nama karyawan dalam lembar kerja Nama Karyawan, lalu pilih salah satu nama dari daftar dalam kolom ini. Tekan ALT+PANAH BAWAH kemudian ENTER untuk memilih nama" sqref="B6"/>
    <dataValidation allowBlank="1" showInputMessage="1" showErrorMessage="1" prompt="Catat absensi bulan Juli di lembar kerja ini" sqref="A1"/>
    <dataValidation allowBlank="1" showInputMessage="1" showErrorMessage="1" prompt="Otomatis menghitung total jumlah hari karyawan absen bulan ini di kolom ini" sqref="AH6"/>
    <dataValidation allowBlank="1" showInputMessage="1" showErrorMessage="1" prompt="Otomatis memperbarui tahun berdasarkan tahun yang dimasukkan dalam lembar kerja Januari" sqref="AH4"/>
    <dataValidation allowBlank="1" showInputMessage="1" showErrorMessage="1" prompt="Hari kerja dalam baris ini diperbarui secara otomatis sesuai bulan menurut tahun yang ada di AH4. Setiap hari dalam sebulan memiliki kolom untuk mencatat absensi dan tipe absensi karyawan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DCF129-9B2A-4CEB-9E56-27607F4BED20}">
            <x14:dataBar minLength="0" maxLength="100">
              <x14:cfvo type="autoMin"/>
              <x14:cfvo type="formula">
                <xm:f>DATEDIF(DATE(TahunKalender,2,1),DATE(TahunKalender,3,1),"d")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'Nama Karyawan'!$B$4:$B$8</xm:f>
          </x14:formula1>
          <xm:sqref>B7:B11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12"/>
  <sheetViews>
    <sheetView showGridLines="0" zoomScaleNormal="100" workbookViewId="0"/>
  </sheetViews>
  <sheetFormatPr defaultRowHeight="30" customHeight="1" x14ac:dyDescent="0.25"/>
  <cols>
    <col min="1" max="1" width="2.7109375" style="11" customWidth="1"/>
    <col min="2" max="2" width="25.7109375" style="11" customWidth="1"/>
    <col min="3" max="33" width="4.7109375" style="11" customWidth="1"/>
    <col min="34" max="34" width="17.28515625" style="11" customWidth="1"/>
    <col min="35" max="35" width="2.7109375" customWidth="1"/>
  </cols>
  <sheetData>
    <row r="1" spans="2:34" ht="50.1" customHeight="1" x14ac:dyDescent="0.25">
      <c r="B1" s="14" t="str">
        <f>Judul_Absensi_Karyawan</f>
        <v>Jadwal Absen E-POSTES Karyawan PT. PRATAMA INDONESIA</v>
      </c>
    </row>
    <row r="2" spans="2:34" ht="15" customHeight="1" x14ac:dyDescent="0.25">
      <c r="B2" s="19" t="s">
        <v>0</v>
      </c>
      <c r="C2" s="4" t="s">
        <v>8</v>
      </c>
      <c r="D2" s="25" t="s">
        <v>11</v>
      </c>
      <c r="E2" s="25"/>
      <c r="F2" s="25"/>
      <c r="G2" s="5" t="s">
        <v>14</v>
      </c>
      <c r="H2" s="25" t="s">
        <v>18</v>
      </c>
      <c r="I2" s="25"/>
      <c r="J2" s="25"/>
      <c r="K2" s="6" t="s">
        <v>16</v>
      </c>
      <c r="L2" s="25" t="s">
        <v>23</v>
      </c>
      <c r="M2" s="25"/>
      <c r="N2" s="7"/>
      <c r="O2" s="25" t="s">
        <v>27</v>
      </c>
      <c r="P2" s="25"/>
      <c r="Q2" s="25"/>
      <c r="R2" s="8"/>
      <c r="S2" s="25" t="s">
        <v>32</v>
      </c>
      <c r="T2" s="25"/>
      <c r="U2" s="25"/>
    </row>
    <row r="3" spans="2:34" ht="15" customHeight="1" x14ac:dyDescent="0.25">
      <c r="B3" s="14"/>
    </row>
    <row r="4" spans="2:34" ht="30" customHeight="1" x14ac:dyDescent="0.25">
      <c r="B4" s="12" t="s">
        <v>58</v>
      </c>
      <c r="C4" s="24" t="s">
        <v>9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12">
        <f>TahunKalender</f>
        <v>2022</v>
      </c>
    </row>
    <row r="5" spans="2:34" ht="15" customHeight="1" x14ac:dyDescent="0.25">
      <c r="B5" s="12"/>
      <c r="C5" s="2" t="str">
        <f>TEXT(WEEKDAY(DATE(TahunKalender,8,1),1),"aaa")</f>
        <v>Mon</v>
      </c>
      <c r="D5" s="2" t="str">
        <f>TEXT(WEEKDAY(DATE(TahunKalender,8,2),1),"aaa")</f>
        <v>Tue</v>
      </c>
      <c r="E5" s="2" t="str">
        <f>TEXT(WEEKDAY(DATE(TahunKalender,8,3),1),"aaa")</f>
        <v>Wed</v>
      </c>
      <c r="F5" s="2" t="str">
        <f>TEXT(WEEKDAY(DATE(TahunKalender,8,4),1),"aaa")</f>
        <v>Thu</v>
      </c>
      <c r="G5" s="2" t="str">
        <f>TEXT(WEEKDAY(DATE(TahunKalender,8,5),1),"aaa")</f>
        <v>Fri</v>
      </c>
      <c r="H5" s="2" t="str">
        <f>TEXT(WEEKDAY(DATE(TahunKalender,8,6),1),"aaa")</f>
        <v>Sat</v>
      </c>
      <c r="I5" s="2" t="str">
        <f>TEXT(WEEKDAY(DATE(TahunKalender,8,7),1),"aaa")</f>
        <v>Sun</v>
      </c>
      <c r="J5" s="2" t="str">
        <f>TEXT(WEEKDAY(DATE(TahunKalender,8,8),1),"aaa")</f>
        <v>Mon</v>
      </c>
      <c r="K5" s="2" t="str">
        <f>TEXT(WEEKDAY(DATE(TahunKalender,8,9),1),"aaa")</f>
        <v>Tue</v>
      </c>
      <c r="L5" s="2" t="str">
        <f>TEXT(WEEKDAY(DATE(TahunKalender,8,10),1),"aaa")</f>
        <v>Wed</v>
      </c>
      <c r="M5" s="2" t="str">
        <f>TEXT(WEEKDAY(DATE(TahunKalender,8,11),1),"aaa")</f>
        <v>Thu</v>
      </c>
      <c r="N5" s="2" t="str">
        <f>TEXT(WEEKDAY(DATE(TahunKalender,8,12),1),"aaa")</f>
        <v>Fri</v>
      </c>
      <c r="O5" s="2" t="str">
        <f>TEXT(WEEKDAY(DATE(TahunKalender,8,13),1),"aaa")</f>
        <v>Sat</v>
      </c>
      <c r="P5" s="2" t="str">
        <f>TEXT(WEEKDAY(DATE(TahunKalender,8,14),1),"aaa")</f>
        <v>Sun</v>
      </c>
      <c r="Q5" s="2" t="str">
        <f>TEXT(WEEKDAY(DATE(TahunKalender,8,15),1),"aaa")</f>
        <v>Mon</v>
      </c>
      <c r="R5" s="2" t="str">
        <f>TEXT(WEEKDAY(DATE(TahunKalender,8,16),1),"aaa")</f>
        <v>Tue</v>
      </c>
      <c r="S5" s="2" t="str">
        <f>TEXT(WEEKDAY(DATE(TahunKalender,8,17),1),"aaa")</f>
        <v>Wed</v>
      </c>
      <c r="T5" s="2" t="str">
        <f>TEXT(WEEKDAY(DATE(TahunKalender,8,18),1),"aaa")</f>
        <v>Thu</v>
      </c>
      <c r="U5" s="2" t="str">
        <f>TEXT(WEEKDAY(DATE(TahunKalender,8,19),1),"aaa")</f>
        <v>Fri</v>
      </c>
      <c r="V5" s="2" t="str">
        <f>TEXT(WEEKDAY(DATE(TahunKalender,8,20),1),"aaa")</f>
        <v>Sat</v>
      </c>
      <c r="W5" s="2" t="str">
        <f>TEXT(WEEKDAY(DATE(TahunKalender,8,21),1),"aaa")</f>
        <v>Sun</v>
      </c>
      <c r="X5" s="2" t="str">
        <f>TEXT(WEEKDAY(DATE(TahunKalender,8,22),1),"aaa")</f>
        <v>Mon</v>
      </c>
      <c r="Y5" s="2" t="str">
        <f>TEXT(WEEKDAY(DATE(TahunKalender,8,23),1),"aaa")</f>
        <v>Tue</v>
      </c>
      <c r="Z5" s="2" t="str">
        <f>TEXT(WEEKDAY(DATE(TahunKalender,8,24),1),"aaa")</f>
        <v>Wed</v>
      </c>
      <c r="AA5" s="2" t="str">
        <f>TEXT(WEEKDAY(DATE(TahunKalender,8,25),1),"aaa")</f>
        <v>Thu</v>
      </c>
      <c r="AB5" s="2" t="str">
        <f>TEXT(WEEKDAY(DATE(TahunKalender,8,26),1),"aaa")</f>
        <v>Fri</v>
      </c>
      <c r="AC5" s="2" t="str">
        <f>TEXT(WEEKDAY(DATE(TahunKalender,8,27),1),"aaa")</f>
        <v>Sat</v>
      </c>
      <c r="AD5" s="2" t="str">
        <f>TEXT(WEEKDAY(DATE(TahunKalender,8,28),1),"aaa")</f>
        <v>Sun</v>
      </c>
      <c r="AE5" s="2" t="str">
        <f>TEXT(WEEKDAY(DATE(TahunKalender,8,29),1),"aaa")</f>
        <v>Mon</v>
      </c>
      <c r="AF5" s="2" t="str">
        <f>TEXT(WEEKDAY(DATE(TahunKalender,8,30),1),"aaa")</f>
        <v>Tue</v>
      </c>
      <c r="AG5" s="2" t="str">
        <f>TEXT(WEEKDAY(DATE(TahunKalender,8,31),1),"aaa")</f>
        <v>Wed</v>
      </c>
      <c r="AH5" s="12"/>
    </row>
    <row r="6" spans="2:34" ht="15" customHeight="1" x14ac:dyDescent="0.25">
      <c r="B6" s="15" t="s">
        <v>2</v>
      </c>
      <c r="C6" s="3" t="s">
        <v>10</v>
      </c>
      <c r="D6" s="3" t="s">
        <v>12</v>
      </c>
      <c r="E6" s="3" t="s">
        <v>13</v>
      </c>
      <c r="F6" s="3" t="s">
        <v>15</v>
      </c>
      <c r="G6" s="3" t="s">
        <v>17</v>
      </c>
      <c r="H6" s="3" t="s">
        <v>19</v>
      </c>
      <c r="I6" s="3" t="s">
        <v>20</v>
      </c>
      <c r="J6" s="3" t="s">
        <v>21</v>
      </c>
      <c r="K6" s="3" t="s">
        <v>22</v>
      </c>
      <c r="L6" s="3" t="s">
        <v>24</v>
      </c>
      <c r="M6" s="3" t="s">
        <v>25</v>
      </c>
      <c r="N6" s="3" t="s">
        <v>26</v>
      </c>
      <c r="O6" s="3" t="s">
        <v>28</v>
      </c>
      <c r="P6" s="3" t="s">
        <v>29</v>
      </c>
      <c r="Q6" s="3" t="s">
        <v>30</v>
      </c>
      <c r="R6" s="3" t="s">
        <v>31</v>
      </c>
      <c r="S6" s="3" t="s">
        <v>33</v>
      </c>
      <c r="T6" s="3" t="s">
        <v>34</v>
      </c>
      <c r="U6" s="3" t="s">
        <v>35</v>
      </c>
      <c r="V6" s="3" t="s">
        <v>36</v>
      </c>
      <c r="W6" s="3" t="s">
        <v>37</v>
      </c>
      <c r="X6" s="3" t="s">
        <v>38</v>
      </c>
      <c r="Y6" s="3" t="s">
        <v>39</v>
      </c>
      <c r="Z6" s="3" t="s">
        <v>40</v>
      </c>
      <c r="AA6" s="3" t="s">
        <v>41</v>
      </c>
      <c r="AB6" s="3" t="s">
        <v>42</v>
      </c>
      <c r="AC6" s="3" t="s">
        <v>43</v>
      </c>
      <c r="AD6" s="3" t="s">
        <v>44</v>
      </c>
      <c r="AE6" s="3" t="s">
        <v>45</v>
      </c>
      <c r="AF6" s="3" t="s">
        <v>46</v>
      </c>
      <c r="AG6" s="3" t="s">
        <v>47</v>
      </c>
      <c r="AH6" s="16" t="s">
        <v>49</v>
      </c>
    </row>
    <row r="7" spans="2:34" ht="30" customHeight="1" x14ac:dyDescent="0.25">
      <c r="B7" s="17" t="s">
        <v>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10">
        <f>COUNTA(Agustus[[#This Row],[1]:[31]])</f>
        <v>0</v>
      </c>
    </row>
    <row r="8" spans="2:34" ht="30" customHeight="1" x14ac:dyDescent="0.25">
      <c r="B8" s="17" t="s">
        <v>4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10">
        <f>COUNTA(Agustus[[#This Row],[1]:[31]])</f>
        <v>0</v>
      </c>
    </row>
    <row r="9" spans="2:34" ht="30" customHeight="1" x14ac:dyDescent="0.25">
      <c r="B9" s="17" t="s">
        <v>5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10">
        <f>COUNTA(Agustus[[#This Row],[1]:[31]])</f>
        <v>0</v>
      </c>
    </row>
    <row r="10" spans="2:34" ht="30" customHeight="1" x14ac:dyDescent="0.25">
      <c r="B10" s="17" t="s">
        <v>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10">
        <f>COUNTA(Agustus[[#This Row],[1]:[31]])</f>
        <v>0</v>
      </c>
    </row>
    <row r="11" spans="2:34" ht="30" customHeight="1" x14ac:dyDescent="0.25">
      <c r="B11" s="17" t="s">
        <v>7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10">
        <f>COUNTA(Agustus[[#This Row],[1]:[31]])</f>
        <v>0</v>
      </c>
    </row>
    <row r="12" spans="2:34" ht="30" customHeight="1" x14ac:dyDescent="0.25">
      <c r="B12" s="21" t="str">
        <f>"Total "&amp;NamaBulan</f>
        <v>Total Agustus</v>
      </c>
      <c r="C12" s="13">
        <f>SUBTOTAL(103,Agustus[1])</f>
        <v>0</v>
      </c>
      <c r="D12" s="13">
        <f>SUBTOTAL(103,Agustus[2])</f>
        <v>0</v>
      </c>
      <c r="E12" s="13">
        <f>SUBTOTAL(103,Agustus[3])</f>
        <v>0</v>
      </c>
      <c r="F12" s="13">
        <f>SUBTOTAL(103,Agustus[4])</f>
        <v>0</v>
      </c>
      <c r="G12" s="13">
        <f>SUBTOTAL(103,Agustus[5])</f>
        <v>0</v>
      </c>
      <c r="H12" s="13">
        <f>SUBTOTAL(103,Agustus[6])</f>
        <v>0</v>
      </c>
      <c r="I12" s="13">
        <f>SUBTOTAL(103,Agustus[7])</f>
        <v>0</v>
      </c>
      <c r="J12" s="13">
        <f>SUBTOTAL(103,Agustus[8])</f>
        <v>0</v>
      </c>
      <c r="K12" s="13">
        <f>SUBTOTAL(103,Agustus[9])</f>
        <v>0</v>
      </c>
      <c r="L12" s="13">
        <f>SUBTOTAL(103,Agustus[10])</f>
        <v>0</v>
      </c>
      <c r="M12" s="13">
        <f>SUBTOTAL(103,Agustus[11])</f>
        <v>0</v>
      </c>
      <c r="N12" s="13">
        <f>SUBTOTAL(103,Agustus[12])</f>
        <v>0</v>
      </c>
      <c r="O12" s="13">
        <f>SUBTOTAL(103,Agustus[13])</f>
        <v>0</v>
      </c>
      <c r="P12" s="13">
        <f>SUBTOTAL(103,Agustus[14])</f>
        <v>0</v>
      </c>
      <c r="Q12" s="13">
        <f>SUBTOTAL(103,Agustus[15])</f>
        <v>0</v>
      </c>
      <c r="R12" s="13">
        <f>SUBTOTAL(103,Agustus[16])</f>
        <v>0</v>
      </c>
      <c r="S12" s="13">
        <f>SUBTOTAL(103,Agustus[17])</f>
        <v>0</v>
      </c>
      <c r="T12" s="13">
        <f>SUBTOTAL(103,Agustus[18])</f>
        <v>0</v>
      </c>
      <c r="U12" s="13">
        <f>SUBTOTAL(103,Agustus[19])</f>
        <v>0</v>
      </c>
      <c r="V12" s="13">
        <f>SUBTOTAL(103,Agustus[20])</f>
        <v>0</v>
      </c>
      <c r="W12" s="13">
        <f>SUBTOTAL(103,Agustus[21])</f>
        <v>0</v>
      </c>
      <c r="X12" s="13">
        <f>SUBTOTAL(103,Agustus[22])</f>
        <v>0</v>
      </c>
      <c r="Y12" s="13">
        <f>SUBTOTAL(103,Agustus[23])</f>
        <v>0</v>
      </c>
      <c r="Z12" s="13">
        <f>SUBTOTAL(103,Agustus[24])</f>
        <v>0</v>
      </c>
      <c r="AA12" s="13">
        <f>SUBTOTAL(103,Agustus[25])</f>
        <v>0</v>
      </c>
      <c r="AB12" s="13">
        <f>SUBTOTAL(103,Agustus[26])</f>
        <v>0</v>
      </c>
      <c r="AC12" s="13">
        <f>SUBTOTAL(103,Agustus[27])</f>
        <v>0</v>
      </c>
      <c r="AD12" s="13">
        <f>SUBTOTAL(103,Agustus[28])</f>
        <v>0</v>
      </c>
      <c r="AE12" s="13">
        <f>SUBTOTAL(103,Agustus[29])</f>
        <v>0</v>
      </c>
      <c r="AF12" s="13">
        <f>SUBTOTAL(103,Agustus[[30 ]])</f>
        <v>0</v>
      </c>
      <c r="AG12" s="13">
        <f>SUBTOTAL(103,Agustus[31])</f>
        <v>0</v>
      </c>
      <c r="AH12" s="13">
        <f>SUBTOTAL(109,Agustus[Total Hari])</f>
        <v>0</v>
      </c>
    </row>
  </sheetData>
  <mergeCells count="6">
    <mergeCell ref="C4:AG4"/>
    <mergeCell ref="D2:F2"/>
    <mergeCell ref="H2:J2"/>
    <mergeCell ref="L2:M2"/>
    <mergeCell ref="O2:Q2"/>
    <mergeCell ref="S2:U2"/>
  </mergeCells>
  <conditionalFormatting sqref="C7:AG11">
    <cfRule type="expression" priority="1" stopIfTrue="1">
      <formula>C7=""</formula>
    </cfRule>
  </conditionalFormatting>
  <conditionalFormatting sqref="C7:AG11">
    <cfRule type="expression" dxfId="369" priority="2" stopIfTrue="1">
      <formula>C7=KustomKunci2</formula>
    </cfRule>
    <cfRule type="expression" dxfId="368" priority="3" stopIfTrue="1">
      <formula>C7=Kustomkunci1</formula>
    </cfRule>
    <cfRule type="expression" dxfId="367" priority="4" stopIfTrue="1">
      <formula>C7=SakitKunci</formula>
    </cfRule>
    <cfRule type="expression" dxfId="366" priority="5" stopIfTrue="1">
      <formula>C7=PribadiKunci</formula>
    </cfRule>
    <cfRule type="expression" dxfId="365" priority="6" stopIfTrue="1">
      <formula>C7=LiburanKunci</formula>
    </cfRule>
  </conditionalFormatting>
  <conditionalFormatting sqref="AH7:AH11">
    <cfRule type="dataBar" priority="7">
      <dataBar>
        <cfvo type="min"/>
        <cfvo type="formula" val="DATEDIF(DATE(TahunKalender,2,1),DATE(TahunKalender,3,1),&quot;d&quot;)"/>
        <color theme="2" tint="-0.249977111117893"/>
      </dataBar>
      <extLst>
        <ext xmlns:x14="http://schemas.microsoft.com/office/spreadsheetml/2009/9/main" uri="{B025F937-C7B1-47D3-B67F-A62EFF666E3E}">
          <x14:id>{09900229-9536-43AB-AAE0-FC121BDECD61}</x14:id>
        </ext>
      </extLst>
    </cfRule>
  </conditionalFormatting>
  <dataValidations count="14">
    <dataValidation allowBlank="1" showInputMessage="1" showErrorMessage="1" prompt="Hari kerja dalam baris ini diperbarui secara otomatis sesuai bulan menurut tahun yang ada di AH4. Setiap hari dalam sebulan memiliki kolom untuk mencatat absensi dan tipe absensi karyawan" sqref="C5"/>
    <dataValidation allowBlank="1" showInputMessage="1" showErrorMessage="1" prompt="Otomatis memperbarui tahun berdasarkan tahun yang dimasukkan dalam lembar kerja Januari" sqref="AH4"/>
    <dataValidation allowBlank="1" showInputMessage="1" showErrorMessage="1" prompt="Otomatis menghitung total jumlah hari karyawan absen bulan ini di kolom ini" sqref="AH6"/>
    <dataValidation allowBlank="1" showInputMessage="1" showErrorMessage="1" prompt="Catat absensi bulan Agustus di lembar kerja ini" sqref="A1"/>
    <dataValidation errorStyle="warning" allowBlank="1" showInputMessage="1" showErrorMessage="1" error="Pilih nama dari daftar. Pilih BATAL, lalu tekan ALT+PANAH BAWAH kemudian ENTER untuk memilih nama" prompt="Masukkan nama karyawan dalam lembar kerja Nama Karyawan, lalu pilih salah satu nama dari daftar dalam kolom ini. Tekan ALT+PANAH BAWAH kemudian ENTER untuk memilih nama" sqref="B6"/>
    <dataValidation allowBlank="1" showInputMessage="1" showErrorMessage="1" prompt="Judul yang otomatis diperbarui berada dalam sel ini. Untuk mengubah judul, perbarui B1 pada lembar kerja Januari" sqref="B1"/>
    <dataValidation allowBlank="1" showInputMessage="1" showErrorMessage="1" prompt="Huruf &quot;L&quot; menunjukkan absensi karena liburan" sqref="C2"/>
    <dataValidation allowBlank="1" showInputMessage="1" showErrorMessage="1" prompt="Huruf &quot;P&quot; menunjukkan absensi karena alasan pribadi" sqref="G2"/>
    <dataValidation allowBlank="1" showInputMessage="1" showErrorMessage="1" prompt="Huruf &quot;S&quot; menunjukkan absensi karena sakit" sqref="K2"/>
    <dataValidation allowBlank="1" showInputMessage="1" showErrorMessage="1" prompt="Masukkan huruf dan sesuaikan label di sebelah kanan untuk menambahkan item simbol lain" sqref="N2 R2"/>
    <dataValidation allowBlank="1" showInputMessage="1" showErrorMessage="1" prompt="Masukkan label untuk mendeskripsikan simbol kustom di sebelah kiri" sqref="O2:Q2 S2:U2"/>
    <dataValidation allowBlank="1" showInputMessage="1" showErrorMessage="1" prompt="Baris ini menetapkan simbol yang digunakan dalam tabel: sel C2 adalah Liburan, G2 adalah Pribadi, &amp; K2 adalah Izin Sakit. Sel N2 &amp; R2 dapat disesuaikan" sqref="B2"/>
    <dataValidation allowBlank="1" showInputMessage="1" showErrorMessage="1" prompt="Nama bulan untuk jadwal absensi ini berada dalam sel ini. Total absensi untuk bulan ini berada dalam sel terakhir pada tabel. Pilih nama karyawan dalam tabel di kolom B" sqref="B4"/>
    <dataValidation allowBlank="1" showInputMessage="1" showErrorMessage="1" prompt="Hari dalam sebulan dalam baris ini dibuat secara otomatis. Masukkan absensi dan tipe absensi karyawan di setiap kolom untuk setiap hari dalam sebulan. Kosong artinya tidak ada absensi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900229-9536-43AB-AAE0-FC121BDECD61}">
            <x14:dataBar minLength="0" maxLength="100">
              <x14:cfvo type="autoMin"/>
              <x14:cfvo type="formula">
                <xm:f>DATEDIF(DATE(TahunKalender,2,1),DATE(TahunKalender,3,1),"d")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'Nama Karyawan'!$B$4:$B$8</xm:f>
          </x14:formula1>
          <xm:sqref>B7:B11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12"/>
  <sheetViews>
    <sheetView showGridLines="0" zoomScaleNormal="100" workbookViewId="0"/>
  </sheetViews>
  <sheetFormatPr defaultRowHeight="30" customHeight="1" x14ac:dyDescent="0.25"/>
  <cols>
    <col min="1" max="1" width="2.7109375" style="11" customWidth="1"/>
    <col min="2" max="2" width="25.7109375" style="11" customWidth="1"/>
    <col min="3" max="33" width="4.7109375" style="11" customWidth="1"/>
    <col min="34" max="34" width="17.28515625" style="11" customWidth="1"/>
    <col min="35" max="35" width="2.7109375" customWidth="1"/>
  </cols>
  <sheetData>
    <row r="1" spans="2:34" ht="50.1" customHeight="1" x14ac:dyDescent="0.25">
      <c r="B1" s="14" t="str">
        <f>Judul_Absensi_Karyawan</f>
        <v>Jadwal Absen E-POSTES Karyawan PT. PRATAMA INDONESIA</v>
      </c>
    </row>
    <row r="2" spans="2:34" ht="15" customHeight="1" x14ac:dyDescent="0.25">
      <c r="B2" s="19" t="s">
        <v>0</v>
      </c>
      <c r="C2" s="4" t="s">
        <v>8</v>
      </c>
      <c r="D2" s="25" t="s">
        <v>11</v>
      </c>
      <c r="E2" s="25"/>
      <c r="F2" s="25"/>
      <c r="G2" s="5" t="s">
        <v>14</v>
      </c>
      <c r="H2" s="25" t="s">
        <v>18</v>
      </c>
      <c r="I2" s="25"/>
      <c r="J2" s="25"/>
      <c r="K2" s="6" t="s">
        <v>16</v>
      </c>
      <c r="L2" s="25" t="s">
        <v>23</v>
      </c>
      <c r="M2" s="25"/>
      <c r="N2" s="7"/>
      <c r="O2" s="25" t="s">
        <v>27</v>
      </c>
      <c r="P2" s="25"/>
      <c r="Q2" s="25"/>
      <c r="R2" s="8"/>
      <c r="S2" s="25" t="s">
        <v>32</v>
      </c>
      <c r="T2" s="25"/>
      <c r="U2" s="25"/>
    </row>
    <row r="3" spans="2:34" ht="15" customHeight="1" x14ac:dyDescent="0.25">
      <c r="B3" s="14"/>
    </row>
    <row r="4" spans="2:34" ht="30" customHeight="1" x14ac:dyDescent="0.25">
      <c r="B4" s="12" t="s">
        <v>59</v>
      </c>
      <c r="C4" s="24" t="s">
        <v>9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12">
        <f>TahunKalender</f>
        <v>2022</v>
      </c>
    </row>
    <row r="5" spans="2:34" ht="15" customHeight="1" x14ac:dyDescent="0.25">
      <c r="B5" s="12"/>
      <c r="C5" s="2" t="str">
        <f>TEXT(WEEKDAY(DATE(TahunKalender,9,1),1),"aaa")</f>
        <v>Thu</v>
      </c>
      <c r="D5" s="2" t="str">
        <f>TEXT(WEEKDAY(DATE(TahunKalender,9,2),1),"aaa")</f>
        <v>Fri</v>
      </c>
      <c r="E5" s="2" t="str">
        <f>TEXT(WEEKDAY(DATE(TahunKalender,9,3),1),"aaa")</f>
        <v>Sat</v>
      </c>
      <c r="F5" s="2" t="str">
        <f>TEXT(WEEKDAY(DATE(TahunKalender,9,4),1),"aaa")</f>
        <v>Sun</v>
      </c>
      <c r="G5" s="2" t="str">
        <f>TEXT(WEEKDAY(DATE(TahunKalender,9,5),1),"aaa")</f>
        <v>Mon</v>
      </c>
      <c r="H5" s="2" t="str">
        <f>TEXT(WEEKDAY(DATE(TahunKalender,9,6),1),"aaa")</f>
        <v>Tue</v>
      </c>
      <c r="I5" s="2" t="str">
        <f>TEXT(WEEKDAY(DATE(TahunKalender,9,7),1),"aaa")</f>
        <v>Wed</v>
      </c>
      <c r="J5" s="2" t="str">
        <f>TEXT(WEEKDAY(DATE(TahunKalender,9,8),1),"aaa")</f>
        <v>Thu</v>
      </c>
      <c r="K5" s="2" t="str">
        <f>TEXT(WEEKDAY(DATE(TahunKalender,9,9),1),"aaa")</f>
        <v>Fri</v>
      </c>
      <c r="L5" s="2" t="str">
        <f>TEXT(WEEKDAY(DATE(TahunKalender,9,10),1),"aaa")</f>
        <v>Sat</v>
      </c>
      <c r="M5" s="2" t="str">
        <f>TEXT(WEEKDAY(DATE(TahunKalender,9,11),1),"aaa")</f>
        <v>Sun</v>
      </c>
      <c r="N5" s="2" t="str">
        <f>TEXT(WEEKDAY(DATE(TahunKalender,9,12),1),"aaa")</f>
        <v>Mon</v>
      </c>
      <c r="O5" s="2" t="str">
        <f>TEXT(WEEKDAY(DATE(TahunKalender,9,13),1),"aaa")</f>
        <v>Tue</v>
      </c>
      <c r="P5" s="2" t="str">
        <f>TEXT(WEEKDAY(DATE(TahunKalender,9,14),1),"aaa")</f>
        <v>Wed</v>
      </c>
      <c r="Q5" s="2" t="str">
        <f>TEXT(WEEKDAY(DATE(TahunKalender,9,15),1),"aaa")</f>
        <v>Thu</v>
      </c>
      <c r="R5" s="2" t="str">
        <f>TEXT(WEEKDAY(DATE(TahunKalender,9,16),1),"aaa")</f>
        <v>Fri</v>
      </c>
      <c r="S5" s="2" t="str">
        <f>TEXT(WEEKDAY(DATE(TahunKalender,9,17),1),"aaa")</f>
        <v>Sat</v>
      </c>
      <c r="T5" s="2" t="str">
        <f>TEXT(WEEKDAY(DATE(TahunKalender,9,18),1),"aaa")</f>
        <v>Sun</v>
      </c>
      <c r="U5" s="2" t="str">
        <f>TEXT(WEEKDAY(DATE(TahunKalender,9,19),1),"aaa")</f>
        <v>Mon</v>
      </c>
      <c r="V5" s="2" t="str">
        <f>TEXT(WEEKDAY(DATE(TahunKalender,9,20),1),"aaa")</f>
        <v>Tue</v>
      </c>
      <c r="W5" s="2" t="str">
        <f>TEXT(WEEKDAY(DATE(TahunKalender,9,21),1),"aaa")</f>
        <v>Wed</v>
      </c>
      <c r="X5" s="2" t="str">
        <f>TEXT(WEEKDAY(DATE(TahunKalender,9,22),1),"aaa")</f>
        <v>Thu</v>
      </c>
      <c r="Y5" s="2" t="str">
        <f>TEXT(WEEKDAY(DATE(TahunKalender,9,23),1),"aaa")</f>
        <v>Fri</v>
      </c>
      <c r="Z5" s="2" t="str">
        <f>TEXT(WEEKDAY(DATE(TahunKalender,9,24),1),"aaa")</f>
        <v>Sat</v>
      </c>
      <c r="AA5" s="2" t="str">
        <f>TEXT(WEEKDAY(DATE(TahunKalender,9,25),1),"aaa")</f>
        <v>Sun</v>
      </c>
      <c r="AB5" s="2" t="str">
        <f>TEXT(WEEKDAY(DATE(TahunKalender,9,26),1),"aaa")</f>
        <v>Mon</v>
      </c>
      <c r="AC5" s="2" t="str">
        <f>TEXT(WEEKDAY(DATE(TahunKalender,9,27),1),"aaa")</f>
        <v>Tue</v>
      </c>
      <c r="AD5" s="2" t="str">
        <f>TEXT(WEEKDAY(DATE(TahunKalender,9,28),1),"aaa")</f>
        <v>Wed</v>
      </c>
      <c r="AE5" s="2" t="str">
        <f>TEXT(WEEKDAY(DATE(TahunKalender,9,29),1),"aaa")</f>
        <v>Thu</v>
      </c>
      <c r="AF5" s="2" t="str">
        <f>TEXT(WEEKDAY(DATE(TahunKalender,9,30),1),"aaa")</f>
        <v>Fri</v>
      </c>
      <c r="AG5" s="2"/>
      <c r="AH5" s="12"/>
    </row>
    <row r="6" spans="2:34" ht="15" customHeight="1" x14ac:dyDescent="0.25">
      <c r="B6" s="15" t="s">
        <v>2</v>
      </c>
      <c r="C6" s="3" t="s">
        <v>10</v>
      </c>
      <c r="D6" s="3" t="s">
        <v>12</v>
      </c>
      <c r="E6" s="3" t="s">
        <v>13</v>
      </c>
      <c r="F6" s="3" t="s">
        <v>15</v>
      </c>
      <c r="G6" s="3" t="s">
        <v>17</v>
      </c>
      <c r="H6" s="3" t="s">
        <v>19</v>
      </c>
      <c r="I6" s="3" t="s">
        <v>20</v>
      </c>
      <c r="J6" s="3" t="s">
        <v>21</v>
      </c>
      <c r="K6" s="3" t="s">
        <v>22</v>
      </c>
      <c r="L6" s="3" t="s">
        <v>24</v>
      </c>
      <c r="M6" s="3" t="s">
        <v>25</v>
      </c>
      <c r="N6" s="3" t="s">
        <v>26</v>
      </c>
      <c r="O6" s="3" t="s">
        <v>28</v>
      </c>
      <c r="P6" s="3" t="s">
        <v>29</v>
      </c>
      <c r="Q6" s="3" t="s">
        <v>30</v>
      </c>
      <c r="R6" s="3" t="s">
        <v>31</v>
      </c>
      <c r="S6" s="3" t="s">
        <v>33</v>
      </c>
      <c r="T6" s="3" t="s">
        <v>34</v>
      </c>
      <c r="U6" s="3" t="s">
        <v>35</v>
      </c>
      <c r="V6" s="3" t="s">
        <v>36</v>
      </c>
      <c r="W6" s="3" t="s">
        <v>37</v>
      </c>
      <c r="X6" s="3" t="s">
        <v>38</v>
      </c>
      <c r="Y6" s="3" t="s">
        <v>39</v>
      </c>
      <c r="Z6" s="3" t="s">
        <v>40</v>
      </c>
      <c r="AA6" s="3" t="s">
        <v>41</v>
      </c>
      <c r="AB6" s="3" t="s">
        <v>42</v>
      </c>
      <c r="AC6" s="3" t="s">
        <v>43</v>
      </c>
      <c r="AD6" s="3" t="s">
        <v>44</v>
      </c>
      <c r="AE6" s="3" t="s">
        <v>45</v>
      </c>
      <c r="AF6" s="3" t="s">
        <v>46</v>
      </c>
      <c r="AG6" s="3" t="s">
        <v>51</v>
      </c>
      <c r="AH6" s="16" t="s">
        <v>49</v>
      </c>
    </row>
    <row r="7" spans="2:34" ht="30" customHeight="1" x14ac:dyDescent="0.25">
      <c r="B7" s="17" t="s">
        <v>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10">
        <f>COUNTA(September[[#This Row],[1]:[30 ]])</f>
        <v>0</v>
      </c>
    </row>
    <row r="8" spans="2:34" ht="30" customHeight="1" x14ac:dyDescent="0.25">
      <c r="B8" s="17" t="s">
        <v>4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10">
        <f>COUNTA(September[[#This Row],[1]:[30 ]])</f>
        <v>0</v>
      </c>
    </row>
    <row r="9" spans="2:34" ht="30" customHeight="1" x14ac:dyDescent="0.25">
      <c r="B9" s="17" t="s">
        <v>5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10">
        <f>COUNTA(September[[#This Row],[1]:[30 ]])</f>
        <v>0</v>
      </c>
    </row>
    <row r="10" spans="2:34" ht="30" customHeight="1" x14ac:dyDescent="0.25">
      <c r="B10" s="17" t="s">
        <v>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10">
        <f>COUNTA(September[[#This Row],[1]:[30 ]])</f>
        <v>0</v>
      </c>
    </row>
    <row r="11" spans="2:34" ht="30" customHeight="1" x14ac:dyDescent="0.25">
      <c r="B11" s="17" t="s">
        <v>7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10">
        <f>COUNTA(September[[#This Row],[1]:[30 ]])</f>
        <v>0</v>
      </c>
    </row>
    <row r="12" spans="2:34" ht="30" customHeight="1" x14ac:dyDescent="0.25">
      <c r="B12" s="21" t="str">
        <f>"Total "&amp;NamaBulan</f>
        <v>Total September</v>
      </c>
      <c r="C12" s="13">
        <f>SUBTOTAL(103,September[1])</f>
        <v>0</v>
      </c>
      <c r="D12" s="13">
        <f>SUBTOTAL(103,September[2])</f>
        <v>0</v>
      </c>
      <c r="E12" s="13">
        <f>SUBTOTAL(103,September[3])</f>
        <v>0</v>
      </c>
      <c r="F12" s="13">
        <f>SUBTOTAL(103,September[4])</f>
        <v>0</v>
      </c>
      <c r="G12" s="13">
        <f>SUBTOTAL(103,September[5])</f>
        <v>0</v>
      </c>
      <c r="H12" s="13">
        <f>SUBTOTAL(103,September[6])</f>
        <v>0</v>
      </c>
      <c r="I12" s="13">
        <f>SUBTOTAL(103,September[7])</f>
        <v>0</v>
      </c>
      <c r="J12" s="13">
        <f>SUBTOTAL(103,September[8])</f>
        <v>0</v>
      </c>
      <c r="K12" s="13">
        <f>SUBTOTAL(103,September[9])</f>
        <v>0</v>
      </c>
      <c r="L12" s="13">
        <f>SUBTOTAL(103,September[10])</f>
        <v>0</v>
      </c>
      <c r="M12" s="13">
        <f>SUBTOTAL(103,September[11])</f>
        <v>0</v>
      </c>
      <c r="N12" s="13">
        <f>SUBTOTAL(103,September[12])</f>
        <v>0</v>
      </c>
      <c r="O12" s="13">
        <f>SUBTOTAL(103,September[13])</f>
        <v>0</v>
      </c>
      <c r="P12" s="13">
        <f>SUBTOTAL(103,September[14])</f>
        <v>0</v>
      </c>
      <c r="Q12" s="13">
        <f>SUBTOTAL(103,September[15])</f>
        <v>0</v>
      </c>
      <c r="R12" s="13">
        <f>SUBTOTAL(103,September[16])</f>
        <v>0</v>
      </c>
      <c r="S12" s="13">
        <f>SUBTOTAL(103,September[17])</f>
        <v>0</v>
      </c>
      <c r="T12" s="13">
        <f>SUBTOTAL(103,September[18])</f>
        <v>0</v>
      </c>
      <c r="U12" s="13">
        <f>SUBTOTAL(103,September[19])</f>
        <v>0</v>
      </c>
      <c r="V12" s="13">
        <f>SUBTOTAL(103,September[20])</f>
        <v>0</v>
      </c>
      <c r="W12" s="13">
        <f>SUBTOTAL(103,September[21])</f>
        <v>0</v>
      </c>
      <c r="X12" s="13">
        <f>SUBTOTAL(103,September[22])</f>
        <v>0</v>
      </c>
      <c r="Y12" s="13">
        <f>SUBTOTAL(103,September[23])</f>
        <v>0</v>
      </c>
      <c r="Z12" s="13">
        <f>SUBTOTAL(103,September[24])</f>
        <v>0</v>
      </c>
      <c r="AA12" s="13">
        <f>SUBTOTAL(103,September[25])</f>
        <v>0</v>
      </c>
      <c r="AB12" s="13">
        <f>SUBTOTAL(103,September[26])</f>
        <v>0</v>
      </c>
      <c r="AC12" s="13">
        <f>SUBTOTAL(103,September[27])</f>
        <v>0</v>
      </c>
      <c r="AD12" s="13">
        <f>SUBTOTAL(103,September[28])</f>
        <v>0</v>
      </c>
      <c r="AE12" s="13">
        <f>SUBTOTAL(103,September[29])</f>
        <v>0</v>
      </c>
      <c r="AF12" s="13">
        <f>SUBTOTAL(103,September[[30 ]])</f>
        <v>0</v>
      </c>
      <c r="AG12" s="13">
        <f>SUBTOTAL(103,September[[ ]])</f>
        <v>0</v>
      </c>
      <c r="AH12" s="13">
        <f>SUBTOTAL(109,September[Total Hari])</f>
        <v>0</v>
      </c>
    </row>
  </sheetData>
  <mergeCells count="6">
    <mergeCell ref="C4:AG4"/>
    <mergeCell ref="D2:F2"/>
    <mergeCell ref="H2:J2"/>
    <mergeCell ref="L2:M2"/>
    <mergeCell ref="O2:Q2"/>
    <mergeCell ref="S2:U2"/>
  </mergeCells>
  <conditionalFormatting sqref="C7:AG11">
    <cfRule type="expression" priority="1" stopIfTrue="1">
      <formula>C7=""</formula>
    </cfRule>
  </conditionalFormatting>
  <conditionalFormatting sqref="C7:AG11">
    <cfRule type="expression" dxfId="295" priority="2" stopIfTrue="1">
      <formula>C7=KustomKunci2</formula>
    </cfRule>
    <cfRule type="expression" dxfId="294" priority="3" stopIfTrue="1">
      <formula>C7=Kustomkunci1</formula>
    </cfRule>
    <cfRule type="expression" dxfId="293" priority="4" stopIfTrue="1">
      <formula>C7=SakitKunci</formula>
    </cfRule>
    <cfRule type="expression" dxfId="292" priority="5" stopIfTrue="1">
      <formula>C7=PribadiKunci</formula>
    </cfRule>
    <cfRule type="expression" dxfId="291" priority="6" stopIfTrue="1">
      <formula>C7=LiburanKunci</formula>
    </cfRule>
  </conditionalFormatting>
  <conditionalFormatting sqref="AH7:AH11">
    <cfRule type="dataBar" priority="7">
      <dataBar>
        <cfvo type="min"/>
        <cfvo type="formula" val="DATEDIF(DATE(TahunKalender,2,1),DATE(TahunKalender,3,1),&quot;d&quot;)"/>
        <color theme="2" tint="-0.249977111117893"/>
      </dataBar>
      <extLst>
        <ext xmlns:x14="http://schemas.microsoft.com/office/spreadsheetml/2009/9/main" uri="{B025F937-C7B1-47D3-B67F-A62EFF666E3E}">
          <x14:id>{1A021984-06A1-41D9-90D2-8C16E885020B}</x14:id>
        </ext>
      </extLst>
    </cfRule>
  </conditionalFormatting>
  <dataValidations count="14">
    <dataValidation allowBlank="1" showInputMessage="1" showErrorMessage="1" prompt="Hari dalam sebulan dalam baris ini dibuat secara otomatis. Masukkan absensi dan tipe absensi karyawan di setiap kolom untuk setiap hari dalam sebulan. Kosong artinya tidak ada absensi" sqref="C6"/>
    <dataValidation allowBlank="1" showInputMessage="1" showErrorMessage="1" prompt="Nama bulan untuk jadwal absensi ini berada dalam sel ini. Total absensi untuk bulan ini berada dalam sel terakhir pada tabel. Pilih nama karyawan dalam tabel di kolom B" sqref="B4"/>
    <dataValidation allowBlank="1" showInputMessage="1" showErrorMessage="1" prompt="Baris ini menetapkan simbol yang digunakan dalam tabel: sel C2 adalah Liburan, G2 adalah Pribadi, &amp; K2 adalah Izin Sakit. Sel N2 &amp; R2 dapat disesuaikan" sqref="B2"/>
    <dataValidation allowBlank="1" showInputMessage="1" showErrorMessage="1" prompt="Masukkan label untuk mendeskripsikan simbol kustom di sebelah kiri" sqref="O2:Q2 S2:U2"/>
    <dataValidation allowBlank="1" showInputMessage="1" showErrorMessage="1" prompt="Masukkan huruf dan sesuaikan label di sebelah kanan untuk menambahkan item simbol lain" sqref="N2 R2"/>
    <dataValidation allowBlank="1" showInputMessage="1" showErrorMessage="1" prompt="Huruf &quot;S&quot; menunjukkan absensi karena sakit" sqref="K2"/>
    <dataValidation allowBlank="1" showInputMessage="1" showErrorMessage="1" prompt="Huruf &quot;P&quot; menunjukkan absensi karena alasan pribadi" sqref="G2"/>
    <dataValidation allowBlank="1" showInputMessage="1" showErrorMessage="1" prompt="Huruf &quot;L&quot; menunjukkan absensi karena liburan" sqref="C2"/>
    <dataValidation allowBlank="1" showInputMessage="1" showErrorMessage="1" prompt="Judul yang otomatis diperbarui berada dalam sel ini. Untuk mengubah judul, perbarui B1 pada lembar kerja Januari" sqref="B1"/>
    <dataValidation errorStyle="warning" allowBlank="1" showInputMessage="1" showErrorMessage="1" error="Pilih nama dari daftar. Pilih BATAL, lalu tekan ALT+PANAH BAWAH kemudian ENTER untuk memilih nama" prompt="Masukkan nama karyawan dalam lembar kerja Nama Karyawan, lalu pilih salah satu nama dari daftar dalam kolom ini. Tekan ALT+PANAH BAWAH kemudian ENTER untuk memilih nama" sqref="B6"/>
    <dataValidation allowBlank="1" showInputMessage="1" showErrorMessage="1" prompt="Catat absensi bulan September di lembar kerja ini" sqref="A1"/>
    <dataValidation allowBlank="1" showInputMessage="1" showErrorMessage="1" prompt="Otomatis menghitung total jumlah hari karyawan absen bulan ini di kolom ini" sqref="AH6"/>
    <dataValidation allowBlank="1" showInputMessage="1" showErrorMessage="1" prompt="Otomatis memperbarui tahun berdasarkan tahun yang dimasukkan dalam lembar kerja Januari" sqref="AH4"/>
    <dataValidation allowBlank="1" showInputMessage="1" showErrorMessage="1" prompt="Hari kerja dalam baris ini diperbarui secara otomatis sesuai bulan menurut tahun yang ada di AH4. Setiap hari dalam sebulan memiliki kolom untuk mencatat absensi dan tipe absensi karyawan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021984-06A1-41D9-90D2-8C16E885020B}">
            <x14:dataBar minLength="0" maxLength="100">
              <x14:cfvo type="autoMin"/>
              <x14:cfvo type="formula">
                <xm:f>DATEDIF(DATE(TahunKalender,2,1),DATE(TahunKalender,3,1),"d")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'Nama Karyawan'!$B$4:$B$8</xm:f>
          </x14:formula1>
          <xm:sqref>B7:B11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50</vt:i4>
      </vt:variant>
    </vt:vector>
  </HeadingPairs>
  <TitlesOfParts>
    <vt:vector size="63" baseType="lpstr">
      <vt:lpstr>Januari</vt:lpstr>
      <vt:lpstr>Februari</vt:lpstr>
      <vt:lpstr>Maret</vt:lpstr>
      <vt:lpstr>April</vt:lpstr>
      <vt:lpstr>Mei</vt:lpstr>
      <vt:lpstr>Juni</vt:lpstr>
      <vt:lpstr>Juli</vt:lpstr>
      <vt:lpstr>Agustus</vt:lpstr>
      <vt:lpstr>September</vt:lpstr>
      <vt:lpstr>Oktober</vt:lpstr>
      <vt:lpstr>November</vt:lpstr>
      <vt:lpstr>Desember</vt:lpstr>
      <vt:lpstr>Nama Karyawan</vt:lpstr>
      <vt:lpstr>Judul_Absensi_Karyawan</vt:lpstr>
      <vt:lpstr>Judul1</vt:lpstr>
      <vt:lpstr>Judul10</vt:lpstr>
      <vt:lpstr>Judul11</vt:lpstr>
      <vt:lpstr>Judul12</vt:lpstr>
      <vt:lpstr>Judul2</vt:lpstr>
      <vt:lpstr>Judul3</vt:lpstr>
      <vt:lpstr>Judul4</vt:lpstr>
      <vt:lpstr>Judul5</vt:lpstr>
      <vt:lpstr>Judul6</vt:lpstr>
      <vt:lpstr>Judul7</vt:lpstr>
      <vt:lpstr>Judul8</vt:lpstr>
      <vt:lpstr>Judul9</vt:lpstr>
      <vt:lpstr>JudulKolom13</vt:lpstr>
      <vt:lpstr>Kustomkunci1</vt:lpstr>
      <vt:lpstr>KustomKunci2</vt:lpstr>
      <vt:lpstr>LabelKustomKunci1</vt:lpstr>
      <vt:lpstr>LabelKustomKunci2</vt:lpstr>
      <vt:lpstr>LabelLiburanKunci</vt:lpstr>
      <vt:lpstr>LabelPribadiKunci</vt:lpstr>
      <vt:lpstr>LabelSakitKunci</vt:lpstr>
      <vt:lpstr>LiburanKunci</vt:lpstr>
      <vt:lpstr>Nama_kunci</vt:lpstr>
      <vt:lpstr>Agustus!NamaBulan</vt:lpstr>
      <vt:lpstr>April!NamaBulan</vt:lpstr>
      <vt:lpstr>Desember!NamaBulan</vt:lpstr>
      <vt:lpstr>Februari!NamaBulan</vt:lpstr>
      <vt:lpstr>Januari!NamaBulan</vt:lpstr>
      <vt:lpstr>Juli!NamaBulan</vt:lpstr>
      <vt:lpstr>Juni!NamaBulan</vt:lpstr>
      <vt:lpstr>Maret!NamaBulan</vt:lpstr>
      <vt:lpstr>Mei!NamaBulan</vt:lpstr>
      <vt:lpstr>November!NamaBulan</vt:lpstr>
      <vt:lpstr>Oktober!NamaBulan</vt:lpstr>
      <vt:lpstr>September!NamaBulan</vt:lpstr>
      <vt:lpstr>PribadiKunci</vt:lpstr>
      <vt:lpstr>Agustus!Print_Titles</vt:lpstr>
      <vt:lpstr>April!Print_Titles</vt:lpstr>
      <vt:lpstr>Desember!Print_Titles</vt:lpstr>
      <vt:lpstr>Februari!Print_Titles</vt:lpstr>
      <vt:lpstr>Januari!Print_Titles</vt:lpstr>
      <vt:lpstr>Juli!Print_Titles</vt:lpstr>
      <vt:lpstr>Juni!Print_Titles</vt:lpstr>
      <vt:lpstr>Maret!Print_Titles</vt:lpstr>
      <vt:lpstr>Mei!Print_Titles</vt:lpstr>
      <vt:lpstr>November!Print_Titles</vt:lpstr>
      <vt:lpstr>Oktober!Print_Titles</vt:lpstr>
      <vt:lpstr>September!Print_Titles</vt:lpstr>
      <vt:lpstr>SakitKunci</vt:lpstr>
      <vt:lpstr>TahunKalender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TonTin</dc:creator>
  <cp:lastModifiedBy>TonTin</cp:lastModifiedBy>
  <dcterms:created xsi:type="dcterms:W3CDTF">2016-12-06T04:52:27Z</dcterms:created>
  <dcterms:modified xsi:type="dcterms:W3CDTF">2022-06-16T01:39:51Z</dcterms:modified>
</cp:coreProperties>
</file>