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aoliangHe\Desktop\何祥云\工资\"/>
    </mc:Choice>
  </mc:AlternateContent>
  <bookViews>
    <workbookView xWindow="0" yWindow="0" windowWidth="28800" windowHeight="12720" activeTab="1"/>
  </bookViews>
  <sheets>
    <sheet name="月工资统计-滁州" sheetId="3" r:id="rId1"/>
    <sheet name="月工资统计-南京" sheetId="5" r:id="rId2"/>
    <sheet name="实验室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5" l="1"/>
  <c r="G81" i="5" s="1"/>
  <c r="K81" i="5" s="1"/>
  <c r="D80" i="5"/>
  <c r="G80" i="5" s="1"/>
  <c r="K80" i="5" s="1"/>
  <c r="D79" i="5"/>
  <c r="G79" i="5" s="1"/>
  <c r="K79" i="5" s="1"/>
  <c r="G78" i="5"/>
  <c r="K78" i="5" s="1"/>
  <c r="D78" i="5"/>
  <c r="G77" i="5"/>
  <c r="K77" i="5" s="1"/>
  <c r="K76" i="5"/>
  <c r="G76" i="5"/>
  <c r="D75" i="5"/>
  <c r="G75" i="5" s="1"/>
  <c r="K75" i="5" s="1"/>
  <c r="G74" i="5"/>
  <c r="K74" i="5" s="1"/>
  <c r="G73" i="5"/>
  <c r="K73" i="5" s="1"/>
  <c r="G72" i="5"/>
  <c r="K72" i="5" s="1"/>
  <c r="G71" i="5"/>
  <c r="K71" i="5" s="1"/>
  <c r="F70" i="5"/>
  <c r="G70" i="5" s="1"/>
  <c r="K70" i="5" s="1"/>
  <c r="F69" i="5"/>
  <c r="E69" i="5"/>
  <c r="D69" i="5"/>
  <c r="G69" i="5" s="1"/>
  <c r="K69" i="5" s="1"/>
  <c r="G68" i="5"/>
  <c r="K68" i="5" s="1"/>
  <c r="G67" i="5"/>
  <c r="K67" i="5" s="1"/>
  <c r="G66" i="5"/>
  <c r="K66" i="5" s="1"/>
  <c r="G65" i="5"/>
  <c r="K65" i="5" s="1"/>
  <c r="H64" i="3" l="1"/>
  <c r="I64" i="3" s="1"/>
  <c r="M64" i="3" s="1"/>
  <c r="H63" i="3"/>
  <c r="R64" i="3" l="1"/>
  <c r="T64" i="3" s="1"/>
  <c r="Q64" i="3"/>
  <c r="K64" i="5"/>
  <c r="D61" i="3" l="1"/>
  <c r="I61" i="3" s="1"/>
  <c r="F52" i="5" l="1"/>
  <c r="F51" i="5"/>
  <c r="N64" i="5"/>
  <c r="M64" i="5"/>
  <c r="G55" i="5"/>
  <c r="E51" i="5"/>
  <c r="D51" i="5"/>
  <c r="G51" i="5" l="1"/>
  <c r="K63" i="3" l="1"/>
  <c r="K60" i="3"/>
  <c r="K59" i="5"/>
  <c r="K60" i="5"/>
  <c r="K61" i="5"/>
  <c r="K62" i="5"/>
  <c r="K63" i="5"/>
  <c r="G59" i="5"/>
  <c r="G60" i="5"/>
  <c r="G61" i="5"/>
  <c r="G62" i="5"/>
  <c r="G63" i="5"/>
  <c r="D63" i="5"/>
  <c r="D61" i="5"/>
  <c r="D62" i="5"/>
  <c r="D60" i="5"/>
  <c r="D57" i="5"/>
  <c r="G57" i="5"/>
  <c r="K57" i="5" s="1"/>
  <c r="G58" i="5"/>
  <c r="K58" i="5" s="1"/>
  <c r="G56" i="5"/>
  <c r="K56" i="5" s="1"/>
  <c r="K55" i="5"/>
  <c r="G54" i="5"/>
  <c r="K54" i="5" s="1"/>
  <c r="G53" i="5"/>
  <c r="K53" i="5" s="1"/>
  <c r="G52" i="5"/>
  <c r="K52" i="5" s="1"/>
  <c r="K51" i="5"/>
  <c r="G50" i="5"/>
  <c r="K50" i="5" s="1"/>
  <c r="G49" i="5"/>
  <c r="K49" i="5" s="1"/>
  <c r="G48" i="5"/>
  <c r="K48" i="5" s="1"/>
  <c r="G47" i="5"/>
  <c r="D37" i="5"/>
  <c r="D39" i="5"/>
  <c r="G39" i="5" s="1"/>
  <c r="K39" i="5" s="1"/>
  <c r="E39" i="5"/>
  <c r="D42" i="5"/>
  <c r="D43" i="5"/>
  <c r="D44" i="5"/>
  <c r="D45" i="5"/>
  <c r="F38" i="5"/>
  <c r="I63" i="3"/>
  <c r="M63" i="3" l="1"/>
  <c r="R63" i="3" s="1"/>
  <c r="T63" i="3" s="1"/>
  <c r="K47" i="5"/>
  <c r="G64" i="5"/>
  <c r="O64" i="5" s="1"/>
  <c r="I62" i="3"/>
  <c r="M62" i="3" s="1"/>
  <c r="M61" i="3"/>
  <c r="M60" i="3"/>
  <c r="I59" i="3"/>
  <c r="M59" i="3" s="1"/>
  <c r="I58" i="3"/>
  <c r="M58" i="3" s="1"/>
  <c r="Q58" i="3" s="1"/>
  <c r="Q63" i="3" l="1"/>
  <c r="R61" i="3"/>
  <c r="T61" i="3" s="1"/>
  <c r="Q61" i="3"/>
  <c r="R58" i="3"/>
  <c r="T58" i="3" s="1"/>
  <c r="R59" i="3"/>
  <c r="T59" i="3" s="1"/>
  <c r="Q59" i="3"/>
  <c r="R60" i="3"/>
  <c r="T60" i="3" s="1"/>
  <c r="Q60" i="3"/>
  <c r="R62" i="3"/>
  <c r="T62" i="3" s="1"/>
  <c r="Q62" i="3"/>
  <c r="H56" i="3" l="1"/>
  <c r="H50" i="3" l="1"/>
  <c r="I50" i="3" s="1"/>
  <c r="M50" i="3" s="1"/>
  <c r="I52" i="3"/>
  <c r="M52" i="3" s="1"/>
  <c r="H51" i="3"/>
  <c r="I51" i="3"/>
  <c r="M51" i="3" s="1"/>
  <c r="R51" i="3" s="1"/>
  <c r="T51" i="3" s="1"/>
  <c r="I56" i="3"/>
  <c r="M56" i="3" s="1"/>
  <c r="I55" i="3"/>
  <c r="M55" i="3" s="1"/>
  <c r="I54" i="3"/>
  <c r="M54" i="3" s="1"/>
  <c r="I53" i="3"/>
  <c r="M53" i="3" s="1"/>
  <c r="I49" i="3"/>
  <c r="M49" i="3" s="1"/>
  <c r="R49" i="3" s="1"/>
  <c r="G33" i="5"/>
  <c r="K33" i="5" s="1"/>
  <c r="G34" i="5"/>
  <c r="K34" i="5" s="1"/>
  <c r="G35" i="5"/>
  <c r="G36" i="5"/>
  <c r="K36" i="5" s="1"/>
  <c r="G37" i="5"/>
  <c r="K37" i="5" s="1"/>
  <c r="G38" i="5"/>
  <c r="K38" i="5" s="1"/>
  <c r="G40" i="5"/>
  <c r="K40" i="5" s="1"/>
  <c r="G41" i="5"/>
  <c r="K41" i="5" s="1"/>
  <c r="G42" i="5"/>
  <c r="K42" i="5" s="1"/>
  <c r="G43" i="5"/>
  <c r="K43" i="5" s="1"/>
  <c r="G44" i="5"/>
  <c r="G45" i="5"/>
  <c r="K45" i="5" s="1"/>
  <c r="D31" i="5"/>
  <c r="K44" i="5" l="1"/>
  <c r="K35" i="5"/>
  <c r="R50" i="3"/>
  <c r="T50" i="3" s="1"/>
  <c r="Q50" i="3"/>
  <c r="R53" i="3"/>
  <c r="T53" i="3" s="1"/>
  <c r="Q53" i="3"/>
  <c r="R56" i="3"/>
  <c r="T56" i="3" s="1"/>
  <c r="Q56" i="3"/>
  <c r="Q54" i="3"/>
  <c r="R54" i="3"/>
  <c r="T54" i="3" s="1"/>
  <c r="T49" i="3"/>
  <c r="Q49" i="3"/>
  <c r="Q52" i="3"/>
  <c r="R52" i="3"/>
  <c r="T52" i="3" s="1"/>
  <c r="Q55" i="3"/>
  <c r="R55" i="3"/>
  <c r="T55" i="3" s="1"/>
  <c r="Q51" i="3"/>
  <c r="Q57" i="3" l="1"/>
  <c r="T57" i="3"/>
  <c r="G31" i="5"/>
  <c r="K31" i="5" s="1"/>
  <c r="D30" i="5"/>
  <c r="G30" i="5" s="1"/>
  <c r="K30" i="5" s="1"/>
  <c r="I3" i="6" l="1"/>
  <c r="H41" i="3" l="1"/>
  <c r="F4" i="6"/>
  <c r="I4" i="6" s="1"/>
  <c r="M4" i="6" s="1"/>
  <c r="F3" i="6"/>
  <c r="M3" i="6" s="1"/>
  <c r="D25" i="5"/>
  <c r="I40" i="3" l="1"/>
  <c r="M40" i="3" s="1"/>
  <c r="R40" i="3" s="1"/>
  <c r="T40" i="3" s="1"/>
  <c r="I41" i="3"/>
  <c r="M41" i="3" s="1"/>
  <c r="I42" i="3"/>
  <c r="M42" i="3" s="1"/>
  <c r="I43" i="3"/>
  <c r="M43" i="3" s="1"/>
  <c r="I44" i="3"/>
  <c r="M44" i="3" s="1"/>
  <c r="I45" i="3"/>
  <c r="M45" i="3" s="1"/>
  <c r="I46" i="3"/>
  <c r="M46" i="3" s="1"/>
  <c r="H47" i="3"/>
  <c r="I47" i="3" s="1"/>
  <c r="M47" i="3" s="1"/>
  <c r="G23" i="5"/>
  <c r="K23" i="5" s="1"/>
  <c r="G24" i="5"/>
  <c r="K24" i="5" s="1"/>
  <c r="G26" i="5"/>
  <c r="K26" i="5" s="1"/>
  <c r="G27" i="5"/>
  <c r="K27" i="5" s="1"/>
  <c r="G28" i="5"/>
  <c r="K28" i="5" s="1"/>
  <c r="G29" i="5"/>
  <c r="K29" i="5" s="1"/>
  <c r="G25" i="5"/>
  <c r="K25" i="5" s="1"/>
  <c r="Q47" i="3" l="1"/>
  <c r="R47" i="3"/>
  <c r="T47" i="3" s="1"/>
  <c r="R44" i="3"/>
  <c r="T44" i="3" s="1"/>
  <c r="Q44" i="3"/>
  <c r="R42" i="3"/>
  <c r="T42" i="3" s="1"/>
  <c r="Q42" i="3"/>
  <c r="Q45" i="3"/>
  <c r="R45" i="3"/>
  <c r="T45" i="3" s="1"/>
  <c r="Q43" i="3"/>
  <c r="R43" i="3"/>
  <c r="T43" i="3" s="1"/>
  <c r="Q46" i="3"/>
  <c r="R46" i="3"/>
  <c r="T46" i="3" s="1"/>
  <c r="Q40" i="3"/>
  <c r="Q41" i="3"/>
  <c r="R41" i="3"/>
  <c r="T41" i="3" s="1"/>
  <c r="D3" i="5"/>
  <c r="D20" i="5"/>
  <c r="G20" i="5" s="1"/>
  <c r="K20" i="5" s="1"/>
  <c r="D21" i="5"/>
  <c r="G21" i="5" s="1"/>
  <c r="K21" i="5" s="1"/>
  <c r="I32" i="3"/>
  <c r="M32" i="3" s="1"/>
  <c r="I34" i="3"/>
  <c r="M34" i="3" s="1"/>
  <c r="I35" i="3"/>
  <c r="M35" i="3" s="1"/>
  <c r="R35" i="3" s="1"/>
  <c r="T35" i="3" s="1"/>
  <c r="I36" i="3"/>
  <c r="M36" i="3" s="1"/>
  <c r="I37" i="3"/>
  <c r="M37" i="3" s="1"/>
  <c r="I33" i="3"/>
  <c r="M33" i="3" s="1"/>
  <c r="R33" i="3" s="1"/>
  <c r="T33" i="3" s="1"/>
  <c r="H38" i="3"/>
  <c r="I38" i="3" s="1"/>
  <c r="M38" i="3" s="1"/>
  <c r="R34" i="3" l="1"/>
  <c r="T34" i="3" s="1"/>
  <c r="Q34" i="3"/>
  <c r="Q37" i="3"/>
  <c r="R37" i="3"/>
  <c r="T37" i="3" s="1"/>
  <c r="Q33" i="3"/>
  <c r="R36" i="3"/>
  <c r="T36" i="3" s="1"/>
  <c r="Q36" i="3"/>
  <c r="Q32" i="3"/>
  <c r="R32" i="3"/>
  <c r="T32" i="3" s="1"/>
  <c r="R38" i="3"/>
  <c r="T38" i="3" s="1"/>
  <c r="Q38" i="3"/>
  <c r="Q48" i="3"/>
  <c r="T48" i="3"/>
  <c r="Q35" i="3"/>
  <c r="D19" i="5"/>
  <c r="G13" i="5"/>
  <c r="K13" i="5" l="1"/>
  <c r="G14" i="5"/>
  <c r="K14" i="5" s="1"/>
  <c r="G15" i="5"/>
  <c r="K15" i="5" s="1"/>
  <c r="G16" i="5"/>
  <c r="K16" i="5" s="1"/>
  <c r="G19" i="5"/>
  <c r="K19" i="5" s="1"/>
  <c r="D18" i="5"/>
  <c r="G18" i="5" s="1"/>
  <c r="K18" i="5" s="1"/>
  <c r="D17" i="5"/>
  <c r="G17" i="5" s="1"/>
  <c r="K17" i="5" s="1"/>
  <c r="D11" i="5" l="1"/>
  <c r="G11" i="5" s="1"/>
  <c r="K11" i="5" s="1"/>
  <c r="F10" i="5"/>
  <c r="D10" i="5"/>
  <c r="D9" i="5"/>
  <c r="G9" i="5" s="1"/>
  <c r="K9" i="5" s="1"/>
  <c r="G8" i="5"/>
  <c r="K8" i="5" s="1"/>
  <c r="G7" i="5"/>
  <c r="K7" i="5" s="1"/>
  <c r="G5" i="5"/>
  <c r="K5" i="5" s="1"/>
  <c r="G3" i="5"/>
  <c r="K3" i="5" s="1"/>
  <c r="G10" i="5" l="1"/>
  <c r="K10" i="5" s="1"/>
  <c r="H30" i="3" l="1"/>
  <c r="I30" i="3"/>
  <c r="M30" i="3" s="1"/>
  <c r="H29" i="3"/>
  <c r="I29" i="3" s="1"/>
  <c r="M29" i="3" s="1"/>
  <c r="Q29" i="3" s="1"/>
  <c r="I27" i="3"/>
  <c r="M27" i="3" s="1"/>
  <c r="I28" i="3"/>
  <c r="M28" i="3" s="1"/>
  <c r="I26" i="3"/>
  <c r="M26" i="3" s="1"/>
  <c r="R26" i="3" s="1"/>
  <c r="I25" i="3"/>
  <c r="M25" i="3" s="1"/>
  <c r="Q25" i="3" s="1"/>
  <c r="I24" i="3"/>
  <c r="M24" i="3" s="1"/>
  <c r="Q24" i="3" s="1"/>
  <c r="G23" i="3"/>
  <c r="I23" i="3" s="1"/>
  <c r="M23" i="3" s="1"/>
  <c r="Q26" i="3" l="1"/>
  <c r="Q28" i="3"/>
  <c r="R28" i="3"/>
  <c r="T28" i="3" s="1"/>
  <c r="Q27" i="3"/>
  <c r="R27" i="3"/>
  <c r="T27" i="3" s="1"/>
  <c r="Q30" i="3"/>
  <c r="R30" i="3"/>
  <c r="T30" i="3" s="1"/>
  <c r="R29" i="3"/>
  <c r="T29" i="3" s="1"/>
  <c r="R25" i="3"/>
  <c r="T25" i="3" s="1"/>
  <c r="R23" i="3"/>
  <c r="T23" i="3" s="1"/>
  <c r="Q23" i="3"/>
  <c r="R24" i="3"/>
  <c r="T24" i="3" s="1"/>
  <c r="T26" i="3"/>
  <c r="G21" i="3" l="1"/>
  <c r="I21" i="3" s="1"/>
  <c r="M21" i="3" s="1"/>
  <c r="G20" i="3"/>
  <c r="I20" i="3" s="1"/>
  <c r="M20" i="3" s="1"/>
  <c r="G19" i="3"/>
  <c r="I19" i="3" s="1"/>
  <c r="M19" i="3" s="1"/>
  <c r="G18" i="3"/>
  <c r="I18" i="3" s="1"/>
  <c r="M18" i="3" s="1"/>
  <c r="R18" i="3" l="1"/>
  <c r="T18" i="3" s="1"/>
  <c r="Q18" i="3"/>
  <c r="R19" i="3"/>
  <c r="T19" i="3" s="1"/>
  <c r="Q19" i="3"/>
  <c r="Q20" i="3"/>
  <c r="R20" i="3"/>
  <c r="T20" i="3" s="1"/>
  <c r="Q21" i="3"/>
  <c r="R21" i="3"/>
  <c r="T21" i="3" s="1"/>
  <c r="H14" i="3" l="1"/>
  <c r="H13" i="3"/>
  <c r="G16" i="3"/>
  <c r="I16" i="3" s="1"/>
  <c r="M16" i="3" s="1"/>
  <c r="Q16" i="3" s="1"/>
  <c r="G15" i="3"/>
  <c r="I15" i="3" s="1"/>
  <c r="M15" i="3" s="1"/>
  <c r="Q15" i="3" s="1"/>
  <c r="G14" i="3"/>
  <c r="G13" i="3"/>
  <c r="I13" i="3" s="1"/>
  <c r="M13" i="3" s="1"/>
  <c r="R13" i="3" s="1"/>
  <c r="T13" i="3" s="1"/>
  <c r="G12" i="3"/>
  <c r="I12" i="3" s="1"/>
  <c r="M12" i="3" s="1"/>
  <c r="G11" i="3"/>
  <c r="I11" i="3" s="1"/>
  <c r="M11" i="3" s="1"/>
  <c r="R11" i="3" s="1"/>
  <c r="M9" i="3"/>
  <c r="R9" i="3" s="1"/>
  <c r="M8" i="3"/>
  <c r="R8" i="3" s="1"/>
  <c r="M7" i="3"/>
  <c r="Q7" i="3" s="1"/>
  <c r="M6" i="3"/>
  <c r="Q6" i="3" s="1"/>
  <c r="M5" i="3"/>
  <c r="R5" i="3" s="1"/>
  <c r="M4" i="3"/>
  <c r="Q4" i="3" s="1"/>
  <c r="M3" i="3"/>
  <c r="R3" i="3" s="1"/>
  <c r="Q9" i="3" l="1"/>
  <c r="T11" i="3"/>
  <c r="I14" i="3"/>
  <c r="M14" i="3" s="1"/>
  <c r="Q14" i="3" s="1"/>
  <c r="Q13" i="3"/>
  <c r="R15" i="3"/>
  <c r="T15" i="3" s="1"/>
  <c r="Q11" i="3"/>
  <c r="R12" i="3"/>
  <c r="T12" i="3" s="1"/>
  <c r="Q12" i="3"/>
  <c r="R16" i="3"/>
  <c r="T16" i="3" s="1"/>
  <c r="Q3" i="3"/>
  <c r="Q8" i="3"/>
  <c r="R6" i="3"/>
  <c r="R7" i="3"/>
  <c r="R4" i="3"/>
  <c r="Q5" i="3"/>
  <c r="R14" i="3" l="1"/>
  <c r="T14" i="3" s="1"/>
</calcChain>
</file>

<file path=xl/sharedStrings.xml><?xml version="1.0" encoding="utf-8"?>
<sst xmlns="http://schemas.openxmlformats.org/spreadsheetml/2006/main" count="206" uniqueCount="95">
  <si>
    <t>序号</t>
    <phoneticPr fontId="1" type="noConversion"/>
  </si>
  <si>
    <t>姓名</t>
    <phoneticPr fontId="1" type="noConversion"/>
  </si>
  <si>
    <t>基本工资</t>
    <phoneticPr fontId="1" type="noConversion"/>
  </si>
  <si>
    <t>满勤奖</t>
    <phoneticPr fontId="1" type="noConversion"/>
  </si>
  <si>
    <t>交通补贴</t>
    <phoneticPr fontId="1" type="noConversion"/>
  </si>
  <si>
    <t>提成</t>
    <phoneticPr fontId="1" type="noConversion"/>
  </si>
  <si>
    <t>王雪莲</t>
    <phoneticPr fontId="1" type="noConversion"/>
  </si>
  <si>
    <t>合计</t>
    <phoneticPr fontId="1" type="noConversion"/>
  </si>
  <si>
    <t>李木子</t>
    <phoneticPr fontId="1" type="noConversion"/>
  </si>
  <si>
    <t>朱宝霞</t>
    <phoneticPr fontId="1" type="noConversion"/>
  </si>
  <si>
    <t>石洋</t>
    <phoneticPr fontId="1" type="noConversion"/>
  </si>
  <si>
    <t>姚习习</t>
    <phoneticPr fontId="1" type="noConversion"/>
  </si>
  <si>
    <t>吕维娜</t>
    <phoneticPr fontId="1" type="noConversion"/>
  </si>
  <si>
    <t>说明</t>
    <phoneticPr fontId="1" type="noConversion"/>
  </si>
  <si>
    <t>公司缴纳社保</t>
    <phoneticPr fontId="1" type="noConversion"/>
  </si>
  <si>
    <t>个人缴纳社保</t>
    <phoneticPr fontId="1" type="noConversion"/>
  </si>
  <si>
    <t>公司支出合计</t>
    <phoneticPr fontId="1" type="noConversion"/>
  </si>
  <si>
    <t>个人税前工资</t>
    <phoneticPr fontId="1" type="noConversion"/>
  </si>
  <si>
    <t>个人税后工资</t>
    <phoneticPr fontId="1" type="noConversion"/>
  </si>
  <si>
    <t>个人所得税</t>
    <phoneticPr fontId="1" type="noConversion"/>
  </si>
  <si>
    <t>唐笑盈</t>
    <phoneticPr fontId="1" type="noConversion"/>
  </si>
  <si>
    <t>绩效A，JL-0024-20171101 4-5完成投稿提成200</t>
    <phoneticPr fontId="1" type="noConversion"/>
  </si>
  <si>
    <t>绩效B</t>
    <phoneticPr fontId="1" type="noConversion"/>
  </si>
  <si>
    <t>绩效B，请假2天，迟到2天</t>
    <phoneticPr fontId="1" type="noConversion"/>
  </si>
  <si>
    <t>绩效B，4月8日入职，上班17日</t>
    <phoneticPr fontId="1" type="noConversion"/>
  </si>
  <si>
    <t>绩效B，4月24日入职，上班5日</t>
    <phoneticPr fontId="1" type="noConversion"/>
  </si>
  <si>
    <t>绩效C，4月27日离职，请假一天，迟到4次，上班17日</t>
    <phoneticPr fontId="1" type="noConversion"/>
  </si>
  <si>
    <t>日期</t>
    <phoneticPr fontId="1" type="noConversion"/>
  </si>
  <si>
    <t>浮动工资基数</t>
    <phoneticPr fontId="1" type="noConversion"/>
  </si>
  <si>
    <t>浮动工资系数</t>
    <phoneticPr fontId="1" type="noConversion"/>
  </si>
  <si>
    <t>浮动工资</t>
  </si>
  <si>
    <t>实际浮动工资</t>
    <phoneticPr fontId="1" type="noConversion"/>
  </si>
  <si>
    <t>实际工资</t>
    <phoneticPr fontId="1" type="noConversion"/>
  </si>
  <si>
    <t>系数</t>
    <phoneticPr fontId="1" type="noConversion"/>
  </si>
  <si>
    <t>绩效B，迟到1次，缺卡1次</t>
    <phoneticPr fontId="1" type="noConversion"/>
  </si>
  <si>
    <t>绩效B，缺卡1次</t>
    <phoneticPr fontId="1" type="noConversion"/>
  </si>
  <si>
    <t>绩效C，出勤17天，请假1天，28日离职</t>
    <phoneticPr fontId="1" type="noConversion"/>
  </si>
  <si>
    <t>绩效A，新订单4个，修改4个，修改2个订单算1个新订单，总计新订单6个，其中4分的2个，迟到4次</t>
    <phoneticPr fontId="1" type="noConversion"/>
  </si>
  <si>
    <t>绩效D，出勤10天，迟到1次，旷工12次</t>
    <phoneticPr fontId="1" type="noConversion"/>
  </si>
  <si>
    <t>补贴</t>
    <phoneticPr fontId="1" type="noConversion"/>
  </si>
  <si>
    <t>实发工资</t>
    <phoneticPr fontId="1" type="noConversion"/>
  </si>
  <si>
    <t>代扣款项</t>
    <phoneticPr fontId="1" type="noConversion"/>
  </si>
  <si>
    <t>公积金</t>
    <phoneticPr fontId="1" type="noConversion"/>
  </si>
  <si>
    <t>社保</t>
    <phoneticPr fontId="1" type="noConversion"/>
  </si>
  <si>
    <t>个税</t>
    <phoneticPr fontId="1" type="noConversion"/>
  </si>
  <si>
    <t>辛强英</t>
    <phoneticPr fontId="1" type="noConversion"/>
  </si>
  <si>
    <t>缺卡1次</t>
    <phoneticPr fontId="1" type="noConversion"/>
  </si>
  <si>
    <t xml:space="preserve">CC-0001-20170810 4 400
FQ-0004-20171122 1 300
JL-0022-20171019 2 300
LC-0001-20180507 1 300
BJY-0005-20180402 1 300
</t>
    <phoneticPr fontId="1" type="noConversion"/>
  </si>
  <si>
    <t>殷钥</t>
    <phoneticPr fontId="1" type="noConversion"/>
  </si>
  <si>
    <t>李颖</t>
    <phoneticPr fontId="1" type="noConversion"/>
  </si>
  <si>
    <t>殷佳</t>
    <phoneticPr fontId="1" type="noConversion"/>
  </si>
  <si>
    <t>周微微</t>
    <phoneticPr fontId="1" type="noConversion"/>
  </si>
  <si>
    <t>顾雪</t>
    <phoneticPr fontId="1" type="noConversion"/>
  </si>
  <si>
    <t>高雅</t>
    <phoneticPr fontId="1" type="noConversion"/>
  </si>
  <si>
    <t>冯田</t>
    <phoneticPr fontId="1" type="noConversion"/>
  </si>
  <si>
    <t>吴姬</t>
    <phoneticPr fontId="1" type="noConversion"/>
  </si>
  <si>
    <t>黄麟雯</t>
    <phoneticPr fontId="1" type="noConversion"/>
  </si>
  <si>
    <t>宗一博</t>
    <phoneticPr fontId="1" type="noConversion"/>
  </si>
  <si>
    <t>郭仪妹</t>
    <phoneticPr fontId="1" type="noConversion"/>
  </si>
  <si>
    <t>吴姬</t>
    <phoneticPr fontId="1" type="noConversion"/>
  </si>
  <si>
    <t>汤玉荣</t>
    <phoneticPr fontId="1" type="noConversion"/>
  </si>
  <si>
    <t>花木月</t>
    <phoneticPr fontId="1" type="noConversion"/>
  </si>
  <si>
    <t>新订单提成：
JL-0011-20170817 200
JL-0015-20180702 200
接收订单提成：
JL-0018-20170928 300
JL-0039-20180119 300
FQ-0007-20180102 300
FQ-0009-20180123 300
WX-0002-20170815 300
JL-0015-20180714 300</t>
    <phoneticPr fontId="1" type="noConversion"/>
  </si>
  <si>
    <t>姚习习</t>
    <phoneticPr fontId="1" type="noConversion"/>
  </si>
  <si>
    <t>冯田</t>
    <phoneticPr fontId="1" type="noConversion"/>
  </si>
  <si>
    <t>新订单提成：
JL-0024-20171101 200 
接收订单提成
JL-0024-20180717 500  
FQ-0013-20180207 300 
JL-0017-20170928 300  
ZT-2972-20171129 300</t>
    <phoneticPr fontId="1" type="noConversion"/>
  </si>
  <si>
    <t>张映菲</t>
    <phoneticPr fontId="1" type="noConversion"/>
  </si>
  <si>
    <t>张映菲</t>
  </si>
  <si>
    <t>菜锟</t>
  </si>
  <si>
    <t>张瑜</t>
  </si>
  <si>
    <t>接收订单的提成：
CZ-0101-20180420 1分 300
JL-0056-20180226 1分 300
JL-0055-20180223 1分 300</t>
  </si>
  <si>
    <t>新订单提成： 
JL-0012-20170817   5分 300
ZXT-0006-20171212  3分 200
接收订单提成：
ZT-2171 2分 300
JL-0026-20171220  3分 300
JL-0021-20171019  2分 300
JL-0032-20171101  1分 300
JL-0054-20180222  2分 300
FQ-0003-20171107  3分 300
JL-0035  4分 400</t>
  </si>
  <si>
    <t>绩效系数</t>
  </si>
  <si>
    <t>绩效工资</t>
  </si>
  <si>
    <t>蔡锟</t>
  </si>
  <si>
    <t>黄吉</t>
  </si>
  <si>
    <t>丁颖</t>
  </si>
  <si>
    <t>陈姚洋子</t>
  </si>
  <si>
    <t>靳渭盟</t>
  </si>
  <si>
    <t>新订单提成： 
FQ-0024-20180419 3分 300
接收订单提成：
FQ-0001-20170826 3分 400
ZXT-0004-20171128 3分 400
ZT-3085-20180302 1分 400
FQ-0012-20180206 2分 400
JL-0033 4分 500
ZXT-0005-20171128 2分 400
FQ-0037-20180628加急 3分 400</t>
  </si>
  <si>
    <t>接收订单提成：
FQ-0041-20180731 2分 400
 JL-0058-20181014 1分 400
JL-0005-20170725 4分 500
ZXT-0015-20180531  3分 400
ZXT-0007-20171212 3分 400
JL-0011-20170817 4分 500
JL-0024-20171101 4分 500
ZT-2755-20180521 3分 400
ZXT-0012-20180505 2分 400
FQ-0014-20180731 3分 400
JL-0031-20171221 1分 400</t>
  </si>
  <si>
    <t>黄秀红</t>
  </si>
  <si>
    <t>马铁群</t>
  </si>
  <si>
    <t>吴艳琴</t>
  </si>
  <si>
    <t>田珉宇</t>
  </si>
  <si>
    <t>朱兆冬</t>
  </si>
  <si>
    <t>纪俊林</t>
  </si>
  <si>
    <t>公司支出</t>
  </si>
  <si>
    <t>接收：ZXT-0020-20180813，ZT-1880-20180417</t>
  </si>
  <si>
    <t>社保</t>
  </si>
  <si>
    <t>公积金</t>
  </si>
  <si>
    <t>11.22号转正，工资是6000</t>
  </si>
  <si>
    <t>提成为十月扣除社保部分</t>
  </si>
  <si>
    <t>补两个月以及7月底的试用期少的1200</t>
  </si>
  <si>
    <t>还11月社保扣除部分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</si>
</sst>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_ "/>
    <numFmt numFmtId="165" formatCode="0.000000"/>
    <numFmt numFmtId="166" formatCode="0.000"/>
  </numFmts>
  <fonts count="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b/>
      <sz val="1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/>
      <bottom style="thick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49" fontId="0" fillId="0" borderId="0" xfId="0" applyNumberFormat="1" applyFo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4" fillId="0" borderId="4" xfId="0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workbookViewId="0">
      <pane xSplit="3" ySplit="2" topLeftCell="D58" activePane="bottomRight" state="frozenSplit"/>
      <selection pane="topRight" activeCell="D1" sqref="D1"/>
      <selection pane="bottomLeft" activeCell="A3" sqref="A3"/>
      <selection pane="bottomRight" activeCell="M64" sqref="M64"/>
    </sheetView>
  </sheetViews>
  <sheetFormatPr defaultRowHeight="14.4"/>
  <cols>
    <col min="1" max="1" width="9" customWidth="1"/>
    <col min="3" max="3" width="9.88671875" customWidth="1"/>
    <col min="4" max="4" width="10.5546875" customWidth="1"/>
    <col min="5" max="5" width="0.109375" customWidth="1"/>
    <col min="6" max="7" width="15.44140625" hidden="1" customWidth="1"/>
    <col min="8" max="8" width="9.5546875" customWidth="1"/>
    <col min="9" max="9" width="13" customWidth="1"/>
    <col min="14" max="14" width="31.33203125" customWidth="1"/>
    <col min="15" max="16" width="13" bestFit="1" customWidth="1"/>
    <col min="17" max="18" width="13" style="2" bestFit="1" customWidth="1"/>
    <col min="19" max="19" width="11" style="2" bestFit="1" customWidth="1"/>
    <col min="20" max="20" width="13" style="2" bestFit="1" customWidth="1"/>
  </cols>
  <sheetData>
    <row r="1" spans="1:20" s="10" customFormat="1">
      <c r="A1" s="47" t="s">
        <v>27</v>
      </c>
      <c r="B1" s="47" t="s">
        <v>0</v>
      </c>
      <c r="C1" s="47" t="s">
        <v>1</v>
      </c>
      <c r="D1" s="47" t="s">
        <v>2</v>
      </c>
      <c r="E1" s="47" t="s">
        <v>30</v>
      </c>
      <c r="F1" s="47"/>
      <c r="G1" s="47"/>
      <c r="H1" s="47" t="s">
        <v>33</v>
      </c>
      <c r="I1" s="47" t="s">
        <v>32</v>
      </c>
      <c r="J1" s="47" t="s">
        <v>3</v>
      </c>
      <c r="K1" s="47" t="s">
        <v>4</v>
      </c>
      <c r="L1" s="47" t="s">
        <v>5</v>
      </c>
      <c r="M1" s="47" t="s">
        <v>7</v>
      </c>
      <c r="N1" s="47" t="s">
        <v>13</v>
      </c>
      <c r="O1" s="47" t="s">
        <v>14</v>
      </c>
      <c r="P1" s="47" t="s">
        <v>15</v>
      </c>
      <c r="Q1" s="48" t="s">
        <v>16</v>
      </c>
      <c r="R1" s="48" t="s">
        <v>17</v>
      </c>
      <c r="S1" s="48" t="s">
        <v>19</v>
      </c>
      <c r="T1" s="48" t="s">
        <v>18</v>
      </c>
    </row>
    <row r="2" spans="1:20" s="10" customFormat="1" ht="26.25" customHeight="1">
      <c r="A2" s="47"/>
      <c r="B2" s="47"/>
      <c r="C2" s="47"/>
      <c r="D2" s="47"/>
      <c r="E2" s="7" t="s">
        <v>28</v>
      </c>
      <c r="F2" s="7" t="s">
        <v>29</v>
      </c>
      <c r="G2" s="7" t="s">
        <v>31</v>
      </c>
      <c r="H2" s="47"/>
      <c r="I2" s="47"/>
      <c r="J2" s="47"/>
      <c r="K2" s="47"/>
      <c r="L2" s="47"/>
      <c r="M2" s="47"/>
      <c r="N2" s="47"/>
      <c r="O2" s="47"/>
      <c r="P2" s="47"/>
      <c r="Q2" s="48"/>
      <c r="R2" s="48"/>
      <c r="S2" s="48"/>
      <c r="T2" s="48"/>
    </row>
    <row r="3" spans="1:20">
      <c r="A3" s="46">
        <v>201804</v>
      </c>
      <c r="B3">
        <v>1</v>
      </c>
      <c r="C3" t="s">
        <v>6</v>
      </c>
      <c r="D3">
        <v>2660</v>
      </c>
      <c r="G3">
        <v>2700</v>
      </c>
      <c r="J3">
        <v>0</v>
      </c>
      <c r="K3">
        <v>80</v>
      </c>
      <c r="L3">
        <v>200</v>
      </c>
      <c r="M3">
        <f t="shared" ref="M3:M9" si="0">SUM(D3:L3)</f>
        <v>5640</v>
      </c>
      <c r="N3" t="s">
        <v>21</v>
      </c>
      <c r="O3">
        <v>834.5</v>
      </c>
      <c r="P3">
        <v>321.83</v>
      </c>
      <c r="Q3" s="2">
        <f>SUM(M3,O3)</f>
        <v>6474.5</v>
      </c>
      <c r="R3" s="2">
        <f>M3-P3</f>
        <v>5318.17</v>
      </c>
      <c r="S3" s="2">
        <v>76.819999999999993</v>
      </c>
      <c r="T3" s="2">
        <v>5241.3500000000004</v>
      </c>
    </row>
    <row r="4" spans="1:20">
      <c r="A4" s="46"/>
      <c r="B4">
        <v>2</v>
      </c>
      <c r="C4" t="s">
        <v>8</v>
      </c>
      <c r="D4">
        <v>2000</v>
      </c>
      <c r="G4">
        <v>1200</v>
      </c>
      <c r="J4">
        <v>0</v>
      </c>
      <c r="K4">
        <v>80</v>
      </c>
      <c r="L4">
        <v>0</v>
      </c>
      <c r="M4">
        <f t="shared" si="0"/>
        <v>3280</v>
      </c>
      <c r="N4" t="s">
        <v>22</v>
      </c>
      <c r="O4">
        <v>834.5</v>
      </c>
      <c r="P4">
        <v>321.83</v>
      </c>
      <c r="Q4" s="2">
        <f t="shared" ref="Q4:Q7" si="1">SUM(M4,O4)</f>
        <v>4114.5</v>
      </c>
      <c r="R4" s="2">
        <f t="shared" ref="R4:R7" si="2">M4-P4</f>
        <v>2958.17</v>
      </c>
      <c r="S4" s="2">
        <v>0</v>
      </c>
      <c r="T4" s="2">
        <v>2958.17</v>
      </c>
    </row>
    <row r="5" spans="1:20">
      <c r="A5" s="46"/>
      <c r="B5">
        <v>3</v>
      </c>
      <c r="C5" t="s">
        <v>9</v>
      </c>
      <c r="D5">
        <v>2000</v>
      </c>
      <c r="G5">
        <v>1200</v>
      </c>
      <c r="J5">
        <v>0</v>
      </c>
      <c r="K5">
        <v>80</v>
      </c>
      <c r="L5">
        <v>0</v>
      </c>
      <c r="M5">
        <f t="shared" si="0"/>
        <v>3280</v>
      </c>
      <c r="N5" t="s">
        <v>22</v>
      </c>
      <c r="O5">
        <v>834.5</v>
      </c>
      <c r="P5">
        <v>321.83</v>
      </c>
      <c r="Q5" s="2">
        <f t="shared" si="1"/>
        <v>4114.5</v>
      </c>
      <c r="R5" s="2">
        <f t="shared" si="2"/>
        <v>2958.17</v>
      </c>
      <c r="S5" s="2">
        <v>0</v>
      </c>
      <c r="T5" s="2">
        <v>2958.17</v>
      </c>
    </row>
    <row r="6" spans="1:20">
      <c r="A6" s="46"/>
      <c r="B6">
        <v>4</v>
      </c>
      <c r="C6" t="s">
        <v>10</v>
      </c>
      <c r="D6">
        <v>1800</v>
      </c>
      <c r="G6">
        <v>1080</v>
      </c>
      <c r="J6">
        <v>0</v>
      </c>
      <c r="K6">
        <v>0</v>
      </c>
      <c r="L6">
        <v>0</v>
      </c>
      <c r="M6">
        <f t="shared" si="0"/>
        <v>2880</v>
      </c>
      <c r="N6" t="s">
        <v>23</v>
      </c>
      <c r="O6">
        <v>834.5</v>
      </c>
      <c r="P6">
        <v>321.83</v>
      </c>
      <c r="Q6" s="2">
        <f t="shared" si="1"/>
        <v>3714.5</v>
      </c>
      <c r="R6" s="2">
        <f t="shared" si="2"/>
        <v>2558.17</v>
      </c>
      <c r="S6" s="2">
        <v>0</v>
      </c>
      <c r="T6" s="2">
        <v>2558.17</v>
      </c>
    </row>
    <row r="7" spans="1:20">
      <c r="A7" s="46"/>
      <c r="B7">
        <v>5</v>
      </c>
      <c r="C7" t="s">
        <v>11</v>
      </c>
      <c r="D7">
        <v>1700</v>
      </c>
      <c r="G7">
        <v>1020</v>
      </c>
      <c r="J7">
        <v>0</v>
      </c>
      <c r="K7">
        <v>68</v>
      </c>
      <c r="L7">
        <v>0</v>
      </c>
      <c r="M7">
        <f t="shared" si="0"/>
        <v>2788</v>
      </c>
      <c r="N7" t="s">
        <v>24</v>
      </c>
      <c r="O7">
        <v>834.5</v>
      </c>
      <c r="P7">
        <v>321.83</v>
      </c>
      <c r="Q7" s="2">
        <f t="shared" si="1"/>
        <v>3622.5</v>
      </c>
      <c r="R7" s="2">
        <f t="shared" si="2"/>
        <v>2466.17</v>
      </c>
      <c r="S7" s="2">
        <v>0</v>
      </c>
      <c r="T7" s="2">
        <v>2466.17</v>
      </c>
    </row>
    <row r="8" spans="1:20">
      <c r="A8" s="46"/>
      <c r="B8">
        <v>6</v>
      </c>
      <c r="C8" s="1" t="s">
        <v>12</v>
      </c>
      <c r="D8">
        <v>500</v>
      </c>
      <c r="G8">
        <v>300</v>
      </c>
      <c r="J8">
        <v>0</v>
      </c>
      <c r="K8">
        <v>20</v>
      </c>
      <c r="L8">
        <v>0</v>
      </c>
      <c r="M8">
        <f t="shared" si="0"/>
        <v>820</v>
      </c>
      <c r="N8" t="s">
        <v>25</v>
      </c>
      <c r="O8">
        <v>834.5</v>
      </c>
      <c r="P8">
        <v>321.83</v>
      </c>
      <c r="Q8" s="2">
        <f>SUM(M8,O8)</f>
        <v>1654.5</v>
      </c>
      <c r="R8" s="2">
        <f>M8-P8</f>
        <v>498.17</v>
      </c>
      <c r="S8" s="2">
        <v>0</v>
      </c>
      <c r="T8" s="2">
        <v>498.17</v>
      </c>
    </row>
    <row r="9" spans="1:20">
      <c r="A9" s="46"/>
      <c r="B9">
        <v>7</v>
      </c>
      <c r="C9" t="s">
        <v>20</v>
      </c>
      <c r="D9">
        <v>1700</v>
      </c>
      <c r="G9">
        <v>1328.125</v>
      </c>
      <c r="J9">
        <v>0</v>
      </c>
      <c r="K9">
        <v>0</v>
      </c>
      <c r="L9">
        <v>0</v>
      </c>
      <c r="M9">
        <f t="shared" si="0"/>
        <v>3028.125</v>
      </c>
      <c r="N9" t="s">
        <v>26</v>
      </c>
      <c r="O9">
        <v>834.5</v>
      </c>
      <c r="P9">
        <v>321.83</v>
      </c>
      <c r="Q9" s="2">
        <f>SUM(M9,O9)</f>
        <v>3862.625</v>
      </c>
      <c r="R9" s="2">
        <f>M9-P9</f>
        <v>2706.2950000000001</v>
      </c>
      <c r="S9" s="2">
        <v>0</v>
      </c>
      <c r="T9" s="2">
        <v>2706.2950000000001</v>
      </c>
    </row>
    <row r="11" spans="1:20">
      <c r="A11" s="46">
        <v>201805</v>
      </c>
      <c r="B11">
        <v>1</v>
      </c>
      <c r="C11" t="s">
        <v>6</v>
      </c>
      <c r="D11">
        <v>2660</v>
      </c>
      <c r="E11">
        <v>3000</v>
      </c>
      <c r="F11">
        <v>0.9</v>
      </c>
      <c r="G11">
        <f>E11*F11</f>
        <v>2700</v>
      </c>
      <c r="H11">
        <v>1</v>
      </c>
      <c r="I11">
        <f>(D11+G11)*H11</f>
        <v>5360</v>
      </c>
      <c r="J11">
        <v>0</v>
      </c>
      <c r="K11">
        <v>88</v>
      </c>
      <c r="L11">
        <v>700</v>
      </c>
      <c r="M11">
        <f>SUM(I11:L11)</f>
        <v>6148</v>
      </c>
      <c r="N11" t="s">
        <v>37</v>
      </c>
      <c r="O11">
        <v>834.5</v>
      </c>
      <c r="P11">
        <v>321.83</v>
      </c>
      <c r="Q11" s="2">
        <f>SUM(M11,O11)</f>
        <v>6982.5</v>
      </c>
      <c r="R11" s="2">
        <f>M11-P11</f>
        <v>5826.17</v>
      </c>
      <c r="S11" s="2">
        <v>127.62</v>
      </c>
      <c r="T11" s="2">
        <f>R11-S11</f>
        <v>5698.55</v>
      </c>
    </row>
    <row r="12" spans="1:20">
      <c r="A12" s="46"/>
      <c r="B12">
        <v>2</v>
      </c>
      <c r="C12" t="s">
        <v>8</v>
      </c>
      <c r="D12">
        <v>2000</v>
      </c>
      <c r="E12">
        <v>1500</v>
      </c>
      <c r="F12">
        <v>0.8</v>
      </c>
      <c r="G12">
        <f t="shared" ref="G12:G14" si="3">E12*F12</f>
        <v>1200</v>
      </c>
      <c r="H12">
        <v>1</v>
      </c>
      <c r="I12">
        <f t="shared" ref="I12:I16" si="4">(D12+G12)*H12</f>
        <v>3200</v>
      </c>
      <c r="J12">
        <v>0</v>
      </c>
      <c r="K12">
        <v>88</v>
      </c>
      <c r="L12">
        <v>0</v>
      </c>
      <c r="M12">
        <f t="shared" ref="M12:M16" si="5">SUM(I12:L12)</f>
        <v>3288</v>
      </c>
      <c r="N12" t="s">
        <v>35</v>
      </c>
      <c r="O12">
        <v>834.5</v>
      </c>
      <c r="P12">
        <v>321.83</v>
      </c>
      <c r="Q12" s="2">
        <f t="shared" ref="Q12:Q16" si="6">SUM(M12,O12)</f>
        <v>4122.5</v>
      </c>
      <c r="R12" s="2">
        <f t="shared" ref="R12:R16" si="7">M12-P12</f>
        <v>2966.17</v>
      </c>
      <c r="S12" s="2">
        <v>0</v>
      </c>
      <c r="T12" s="2">
        <f t="shared" ref="T12:T16" si="8">R12-S12</f>
        <v>2966.17</v>
      </c>
    </row>
    <row r="13" spans="1:20">
      <c r="A13" s="46"/>
      <c r="B13">
        <v>3</v>
      </c>
      <c r="C13" t="s">
        <v>9</v>
      </c>
      <c r="D13">
        <v>2000</v>
      </c>
      <c r="E13">
        <v>1500</v>
      </c>
      <c r="F13">
        <v>0.5</v>
      </c>
      <c r="G13">
        <f t="shared" si="3"/>
        <v>750</v>
      </c>
      <c r="H13">
        <f>17/21.75</f>
        <v>0.7816091954022989</v>
      </c>
      <c r="I13">
        <f t="shared" si="4"/>
        <v>2149.4252873563219</v>
      </c>
      <c r="J13">
        <v>0</v>
      </c>
      <c r="K13">
        <v>0</v>
      </c>
      <c r="L13">
        <v>0</v>
      </c>
      <c r="M13">
        <f t="shared" si="5"/>
        <v>2149.4252873563219</v>
      </c>
      <c r="N13" t="s">
        <v>36</v>
      </c>
      <c r="O13">
        <v>834.5</v>
      </c>
      <c r="P13">
        <v>321.83</v>
      </c>
      <c r="Q13" s="2">
        <f t="shared" si="6"/>
        <v>2983.9252873563219</v>
      </c>
      <c r="R13" s="2">
        <f t="shared" si="7"/>
        <v>1827.5952873563219</v>
      </c>
      <c r="S13" s="2">
        <v>0</v>
      </c>
      <c r="T13" s="2">
        <f t="shared" si="8"/>
        <v>1827.5952873563219</v>
      </c>
    </row>
    <row r="14" spans="1:20">
      <c r="A14" s="46"/>
      <c r="B14">
        <v>4</v>
      </c>
      <c r="C14" t="s">
        <v>10</v>
      </c>
      <c r="D14">
        <v>2000</v>
      </c>
      <c r="E14">
        <v>1500</v>
      </c>
      <c r="F14">
        <v>0</v>
      </c>
      <c r="G14">
        <f t="shared" si="3"/>
        <v>0</v>
      </c>
      <c r="H14">
        <f>10/21.75</f>
        <v>0.45977011494252873</v>
      </c>
      <c r="I14">
        <f t="shared" si="4"/>
        <v>919.54022988505744</v>
      </c>
      <c r="J14">
        <v>0</v>
      </c>
      <c r="K14">
        <v>0</v>
      </c>
      <c r="L14">
        <v>0</v>
      </c>
      <c r="M14">
        <f t="shared" si="5"/>
        <v>919.54022988505744</v>
      </c>
      <c r="N14" t="s">
        <v>38</v>
      </c>
      <c r="O14">
        <v>834.5</v>
      </c>
      <c r="P14">
        <v>321.83</v>
      </c>
      <c r="Q14" s="2">
        <f t="shared" si="6"/>
        <v>1754.0402298850574</v>
      </c>
      <c r="R14" s="2">
        <f t="shared" si="7"/>
        <v>597.71022988505752</v>
      </c>
      <c r="S14" s="2">
        <v>0</v>
      </c>
      <c r="T14" s="2">
        <f t="shared" si="8"/>
        <v>597.71022988505752</v>
      </c>
    </row>
    <row r="15" spans="1:20">
      <c r="A15" s="46"/>
      <c r="B15">
        <v>5</v>
      </c>
      <c r="C15" t="s">
        <v>11</v>
      </c>
      <c r="D15">
        <v>2000</v>
      </c>
      <c r="E15">
        <v>1500</v>
      </c>
      <c r="F15">
        <v>0.8</v>
      </c>
      <c r="G15">
        <f t="shared" ref="G15:G16" si="9">F15*E15</f>
        <v>1200</v>
      </c>
      <c r="H15">
        <v>1</v>
      </c>
      <c r="I15">
        <f t="shared" si="4"/>
        <v>3200</v>
      </c>
      <c r="J15">
        <v>0</v>
      </c>
      <c r="K15">
        <v>88</v>
      </c>
      <c r="L15">
        <v>0</v>
      </c>
      <c r="M15">
        <f t="shared" si="5"/>
        <v>3288</v>
      </c>
      <c r="N15" t="s">
        <v>34</v>
      </c>
      <c r="O15">
        <v>834.5</v>
      </c>
      <c r="P15">
        <v>321.83</v>
      </c>
      <c r="Q15" s="2">
        <f t="shared" si="6"/>
        <v>4122.5</v>
      </c>
      <c r="R15" s="2">
        <f t="shared" si="7"/>
        <v>2966.17</v>
      </c>
      <c r="S15" s="2">
        <v>0</v>
      </c>
      <c r="T15" s="2">
        <f t="shared" si="8"/>
        <v>2966.17</v>
      </c>
    </row>
    <row r="16" spans="1:20">
      <c r="A16" s="46"/>
      <c r="B16">
        <v>6</v>
      </c>
      <c r="C16" s="1" t="s">
        <v>12</v>
      </c>
      <c r="D16">
        <v>2000</v>
      </c>
      <c r="E16">
        <v>1500</v>
      </c>
      <c r="F16">
        <v>0.8</v>
      </c>
      <c r="G16">
        <f t="shared" si="9"/>
        <v>1200</v>
      </c>
      <c r="H16">
        <v>1</v>
      </c>
      <c r="I16">
        <f t="shared" si="4"/>
        <v>3200</v>
      </c>
      <c r="J16">
        <v>0</v>
      </c>
      <c r="K16">
        <v>88</v>
      </c>
      <c r="L16">
        <v>0</v>
      </c>
      <c r="M16">
        <f t="shared" si="5"/>
        <v>3288</v>
      </c>
      <c r="N16" t="s">
        <v>22</v>
      </c>
      <c r="O16">
        <v>834.5</v>
      </c>
      <c r="P16">
        <v>321.83</v>
      </c>
      <c r="Q16" s="2">
        <f t="shared" si="6"/>
        <v>4122.5</v>
      </c>
      <c r="R16" s="2">
        <f t="shared" si="7"/>
        <v>2966.17</v>
      </c>
      <c r="S16" s="2">
        <v>0</v>
      </c>
      <c r="T16" s="2">
        <f t="shared" si="8"/>
        <v>2966.17</v>
      </c>
    </row>
    <row r="18" spans="1:20" ht="86.4">
      <c r="A18" s="46">
        <v>201806</v>
      </c>
      <c r="B18">
        <v>1</v>
      </c>
      <c r="C18" t="s">
        <v>6</v>
      </c>
      <c r="D18">
        <v>6060</v>
      </c>
      <c r="E18">
        <v>0</v>
      </c>
      <c r="F18">
        <v>0</v>
      </c>
      <c r="G18">
        <f>E18*F18</f>
        <v>0</v>
      </c>
      <c r="H18">
        <v>1</v>
      </c>
      <c r="I18">
        <f>(D18+G18)*H18</f>
        <v>6060</v>
      </c>
      <c r="J18">
        <v>168</v>
      </c>
      <c r="K18">
        <v>80</v>
      </c>
      <c r="L18">
        <v>1600</v>
      </c>
      <c r="M18">
        <f>SUM(I18:L18)</f>
        <v>7908</v>
      </c>
      <c r="N18" s="1" t="s">
        <v>47</v>
      </c>
      <c r="O18">
        <v>834.5</v>
      </c>
      <c r="P18">
        <v>321.83</v>
      </c>
      <c r="Q18" s="2">
        <f>SUM(M18,O18)</f>
        <v>8742.5</v>
      </c>
      <c r="R18" s="2">
        <f>M18-P18</f>
        <v>7586.17</v>
      </c>
      <c r="S18" s="2">
        <v>303.62</v>
      </c>
      <c r="T18" s="2">
        <f>R18-S18</f>
        <v>7282.55</v>
      </c>
    </row>
    <row r="19" spans="1:20">
      <c r="A19" s="46"/>
      <c r="B19">
        <v>2</v>
      </c>
      <c r="C19" t="s">
        <v>8</v>
      </c>
      <c r="D19">
        <v>3700</v>
      </c>
      <c r="E19">
        <v>0</v>
      </c>
      <c r="F19">
        <v>0</v>
      </c>
      <c r="G19">
        <f t="shared" ref="G19" si="10">E19*F19</f>
        <v>0</v>
      </c>
      <c r="H19">
        <v>1</v>
      </c>
      <c r="I19">
        <f t="shared" ref="I19:I21" si="11">(D19+G19)*H19</f>
        <v>3700</v>
      </c>
      <c r="J19">
        <v>168</v>
      </c>
      <c r="K19">
        <v>80</v>
      </c>
      <c r="L19">
        <v>0</v>
      </c>
      <c r="M19">
        <f t="shared" ref="M19:M21" si="12">SUM(I19:L19)</f>
        <v>3948</v>
      </c>
      <c r="O19">
        <v>834.5</v>
      </c>
      <c r="P19">
        <v>321.83</v>
      </c>
      <c r="Q19" s="2">
        <f t="shared" ref="Q19:Q21" si="13">SUM(M19,O19)</f>
        <v>4782.5</v>
      </c>
      <c r="R19" s="2">
        <f t="shared" ref="R19:R21" si="14">M19-P19</f>
        <v>3626.17</v>
      </c>
      <c r="S19" s="2">
        <v>0</v>
      </c>
      <c r="T19" s="2">
        <f t="shared" ref="T19:T21" si="15">R19-S19</f>
        <v>3626.17</v>
      </c>
    </row>
    <row r="20" spans="1:20">
      <c r="A20" s="46"/>
      <c r="B20">
        <v>3</v>
      </c>
      <c r="C20" t="s">
        <v>11</v>
      </c>
      <c r="D20">
        <v>3200</v>
      </c>
      <c r="E20">
        <v>0</v>
      </c>
      <c r="F20">
        <v>0</v>
      </c>
      <c r="G20">
        <f t="shared" ref="G20:G21" si="16">F20*E20</f>
        <v>0</v>
      </c>
      <c r="H20">
        <v>1</v>
      </c>
      <c r="I20">
        <f t="shared" si="11"/>
        <v>3200</v>
      </c>
      <c r="J20">
        <v>0</v>
      </c>
      <c r="K20">
        <v>80</v>
      </c>
      <c r="L20">
        <v>0</v>
      </c>
      <c r="M20">
        <f t="shared" si="12"/>
        <v>3280</v>
      </c>
      <c r="N20" t="s">
        <v>46</v>
      </c>
      <c r="O20">
        <v>834.5</v>
      </c>
      <c r="P20">
        <v>321.83</v>
      </c>
      <c r="Q20" s="2">
        <f t="shared" si="13"/>
        <v>4114.5</v>
      </c>
      <c r="R20" s="2">
        <f t="shared" si="14"/>
        <v>2958.17</v>
      </c>
      <c r="S20" s="2">
        <v>0</v>
      </c>
      <c r="T20" s="2">
        <f t="shared" si="15"/>
        <v>2958.17</v>
      </c>
    </row>
    <row r="21" spans="1:20">
      <c r="A21" s="46"/>
      <c r="B21">
        <v>4</v>
      </c>
      <c r="C21" s="1" t="s">
        <v>12</v>
      </c>
      <c r="D21">
        <v>3200</v>
      </c>
      <c r="E21">
        <v>0</v>
      </c>
      <c r="F21">
        <v>0</v>
      </c>
      <c r="G21">
        <f t="shared" si="16"/>
        <v>0</v>
      </c>
      <c r="H21">
        <v>1</v>
      </c>
      <c r="I21">
        <f t="shared" si="11"/>
        <v>3200</v>
      </c>
      <c r="J21">
        <v>0</v>
      </c>
      <c r="K21">
        <v>80</v>
      </c>
      <c r="L21">
        <v>0</v>
      </c>
      <c r="M21">
        <f t="shared" si="12"/>
        <v>3280</v>
      </c>
      <c r="N21" t="s">
        <v>46</v>
      </c>
      <c r="O21">
        <v>834.5</v>
      </c>
      <c r="P21">
        <v>321.83</v>
      </c>
      <c r="Q21" s="2">
        <f t="shared" si="13"/>
        <v>4114.5</v>
      </c>
      <c r="R21" s="2">
        <f t="shared" si="14"/>
        <v>2958.17</v>
      </c>
      <c r="S21" s="2">
        <v>0</v>
      </c>
      <c r="T21" s="2">
        <f t="shared" si="15"/>
        <v>2958.17</v>
      </c>
    </row>
    <row r="23" spans="1:20" ht="144">
      <c r="A23" s="46">
        <v>201807</v>
      </c>
      <c r="B23">
        <v>1</v>
      </c>
      <c r="C23" t="s">
        <v>6</v>
      </c>
      <c r="D23">
        <v>6060</v>
      </c>
      <c r="E23">
        <v>0</v>
      </c>
      <c r="F23">
        <v>0</v>
      </c>
      <c r="G23">
        <f>E23*F23</f>
        <v>0</v>
      </c>
      <c r="H23">
        <v>1</v>
      </c>
      <c r="I23">
        <f>(D23+G23)*H23</f>
        <v>6060</v>
      </c>
      <c r="J23">
        <v>168</v>
      </c>
      <c r="K23">
        <v>88</v>
      </c>
      <c r="L23">
        <v>2200</v>
      </c>
      <c r="M23">
        <f>SUM(I23:L23)</f>
        <v>8516</v>
      </c>
      <c r="N23" s="1" t="s">
        <v>62</v>
      </c>
      <c r="O23">
        <v>916.82</v>
      </c>
      <c r="P23">
        <v>356.62</v>
      </c>
      <c r="Q23" s="2">
        <f>SUM(M23,O23)</f>
        <v>9432.82</v>
      </c>
      <c r="R23" s="2">
        <f>M23-P23</f>
        <v>8159.38</v>
      </c>
      <c r="S23" s="2">
        <v>376.88</v>
      </c>
      <c r="T23" s="2">
        <f>R23-S23</f>
        <v>7782.5</v>
      </c>
    </row>
    <row r="24" spans="1:20">
      <c r="A24" s="46"/>
      <c r="B24">
        <v>2</v>
      </c>
      <c r="C24" t="s">
        <v>8</v>
      </c>
      <c r="D24">
        <v>3700</v>
      </c>
      <c r="H24">
        <v>1</v>
      </c>
      <c r="I24">
        <f t="shared" ref="I24:I30" si="17">(D24+G24)*H24</f>
        <v>3700</v>
      </c>
      <c r="J24">
        <v>168</v>
      </c>
      <c r="K24">
        <v>88</v>
      </c>
      <c r="L24">
        <v>0</v>
      </c>
      <c r="M24">
        <f t="shared" ref="M24:M30" si="18">SUM(I24:L24)</f>
        <v>3956</v>
      </c>
      <c r="O24">
        <v>916.82</v>
      </c>
      <c r="P24">
        <v>356.62</v>
      </c>
      <c r="Q24" s="2">
        <f t="shared" ref="Q24:Q30" si="19">SUM(M24,O24)</f>
        <v>4872.82</v>
      </c>
      <c r="R24" s="2">
        <f t="shared" ref="R24:R30" si="20">M24-P24</f>
        <v>3599.38</v>
      </c>
      <c r="S24" s="2">
        <v>2.98</v>
      </c>
      <c r="T24" s="2">
        <f t="shared" ref="T24:T30" si="21">R24-S24</f>
        <v>3596.4</v>
      </c>
    </row>
    <row r="25" spans="1:20">
      <c r="A25" s="46"/>
      <c r="B25">
        <v>3</v>
      </c>
      <c r="C25" t="s">
        <v>11</v>
      </c>
      <c r="D25">
        <v>4500</v>
      </c>
      <c r="H25">
        <v>1</v>
      </c>
      <c r="I25">
        <f t="shared" si="17"/>
        <v>4500</v>
      </c>
      <c r="J25">
        <v>168</v>
      </c>
      <c r="K25">
        <v>88</v>
      </c>
      <c r="L25">
        <v>0</v>
      </c>
      <c r="M25">
        <f t="shared" si="18"/>
        <v>4756</v>
      </c>
      <c r="O25">
        <v>916.82</v>
      </c>
      <c r="P25">
        <v>356.62</v>
      </c>
      <c r="Q25" s="2">
        <f t="shared" si="19"/>
        <v>5672.82</v>
      </c>
      <c r="R25" s="2">
        <f t="shared" si="20"/>
        <v>4399.38</v>
      </c>
      <c r="S25" s="2">
        <v>26.98</v>
      </c>
      <c r="T25" s="2">
        <f t="shared" si="21"/>
        <v>4372.4000000000005</v>
      </c>
    </row>
    <row r="26" spans="1:20">
      <c r="A26" s="46"/>
      <c r="B26">
        <v>4</v>
      </c>
      <c r="C26" s="1" t="s">
        <v>12</v>
      </c>
      <c r="D26">
        <v>3600</v>
      </c>
      <c r="H26">
        <v>1</v>
      </c>
      <c r="I26">
        <f t="shared" si="17"/>
        <v>3600</v>
      </c>
      <c r="J26">
        <v>0</v>
      </c>
      <c r="K26">
        <v>88</v>
      </c>
      <c r="L26">
        <v>0</v>
      </c>
      <c r="M26">
        <f t="shared" si="18"/>
        <v>3688</v>
      </c>
      <c r="O26">
        <v>916.82</v>
      </c>
      <c r="P26">
        <v>356.62</v>
      </c>
      <c r="Q26" s="2">
        <f t="shared" si="19"/>
        <v>4604.82</v>
      </c>
      <c r="R26" s="2">
        <f>M26-P26-O26</f>
        <v>2414.56</v>
      </c>
      <c r="S26" s="2">
        <v>0</v>
      </c>
      <c r="T26" s="2">
        <f t="shared" si="21"/>
        <v>2414.56</v>
      </c>
    </row>
    <row r="27" spans="1:20">
      <c r="A27" s="46"/>
      <c r="B27">
        <v>5</v>
      </c>
      <c r="C27" t="s">
        <v>52</v>
      </c>
      <c r="D27">
        <v>1793.45</v>
      </c>
      <c r="H27">
        <v>1</v>
      </c>
      <c r="I27">
        <f t="shared" si="17"/>
        <v>1793.45</v>
      </c>
      <c r="J27">
        <v>0</v>
      </c>
      <c r="K27">
        <v>0</v>
      </c>
      <c r="L27">
        <v>0</v>
      </c>
      <c r="M27">
        <f t="shared" si="18"/>
        <v>1793.45</v>
      </c>
      <c r="O27">
        <v>0</v>
      </c>
      <c r="P27">
        <v>0</v>
      </c>
      <c r="Q27" s="2">
        <f t="shared" si="19"/>
        <v>1793.45</v>
      </c>
      <c r="R27" s="2">
        <f>M27-P27</f>
        <v>1793.45</v>
      </c>
      <c r="S27" s="2">
        <v>0</v>
      </c>
      <c r="T27" s="2">
        <f t="shared" si="21"/>
        <v>1793.45</v>
      </c>
    </row>
    <row r="28" spans="1:20">
      <c r="A28" s="46"/>
      <c r="B28">
        <v>6</v>
      </c>
      <c r="C28" s="1" t="s">
        <v>53</v>
      </c>
      <c r="D28">
        <v>1793.45</v>
      </c>
      <c r="H28">
        <v>1</v>
      </c>
      <c r="I28">
        <f t="shared" si="17"/>
        <v>1793.45</v>
      </c>
      <c r="J28">
        <v>0</v>
      </c>
      <c r="K28">
        <v>0</v>
      </c>
      <c r="L28">
        <v>0</v>
      </c>
      <c r="M28">
        <f t="shared" si="18"/>
        <v>1793.45</v>
      </c>
      <c r="O28">
        <v>0</v>
      </c>
      <c r="P28">
        <v>0</v>
      </c>
      <c r="Q28" s="2">
        <f t="shared" si="19"/>
        <v>1793.45</v>
      </c>
      <c r="R28" s="2">
        <f t="shared" si="20"/>
        <v>1793.45</v>
      </c>
      <c r="S28" s="2">
        <v>0</v>
      </c>
      <c r="T28" s="2">
        <f t="shared" si="21"/>
        <v>1793.45</v>
      </c>
    </row>
    <row r="29" spans="1:20">
      <c r="A29" s="46"/>
      <c r="B29">
        <v>7</v>
      </c>
      <c r="C29" t="s">
        <v>54</v>
      </c>
      <c r="D29" s="1">
        <v>3200</v>
      </c>
      <c r="H29">
        <f>14/21.75</f>
        <v>0.64367816091954022</v>
      </c>
      <c r="I29">
        <f t="shared" si="17"/>
        <v>2059.7701149425288</v>
      </c>
      <c r="J29">
        <v>0</v>
      </c>
      <c r="K29">
        <v>56</v>
      </c>
      <c r="L29">
        <v>0</v>
      </c>
      <c r="M29">
        <f t="shared" si="18"/>
        <v>2115.7701149425288</v>
      </c>
      <c r="O29">
        <v>0</v>
      </c>
      <c r="P29">
        <v>0</v>
      </c>
      <c r="Q29" s="2">
        <f t="shared" si="19"/>
        <v>2115.7701149425288</v>
      </c>
      <c r="R29" s="2">
        <f t="shared" si="20"/>
        <v>2115.7701149425288</v>
      </c>
      <c r="S29" s="2">
        <v>0</v>
      </c>
      <c r="T29" s="2">
        <f t="shared" si="21"/>
        <v>2115.7701149425288</v>
      </c>
    </row>
    <row r="30" spans="1:20">
      <c r="A30" s="46"/>
      <c r="B30">
        <v>8</v>
      </c>
      <c r="C30" s="1" t="s">
        <v>55</v>
      </c>
      <c r="D30">
        <v>2000</v>
      </c>
      <c r="H30">
        <f>4/21.75</f>
        <v>0.18390804597701149</v>
      </c>
      <c r="I30">
        <f t="shared" si="17"/>
        <v>367.81609195402297</v>
      </c>
      <c r="J30">
        <v>0</v>
      </c>
      <c r="K30">
        <v>16</v>
      </c>
      <c r="L30">
        <v>0</v>
      </c>
      <c r="M30">
        <f t="shared" si="18"/>
        <v>383.81609195402297</v>
      </c>
      <c r="O30">
        <v>0</v>
      </c>
      <c r="P30">
        <v>0</v>
      </c>
      <c r="Q30" s="2">
        <f t="shared" si="19"/>
        <v>383.81609195402297</v>
      </c>
      <c r="R30" s="2">
        <f t="shared" si="20"/>
        <v>383.81609195402297</v>
      </c>
      <c r="S30" s="2">
        <v>0</v>
      </c>
      <c r="T30" s="2">
        <f t="shared" si="21"/>
        <v>383.81609195402297</v>
      </c>
    </row>
    <row r="31" spans="1:20">
      <c r="A31" s="15"/>
      <c r="C31" s="1"/>
    </row>
    <row r="32" spans="1:20" ht="100.8">
      <c r="A32" s="46">
        <v>201808</v>
      </c>
      <c r="B32">
        <v>1</v>
      </c>
      <c r="C32" t="s">
        <v>6</v>
      </c>
      <c r="D32">
        <v>6060</v>
      </c>
      <c r="H32">
        <v>1</v>
      </c>
      <c r="I32">
        <f>D32*H32</f>
        <v>6060</v>
      </c>
      <c r="J32">
        <v>168</v>
      </c>
      <c r="K32">
        <v>88</v>
      </c>
      <c r="L32">
        <v>1600</v>
      </c>
      <c r="M32">
        <f>I32+J32+K32+L32</f>
        <v>7916</v>
      </c>
      <c r="N32" s="1" t="s">
        <v>65</v>
      </c>
      <c r="O32">
        <v>916.82</v>
      </c>
      <c r="P32">
        <v>356.62</v>
      </c>
      <c r="Q32" s="2">
        <f>M32+O32</f>
        <v>8832.82</v>
      </c>
      <c r="R32" s="2">
        <f>M32-P32</f>
        <v>7559.38</v>
      </c>
      <c r="S32" s="2">
        <v>300.94</v>
      </c>
      <c r="T32" s="2">
        <f>R32-S32</f>
        <v>7258.4400000000005</v>
      </c>
    </row>
    <row r="33" spans="1:20">
      <c r="A33" s="46"/>
      <c r="B33">
        <v>2</v>
      </c>
      <c r="C33" t="s">
        <v>8</v>
      </c>
      <c r="D33">
        <v>3700</v>
      </c>
      <c r="H33">
        <v>1</v>
      </c>
      <c r="I33">
        <f>D33*H33</f>
        <v>3700</v>
      </c>
      <c r="J33">
        <v>168</v>
      </c>
      <c r="K33">
        <v>88</v>
      </c>
      <c r="L33">
        <v>0</v>
      </c>
      <c r="M33">
        <f t="shared" ref="M33:M47" si="22">I33+J33+K33+L33</f>
        <v>3956</v>
      </c>
      <c r="O33">
        <v>916.82</v>
      </c>
      <c r="P33">
        <v>356.62</v>
      </c>
      <c r="Q33" s="2">
        <f t="shared" ref="Q33:Q47" si="23">M33+O33</f>
        <v>4872.82</v>
      </c>
      <c r="R33" s="2">
        <f t="shared" ref="R33:R47" si="24">M33-P33</f>
        <v>3599.38</v>
      </c>
      <c r="S33" s="2">
        <v>2.98</v>
      </c>
      <c r="T33" s="2">
        <f t="shared" ref="T33:T47" si="25">R33-S33</f>
        <v>3596.4</v>
      </c>
    </row>
    <row r="34" spans="1:20">
      <c r="A34" s="46"/>
      <c r="B34">
        <v>3</v>
      </c>
      <c r="C34" t="s">
        <v>63</v>
      </c>
      <c r="D34">
        <v>4500</v>
      </c>
      <c r="H34">
        <v>1</v>
      </c>
      <c r="I34">
        <f t="shared" ref="I34:I47" si="26">D34*H34</f>
        <v>4500</v>
      </c>
      <c r="J34">
        <v>168</v>
      </c>
      <c r="K34">
        <v>88</v>
      </c>
      <c r="L34">
        <v>0</v>
      </c>
      <c r="M34">
        <f t="shared" si="22"/>
        <v>4756</v>
      </c>
      <c r="O34">
        <v>916.82</v>
      </c>
      <c r="P34">
        <v>356.62</v>
      </c>
      <c r="Q34" s="2">
        <f t="shared" si="23"/>
        <v>5672.82</v>
      </c>
      <c r="R34" s="2">
        <f t="shared" si="24"/>
        <v>4399.38</v>
      </c>
      <c r="S34" s="2">
        <v>26.98</v>
      </c>
      <c r="T34" s="2">
        <f t="shared" si="25"/>
        <v>4372.4000000000005</v>
      </c>
    </row>
    <row r="35" spans="1:20">
      <c r="A35" s="46"/>
      <c r="B35">
        <v>4</v>
      </c>
      <c r="C35" t="s">
        <v>64</v>
      </c>
      <c r="D35">
        <v>3200</v>
      </c>
      <c r="H35">
        <v>1</v>
      </c>
      <c r="I35">
        <f t="shared" si="26"/>
        <v>3200</v>
      </c>
      <c r="J35">
        <v>0</v>
      </c>
      <c r="K35">
        <v>98.8</v>
      </c>
      <c r="L35">
        <v>0</v>
      </c>
      <c r="M35">
        <f t="shared" si="22"/>
        <v>3298.8</v>
      </c>
      <c r="O35">
        <v>0</v>
      </c>
      <c r="P35">
        <v>0</v>
      </c>
      <c r="Q35" s="2">
        <f t="shared" si="23"/>
        <v>3298.8</v>
      </c>
      <c r="R35" s="2">
        <f t="shared" si="24"/>
        <v>3298.8</v>
      </c>
      <c r="S35" s="2">
        <v>0</v>
      </c>
      <c r="T35" s="2">
        <f t="shared" si="25"/>
        <v>3298.8</v>
      </c>
    </row>
    <row r="36" spans="1:20">
      <c r="A36" s="46"/>
      <c r="B36">
        <v>5</v>
      </c>
      <c r="C36" t="s">
        <v>59</v>
      </c>
      <c r="D36">
        <v>2000</v>
      </c>
      <c r="H36">
        <v>1</v>
      </c>
      <c r="I36">
        <f t="shared" si="26"/>
        <v>2000</v>
      </c>
      <c r="J36">
        <v>0</v>
      </c>
      <c r="K36">
        <v>88</v>
      </c>
      <c r="L36">
        <v>0</v>
      </c>
      <c r="M36">
        <f t="shared" si="22"/>
        <v>2088</v>
      </c>
      <c r="O36">
        <v>0</v>
      </c>
      <c r="P36">
        <v>0</v>
      </c>
      <c r="Q36" s="2">
        <f t="shared" si="23"/>
        <v>2088</v>
      </c>
      <c r="R36" s="2">
        <f t="shared" si="24"/>
        <v>2088</v>
      </c>
      <c r="S36" s="2">
        <v>0</v>
      </c>
      <c r="T36" s="2">
        <f t="shared" si="25"/>
        <v>2088</v>
      </c>
    </row>
    <row r="37" spans="1:20">
      <c r="A37" s="46"/>
      <c r="B37">
        <v>6</v>
      </c>
      <c r="C37" t="s">
        <v>60</v>
      </c>
      <c r="D37">
        <v>3200</v>
      </c>
      <c r="H37">
        <v>1</v>
      </c>
      <c r="I37">
        <f t="shared" si="26"/>
        <v>3200</v>
      </c>
      <c r="J37">
        <v>0</v>
      </c>
      <c r="K37">
        <v>88</v>
      </c>
      <c r="L37">
        <v>0</v>
      </c>
      <c r="M37">
        <f t="shared" si="22"/>
        <v>3288</v>
      </c>
      <c r="O37">
        <v>0</v>
      </c>
      <c r="P37">
        <v>0</v>
      </c>
      <c r="Q37" s="2">
        <f t="shared" si="23"/>
        <v>3288</v>
      </c>
      <c r="R37" s="2">
        <f t="shared" si="24"/>
        <v>3288</v>
      </c>
      <c r="S37" s="2">
        <v>0</v>
      </c>
      <c r="T37" s="2">
        <f t="shared" si="25"/>
        <v>3288</v>
      </c>
    </row>
    <row r="38" spans="1:20">
      <c r="A38" s="46"/>
      <c r="B38">
        <v>7</v>
      </c>
      <c r="C38" t="s">
        <v>61</v>
      </c>
      <c r="D38">
        <v>3000</v>
      </c>
      <c r="H38">
        <f t="shared" ref="H38" si="27">5/21.75</f>
        <v>0.22988505747126436</v>
      </c>
      <c r="I38">
        <f t="shared" si="26"/>
        <v>689.65517241379314</v>
      </c>
      <c r="J38">
        <v>0</v>
      </c>
      <c r="K38">
        <v>20</v>
      </c>
      <c r="L38">
        <v>0</v>
      </c>
      <c r="M38">
        <f t="shared" si="22"/>
        <v>709.65517241379314</v>
      </c>
      <c r="O38">
        <v>0</v>
      </c>
      <c r="P38">
        <v>0</v>
      </c>
      <c r="Q38" s="2">
        <f t="shared" si="23"/>
        <v>709.65517241379314</v>
      </c>
      <c r="R38" s="2">
        <f t="shared" si="24"/>
        <v>709.65517241379314</v>
      </c>
      <c r="S38" s="2">
        <v>0</v>
      </c>
      <c r="T38" s="2">
        <f t="shared" si="25"/>
        <v>709.65517241379314</v>
      </c>
    </row>
    <row r="40" spans="1:20" ht="158.4">
      <c r="A40">
        <v>201809</v>
      </c>
      <c r="B40">
        <v>1</v>
      </c>
      <c r="C40" t="s">
        <v>6</v>
      </c>
      <c r="D40">
        <v>6060</v>
      </c>
      <c r="H40">
        <v>1</v>
      </c>
      <c r="I40">
        <f t="shared" si="26"/>
        <v>6060</v>
      </c>
      <c r="J40">
        <v>168</v>
      </c>
      <c r="K40">
        <v>84</v>
      </c>
      <c r="L40">
        <v>2700</v>
      </c>
      <c r="M40">
        <f t="shared" si="22"/>
        <v>9012</v>
      </c>
      <c r="N40" s="1" t="s">
        <v>71</v>
      </c>
      <c r="O40">
        <v>916.82</v>
      </c>
      <c r="P40">
        <v>356.62</v>
      </c>
      <c r="Q40" s="2">
        <f t="shared" si="23"/>
        <v>9928.82</v>
      </c>
      <c r="R40" s="2">
        <f>M40-P40</f>
        <v>8655.3799999999992</v>
      </c>
      <c r="S40" s="2">
        <v>155.54</v>
      </c>
      <c r="T40" s="2">
        <f t="shared" si="25"/>
        <v>8499.8399999999983</v>
      </c>
    </row>
    <row r="41" spans="1:20">
      <c r="B41">
        <v>2</v>
      </c>
      <c r="C41" t="s">
        <v>8</v>
      </c>
      <c r="D41">
        <v>3700</v>
      </c>
      <c r="H41">
        <f>20.75/21.75</f>
        <v>0.95402298850574707</v>
      </c>
      <c r="I41">
        <f t="shared" si="26"/>
        <v>3529.8850574712642</v>
      </c>
      <c r="J41">
        <v>168</v>
      </c>
      <c r="K41">
        <v>80</v>
      </c>
      <c r="L41">
        <v>0</v>
      </c>
      <c r="M41">
        <f t="shared" si="22"/>
        <v>3777.8850574712642</v>
      </c>
      <c r="O41">
        <v>916.82</v>
      </c>
      <c r="P41">
        <v>356.62</v>
      </c>
      <c r="Q41" s="2">
        <f t="shared" si="23"/>
        <v>4694.7050574712639</v>
      </c>
      <c r="R41" s="2">
        <f>M41-P41</f>
        <v>3421.2650574712643</v>
      </c>
      <c r="S41" s="2">
        <v>0</v>
      </c>
      <c r="T41" s="2">
        <f t="shared" si="25"/>
        <v>3421.2650574712643</v>
      </c>
    </row>
    <row r="42" spans="1:20" ht="57.6">
      <c r="B42">
        <v>3</v>
      </c>
      <c r="C42" t="s">
        <v>63</v>
      </c>
      <c r="D42">
        <v>4500</v>
      </c>
      <c r="H42">
        <v>1</v>
      </c>
      <c r="I42">
        <f t="shared" si="26"/>
        <v>4500</v>
      </c>
      <c r="J42">
        <v>168</v>
      </c>
      <c r="K42">
        <v>84</v>
      </c>
      <c r="L42">
        <v>900</v>
      </c>
      <c r="M42">
        <f t="shared" si="22"/>
        <v>5652</v>
      </c>
      <c r="N42" s="1" t="s">
        <v>70</v>
      </c>
      <c r="O42">
        <v>916.82</v>
      </c>
      <c r="P42">
        <v>356.62</v>
      </c>
      <c r="Q42" s="2">
        <f t="shared" si="23"/>
        <v>6568.82</v>
      </c>
      <c r="R42" s="2">
        <f>M42-P42</f>
        <v>5295.38</v>
      </c>
      <c r="S42" s="2">
        <v>8.86</v>
      </c>
      <c r="T42" s="2">
        <f t="shared" si="25"/>
        <v>5286.52</v>
      </c>
    </row>
    <row r="43" spans="1:20">
      <c r="B43">
        <v>4</v>
      </c>
      <c r="C43" t="s">
        <v>54</v>
      </c>
      <c r="D43">
        <v>3200</v>
      </c>
      <c r="H43">
        <v>1</v>
      </c>
      <c r="I43">
        <f t="shared" si="26"/>
        <v>3200</v>
      </c>
      <c r="J43">
        <v>0</v>
      </c>
      <c r="K43">
        <v>84</v>
      </c>
      <c r="L43">
        <v>0</v>
      </c>
      <c r="M43">
        <f t="shared" si="22"/>
        <v>3284</v>
      </c>
      <c r="O43">
        <v>0</v>
      </c>
      <c r="P43">
        <v>0</v>
      </c>
      <c r="Q43" s="2">
        <f t="shared" si="23"/>
        <v>3284</v>
      </c>
      <c r="R43" s="2">
        <f t="shared" si="24"/>
        <v>3284</v>
      </c>
      <c r="S43" s="2">
        <v>0</v>
      </c>
      <c r="T43" s="2">
        <f t="shared" si="25"/>
        <v>3284</v>
      </c>
    </row>
    <row r="44" spans="1:20">
      <c r="B44">
        <v>5</v>
      </c>
      <c r="C44" t="s">
        <v>55</v>
      </c>
      <c r="D44">
        <v>2000</v>
      </c>
      <c r="H44">
        <v>1</v>
      </c>
      <c r="I44">
        <f t="shared" si="26"/>
        <v>2000</v>
      </c>
      <c r="J44">
        <v>0</v>
      </c>
      <c r="K44">
        <v>84</v>
      </c>
      <c r="L44">
        <v>0</v>
      </c>
      <c r="M44">
        <f t="shared" si="22"/>
        <v>2084</v>
      </c>
      <c r="O44">
        <v>0</v>
      </c>
      <c r="P44">
        <v>0</v>
      </c>
      <c r="Q44" s="2">
        <f t="shared" si="23"/>
        <v>2084</v>
      </c>
      <c r="R44" s="2">
        <f t="shared" si="24"/>
        <v>2084</v>
      </c>
      <c r="S44" s="2">
        <v>0</v>
      </c>
      <c r="T44" s="2">
        <f t="shared" si="25"/>
        <v>2084</v>
      </c>
    </row>
    <row r="45" spans="1:20">
      <c r="B45">
        <v>6</v>
      </c>
      <c r="C45" t="s">
        <v>60</v>
      </c>
      <c r="D45">
        <v>3200</v>
      </c>
      <c r="H45">
        <v>1</v>
      </c>
      <c r="I45">
        <f t="shared" si="26"/>
        <v>3200</v>
      </c>
      <c r="J45">
        <v>0</v>
      </c>
      <c r="K45">
        <v>84</v>
      </c>
      <c r="L45">
        <v>0</v>
      </c>
      <c r="M45">
        <f t="shared" si="22"/>
        <v>3284</v>
      </c>
      <c r="O45">
        <v>0</v>
      </c>
      <c r="P45">
        <v>0</v>
      </c>
      <c r="Q45" s="2">
        <f t="shared" si="23"/>
        <v>3284</v>
      </c>
      <c r="R45" s="2">
        <f t="shared" si="24"/>
        <v>3284</v>
      </c>
      <c r="S45" s="2">
        <v>0</v>
      </c>
      <c r="T45" s="2">
        <f t="shared" si="25"/>
        <v>3284</v>
      </c>
    </row>
    <row r="46" spans="1:20">
      <c r="B46">
        <v>7</v>
      </c>
      <c r="C46" t="s">
        <v>61</v>
      </c>
      <c r="D46">
        <v>3000</v>
      </c>
      <c r="H46">
        <v>1</v>
      </c>
      <c r="I46">
        <f t="shared" si="26"/>
        <v>3000</v>
      </c>
      <c r="J46">
        <v>0</v>
      </c>
      <c r="K46">
        <v>84</v>
      </c>
      <c r="L46">
        <v>0</v>
      </c>
      <c r="M46">
        <f t="shared" si="22"/>
        <v>3084</v>
      </c>
      <c r="O46">
        <v>0</v>
      </c>
      <c r="P46">
        <v>0</v>
      </c>
      <c r="Q46" s="2">
        <f t="shared" si="23"/>
        <v>3084</v>
      </c>
      <c r="R46" s="2">
        <f t="shared" si="24"/>
        <v>3084</v>
      </c>
      <c r="S46" s="2">
        <v>0</v>
      </c>
      <c r="T46" s="2">
        <f t="shared" si="25"/>
        <v>3084</v>
      </c>
    </row>
    <row r="47" spans="1:20">
      <c r="B47">
        <v>8</v>
      </c>
      <c r="C47" t="s">
        <v>69</v>
      </c>
      <c r="D47">
        <v>3000</v>
      </c>
      <c r="H47">
        <f>10/21.75</f>
        <v>0.45977011494252873</v>
      </c>
      <c r="I47">
        <f t="shared" si="26"/>
        <v>1379.3103448275863</v>
      </c>
      <c r="J47">
        <v>0</v>
      </c>
      <c r="K47">
        <v>40</v>
      </c>
      <c r="L47">
        <v>0</v>
      </c>
      <c r="M47">
        <f t="shared" si="22"/>
        <v>1419.3103448275863</v>
      </c>
      <c r="O47">
        <v>0</v>
      </c>
      <c r="P47">
        <v>0</v>
      </c>
      <c r="Q47" s="2">
        <f t="shared" si="23"/>
        <v>1419.3103448275863</v>
      </c>
      <c r="R47" s="2">
        <f t="shared" si="24"/>
        <v>1419.3103448275863</v>
      </c>
      <c r="S47" s="2">
        <v>0</v>
      </c>
      <c r="T47" s="2">
        <f t="shared" si="25"/>
        <v>1419.3103448275863</v>
      </c>
    </row>
    <row r="48" spans="1:20">
      <c r="Q48" s="2">
        <f>SUM(Q40:Q47)</f>
        <v>34347.655402298849</v>
      </c>
      <c r="T48" s="2">
        <f>SUM(T40:T47)</f>
        <v>30362.935402298848</v>
      </c>
    </row>
    <row r="49" spans="1:20" ht="144">
      <c r="A49">
        <v>201810</v>
      </c>
      <c r="B49">
        <v>1</v>
      </c>
      <c r="C49" t="s">
        <v>6</v>
      </c>
      <c r="D49">
        <v>6060</v>
      </c>
      <c r="H49">
        <v>1</v>
      </c>
      <c r="I49">
        <f t="shared" ref="I49:I56" si="28">D49*H49</f>
        <v>6060</v>
      </c>
      <c r="J49">
        <v>168</v>
      </c>
      <c r="K49">
        <v>72</v>
      </c>
      <c r="L49">
        <v>3200</v>
      </c>
      <c r="M49">
        <f t="shared" ref="M49:M56" si="29">I49+J49+K49+L49</f>
        <v>9500</v>
      </c>
      <c r="N49" s="1" t="s">
        <v>79</v>
      </c>
      <c r="O49">
        <v>916.82</v>
      </c>
      <c r="P49">
        <v>356.62</v>
      </c>
      <c r="Q49" s="2">
        <f t="shared" ref="Q49:Q56" si="30">M49+O49</f>
        <v>10416.82</v>
      </c>
      <c r="R49" s="2">
        <f>M49-P49</f>
        <v>9143.3799999999992</v>
      </c>
      <c r="S49" s="2">
        <v>204.34</v>
      </c>
      <c r="T49" s="2">
        <f t="shared" ref="T49:T56" si="31">R49-S49</f>
        <v>8939.0399999999991</v>
      </c>
    </row>
    <row r="50" spans="1:20">
      <c r="B50">
        <v>2</v>
      </c>
      <c r="C50" t="s">
        <v>8</v>
      </c>
      <c r="D50">
        <v>3700</v>
      </c>
      <c r="H50">
        <f>20.25/21.75</f>
        <v>0.93103448275862066</v>
      </c>
      <c r="I50">
        <f t="shared" si="28"/>
        <v>3444.8275862068963</v>
      </c>
      <c r="J50">
        <v>0</v>
      </c>
      <c r="K50">
        <v>68</v>
      </c>
      <c r="L50">
        <v>0</v>
      </c>
      <c r="M50">
        <f t="shared" si="29"/>
        <v>3512.8275862068963</v>
      </c>
      <c r="O50">
        <v>916.82</v>
      </c>
      <c r="P50">
        <v>356.62</v>
      </c>
      <c r="Q50" s="2">
        <f t="shared" si="30"/>
        <v>4429.6475862068964</v>
      </c>
      <c r="R50" s="2">
        <f>M50-P50</f>
        <v>3156.2075862068964</v>
      </c>
      <c r="S50" s="2">
        <v>0</v>
      </c>
      <c r="T50" s="2">
        <f t="shared" si="31"/>
        <v>3156.2075862068964</v>
      </c>
    </row>
    <row r="51" spans="1:20">
      <c r="B51">
        <v>3</v>
      </c>
      <c r="C51" t="s">
        <v>63</v>
      </c>
      <c r="D51">
        <v>4500</v>
      </c>
      <c r="H51">
        <f>13.5/21.75</f>
        <v>0.62068965517241381</v>
      </c>
      <c r="I51">
        <f t="shared" si="28"/>
        <v>2793.1034482758623</v>
      </c>
      <c r="J51">
        <v>0</v>
      </c>
      <c r="K51">
        <v>44</v>
      </c>
      <c r="L51">
        <v>0</v>
      </c>
      <c r="M51">
        <f t="shared" si="29"/>
        <v>2837.1034482758623</v>
      </c>
      <c r="N51" s="1"/>
      <c r="O51">
        <v>916.82</v>
      </c>
      <c r="P51">
        <v>356.62</v>
      </c>
      <c r="Q51" s="2">
        <f t="shared" si="30"/>
        <v>3753.9234482758625</v>
      </c>
      <c r="R51" s="2">
        <f>M51-P51</f>
        <v>2480.4834482758624</v>
      </c>
      <c r="S51" s="2">
        <v>0</v>
      </c>
      <c r="T51" s="2">
        <f t="shared" si="31"/>
        <v>2480.4834482758624</v>
      </c>
    </row>
    <row r="52" spans="1:20">
      <c r="B52">
        <v>4</v>
      </c>
      <c r="C52" t="s">
        <v>54</v>
      </c>
      <c r="D52">
        <v>4000</v>
      </c>
      <c r="H52">
        <v>1</v>
      </c>
      <c r="I52">
        <f>3200*(7/21)+4000*(14/21)</f>
        <v>3733.333333333333</v>
      </c>
      <c r="J52">
        <v>168</v>
      </c>
      <c r="K52">
        <v>72</v>
      </c>
      <c r="L52">
        <v>0</v>
      </c>
      <c r="M52">
        <f t="shared" si="29"/>
        <v>3973.333333333333</v>
      </c>
      <c r="O52">
        <v>916.82</v>
      </c>
      <c r="P52">
        <v>356.62</v>
      </c>
      <c r="Q52" s="2">
        <f t="shared" si="30"/>
        <v>4890.1533333333327</v>
      </c>
      <c r="R52" s="2">
        <f t="shared" ref="R52:R56" si="32">M52-P52</f>
        <v>3616.7133333333331</v>
      </c>
      <c r="S52" s="2">
        <v>0</v>
      </c>
      <c r="T52" s="2">
        <f t="shared" si="31"/>
        <v>3616.7133333333331</v>
      </c>
    </row>
    <row r="53" spans="1:20">
      <c r="B53">
        <v>5</v>
      </c>
      <c r="C53" t="s">
        <v>55</v>
      </c>
      <c r="D53">
        <v>2000</v>
      </c>
      <c r="H53">
        <v>1</v>
      </c>
      <c r="I53">
        <f t="shared" si="28"/>
        <v>2000</v>
      </c>
      <c r="J53">
        <v>0</v>
      </c>
      <c r="K53">
        <v>72</v>
      </c>
      <c r="L53">
        <v>0</v>
      </c>
      <c r="M53">
        <f t="shared" si="29"/>
        <v>2072</v>
      </c>
      <c r="O53">
        <v>0</v>
      </c>
      <c r="P53">
        <v>0</v>
      </c>
      <c r="Q53" s="2">
        <f t="shared" si="30"/>
        <v>2072</v>
      </c>
      <c r="R53" s="2">
        <f t="shared" si="32"/>
        <v>2072</v>
      </c>
      <c r="S53" s="2">
        <v>0</v>
      </c>
      <c r="T53" s="2">
        <f t="shared" si="31"/>
        <v>2072</v>
      </c>
    </row>
    <row r="54" spans="1:20">
      <c r="B54">
        <v>6</v>
      </c>
      <c r="C54" t="s">
        <v>60</v>
      </c>
      <c r="D54">
        <v>3200</v>
      </c>
      <c r="H54">
        <v>1</v>
      </c>
      <c r="I54">
        <f t="shared" si="28"/>
        <v>3200</v>
      </c>
      <c r="J54">
        <v>0</v>
      </c>
      <c r="K54">
        <v>72</v>
      </c>
      <c r="L54">
        <v>0</v>
      </c>
      <c r="M54">
        <f t="shared" si="29"/>
        <v>3272</v>
      </c>
      <c r="O54">
        <v>0</v>
      </c>
      <c r="P54">
        <v>0</v>
      </c>
      <c r="Q54" s="2">
        <f t="shared" si="30"/>
        <v>3272</v>
      </c>
      <c r="R54" s="2">
        <f t="shared" si="32"/>
        <v>3272</v>
      </c>
      <c r="S54" s="2">
        <v>0</v>
      </c>
      <c r="T54" s="2">
        <f t="shared" si="31"/>
        <v>3272</v>
      </c>
    </row>
    <row r="55" spans="1:20">
      <c r="B55">
        <v>7</v>
      </c>
      <c r="C55" t="s">
        <v>61</v>
      </c>
      <c r="D55">
        <v>3000</v>
      </c>
      <c r="H55">
        <v>1</v>
      </c>
      <c r="I55">
        <f t="shared" si="28"/>
        <v>3000</v>
      </c>
      <c r="J55">
        <v>0</v>
      </c>
      <c r="K55">
        <v>72</v>
      </c>
      <c r="L55">
        <v>0</v>
      </c>
      <c r="M55">
        <f t="shared" si="29"/>
        <v>3072</v>
      </c>
      <c r="O55">
        <v>0</v>
      </c>
      <c r="P55">
        <v>0</v>
      </c>
      <c r="Q55" s="2">
        <f t="shared" si="30"/>
        <v>3072</v>
      </c>
      <c r="R55" s="2">
        <f t="shared" si="32"/>
        <v>3072</v>
      </c>
      <c r="S55" s="2">
        <v>0</v>
      </c>
      <c r="T55" s="2">
        <f t="shared" si="31"/>
        <v>3072</v>
      </c>
    </row>
    <row r="56" spans="1:20">
      <c r="B56">
        <v>8</v>
      </c>
      <c r="C56" t="s">
        <v>69</v>
      </c>
      <c r="D56">
        <v>3000</v>
      </c>
      <c r="H56">
        <f>24.75/21.75</f>
        <v>1.1379310344827587</v>
      </c>
      <c r="I56">
        <f t="shared" si="28"/>
        <v>3413.7931034482758</v>
      </c>
      <c r="J56">
        <v>0</v>
      </c>
      <c r="K56">
        <v>84</v>
      </c>
      <c r="L56">
        <v>0</v>
      </c>
      <c r="M56">
        <f t="shared" si="29"/>
        <v>3497.7931034482758</v>
      </c>
      <c r="O56">
        <v>0</v>
      </c>
      <c r="P56">
        <v>0</v>
      </c>
      <c r="Q56" s="2">
        <f t="shared" si="30"/>
        <v>3497.7931034482758</v>
      </c>
      <c r="R56" s="2">
        <f t="shared" si="32"/>
        <v>3497.7931034482758</v>
      </c>
      <c r="S56" s="2">
        <v>0</v>
      </c>
      <c r="T56" s="2">
        <f t="shared" si="31"/>
        <v>3497.7931034482758</v>
      </c>
    </row>
    <row r="57" spans="1:20">
      <c r="Q57" s="2">
        <f>SUM(Q49:Q56)</f>
        <v>35404.337471264371</v>
      </c>
      <c r="T57" s="2">
        <f>SUM(T49:T56)</f>
        <v>30106.237471264365</v>
      </c>
    </row>
    <row r="58" spans="1:20" ht="172.8">
      <c r="A58">
        <v>201811</v>
      </c>
      <c r="B58">
        <v>1</v>
      </c>
      <c r="C58" t="s">
        <v>6</v>
      </c>
      <c r="D58">
        <v>6060</v>
      </c>
      <c r="H58">
        <v>1</v>
      </c>
      <c r="I58">
        <f t="shared" ref="I58:I59" si="33">D58*H58</f>
        <v>6060</v>
      </c>
      <c r="J58">
        <v>168</v>
      </c>
      <c r="K58">
        <v>88</v>
      </c>
      <c r="L58" s="38">
        <v>0</v>
      </c>
      <c r="M58">
        <f t="shared" ref="M58:M64" si="34">I58+J58+K58+L58</f>
        <v>6316</v>
      </c>
      <c r="N58" s="37" t="s">
        <v>80</v>
      </c>
      <c r="O58">
        <v>916.82</v>
      </c>
      <c r="P58">
        <v>356.62</v>
      </c>
      <c r="Q58" s="2">
        <f>M58+O58</f>
        <v>7232.82</v>
      </c>
      <c r="R58" s="2">
        <f>M58-P58</f>
        <v>5959.38</v>
      </c>
      <c r="S58" s="2">
        <v>28.78</v>
      </c>
      <c r="T58" s="2">
        <f t="shared" ref="T58:T64" si="35">R58-S58</f>
        <v>5930.6</v>
      </c>
    </row>
    <row r="59" spans="1:20">
      <c r="B59">
        <v>2</v>
      </c>
      <c r="C59" t="s">
        <v>8</v>
      </c>
      <c r="D59">
        <v>3700</v>
      </c>
      <c r="H59">
        <v>1</v>
      </c>
      <c r="I59">
        <f t="shared" si="33"/>
        <v>3700</v>
      </c>
      <c r="J59">
        <v>168</v>
      </c>
      <c r="K59">
        <v>88</v>
      </c>
      <c r="L59">
        <v>0</v>
      </c>
      <c r="M59">
        <f t="shared" si="34"/>
        <v>3956</v>
      </c>
      <c r="O59">
        <v>916.82</v>
      </c>
      <c r="P59">
        <v>356.62</v>
      </c>
      <c r="Q59" s="2">
        <f t="shared" ref="Q59:Q64" si="36">M59+O59</f>
        <v>4872.82</v>
      </c>
      <c r="R59" s="2">
        <f>M59-P59</f>
        <v>3599.38</v>
      </c>
      <c r="S59" s="2">
        <v>0</v>
      </c>
      <c r="T59" s="2">
        <f t="shared" si="35"/>
        <v>3599.38</v>
      </c>
    </row>
    <row r="60" spans="1:20">
      <c r="B60">
        <v>3</v>
      </c>
      <c r="C60" t="s">
        <v>54</v>
      </c>
      <c r="D60">
        <v>4000</v>
      </c>
      <c r="H60">
        <v>1</v>
      </c>
      <c r="I60">
        <v>4000</v>
      </c>
      <c r="J60">
        <v>168</v>
      </c>
      <c r="K60">
        <f>88+10.7</f>
        <v>98.7</v>
      </c>
      <c r="L60">
        <v>356.62</v>
      </c>
      <c r="M60">
        <f t="shared" si="34"/>
        <v>4623.32</v>
      </c>
      <c r="N60" t="s">
        <v>92</v>
      </c>
      <c r="O60">
        <v>916.82</v>
      </c>
      <c r="P60">
        <v>356.62</v>
      </c>
      <c r="Q60" s="2">
        <f t="shared" si="36"/>
        <v>5540.1399999999994</v>
      </c>
      <c r="R60" s="2">
        <f t="shared" ref="R60:R62" si="37">M60-P60</f>
        <v>4266.7</v>
      </c>
      <c r="S60" s="2">
        <v>0</v>
      </c>
      <c r="T60" s="2">
        <f t="shared" si="35"/>
        <v>4266.7</v>
      </c>
    </row>
    <row r="61" spans="1:20">
      <c r="B61">
        <v>4</v>
      </c>
      <c r="C61" t="s">
        <v>55</v>
      </c>
      <c r="D61">
        <f>2000+(4/21.75+2)*1200</f>
        <v>4620.689655172413</v>
      </c>
      <c r="H61">
        <v>1</v>
      </c>
      <c r="I61">
        <f>D61*H61</f>
        <v>4620.689655172413</v>
      </c>
      <c r="J61">
        <v>0</v>
      </c>
      <c r="K61">
        <v>88</v>
      </c>
      <c r="L61">
        <v>0</v>
      </c>
      <c r="M61">
        <f t="shared" si="34"/>
        <v>4708.689655172413</v>
      </c>
      <c r="N61" t="s">
        <v>93</v>
      </c>
      <c r="O61">
        <v>0</v>
      </c>
      <c r="P61">
        <v>0</v>
      </c>
      <c r="Q61" s="2">
        <f t="shared" si="36"/>
        <v>4708.689655172413</v>
      </c>
      <c r="R61" s="2">
        <f t="shared" si="37"/>
        <v>4708.689655172413</v>
      </c>
      <c r="S61" s="2">
        <v>0</v>
      </c>
      <c r="T61" s="2">
        <f t="shared" si="35"/>
        <v>4708.689655172413</v>
      </c>
    </row>
    <row r="62" spans="1:20">
      <c r="B62">
        <v>5</v>
      </c>
      <c r="C62" t="s">
        <v>60</v>
      </c>
      <c r="D62">
        <v>3200</v>
      </c>
      <c r="H62">
        <v>1</v>
      </c>
      <c r="I62">
        <f t="shared" ref="I62" si="38">D62*H62</f>
        <v>3200</v>
      </c>
      <c r="J62">
        <v>0</v>
      </c>
      <c r="K62">
        <v>88</v>
      </c>
      <c r="L62">
        <v>0</v>
      </c>
      <c r="M62">
        <f t="shared" si="34"/>
        <v>3288</v>
      </c>
      <c r="O62">
        <v>0</v>
      </c>
      <c r="P62">
        <v>0</v>
      </c>
      <c r="Q62" s="2">
        <f t="shared" si="36"/>
        <v>3288</v>
      </c>
      <c r="R62" s="2">
        <f t="shared" si="37"/>
        <v>3288</v>
      </c>
      <c r="S62" s="2">
        <v>0</v>
      </c>
      <c r="T62" s="2">
        <f t="shared" si="35"/>
        <v>3288</v>
      </c>
    </row>
    <row r="63" spans="1:20">
      <c r="B63">
        <v>6</v>
      </c>
      <c r="C63" t="s">
        <v>81</v>
      </c>
      <c r="D63">
        <v>3200</v>
      </c>
      <c r="H63">
        <f>7/21.75</f>
        <v>0.32183908045977011</v>
      </c>
      <c r="I63">
        <f>D63*H63</f>
        <v>1029.8850574712644</v>
      </c>
      <c r="J63">
        <v>0</v>
      </c>
      <c r="K63">
        <f>84+3.9</f>
        <v>87.9</v>
      </c>
      <c r="L63">
        <v>0</v>
      </c>
      <c r="M63">
        <f t="shared" si="34"/>
        <v>1117.7850574712645</v>
      </c>
      <c r="O63">
        <v>0</v>
      </c>
      <c r="P63">
        <v>0</v>
      </c>
      <c r="Q63" s="2">
        <f t="shared" si="36"/>
        <v>1117.7850574712645</v>
      </c>
      <c r="R63" s="2">
        <f>M63-P63</f>
        <v>1117.7850574712645</v>
      </c>
      <c r="S63" s="2">
        <v>0</v>
      </c>
      <c r="T63" s="2">
        <f t="shared" si="35"/>
        <v>1117.7850574712645</v>
      </c>
    </row>
    <row r="64" spans="1:20">
      <c r="B64">
        <v>6</v>
      </c>
      <c r="C64" t="s">
        <v>61</v>
      </c>
      <c r="D64">
        <v>3000</v>
      </c>
      <c r="H64">
        <f>5/21.75</f>
        <v>0.22988505747126436</v>
      </c>
      <c r="I64">
        <f>D64*H64</f>
        <v>689.65517241379314</v>
      </c>
      <c r="J64">
        <v>0</v>
      </c>
      <c r="K64">
        <v>20</v>
      </c>
      <c r="L64">
        <v>0</v>
      </c>
      <c r="M64">
        <f t="shared" si="34"/>
        <v>709.65517241379314</v>
      </c>
      <c r="O64">
        <v>0</v>
      </c>
      <c r="P64">
        <v>0</v>
      </c>
      <c r="Q64" s="2">
        <f t="shared" si="36"/>
        <v>709.65517241379314</v>
      </c>
      <c r="R64" s="2">
        <f t="shared" ref="R64" si="39">M64-P64</f>
        <v>709.65517241379314</v>
      </c>
      <c r="S64" s="2">
        <v>0</v>
      </c>
      <c r="T64" s="2">
        <f t="shared" si="35"/>
        <v>709.65517241379314</v>
      </c>
    </row>
  </sheetData>
  <mergeCells count="23">
    <mergeCell ref="A32:A38"/>
    <mergeCell ref="T1:T2"/>
    <mergeCell ref="S1:S2"/>
    <mergeCell ref="H1:H2"/>
    <mergeCell ref="M1:M2"/>
    <mergeCell ref="N1:N2"/>
    <mergeCell ref="O1:O2"/>
    <mergeCell ref="P1:P2"/>
    <mergeCell ref="Q1:Q2"/>
    <mergeCell ref="R1:R2"/>
    <mergeCell ref="E1:G1"/>
    <mergeCell ref="I1:I2"/>
    <mergeCell ref="J1:J2"/>
    <mergeCell ref="K1:K2"/>
    <mergeCell ref="L1:L2"/>
    <mergeCell ref="A23:A30"/>
    <mergeCell ref="A18:A21"/>
    <mergeCell ref="D1:D2"/>
    <mergeCell ref="A3:A9"/>
    <mergeCell ref="A11:A16"/>
    <mergeCell ref="A1:A2"/>
    <mergeCell ref="B1:B2"/>
    <mergeCell ref="C1:C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workbookViewId="0">
      <pane xSplit="2" ySplit="2" topLeftCell="C58" activePane="bottomRight" state="frozenSplit"/>
      <selection pane="topRight" activeCell="C1" sqref="C1"/>
      <selection pane="bottomLeft" activeCell="A3" sqref="A3"/>
      <selection pane="bottomRight" activeCell="N70" sqref="N70"/>
    </sheetView>
  </sheetViews>
  <sheetFormatPr defaultColWidth="9" defaultRowHeight="14.4" customHeight="1"/>
  <cols>
    <col min="1" max="1" width="9" style="7"/>
    <col min="2" max="2" width="7.109375" style="12" bestFit="1" customWidth="1"/>
    <col min="3" max="3" width="9" style="3"/>
    <col min="4" max="4" width="10.88671875" style="32" customWidth="1"/>
    <col min="5" max="7" width="9" style="3"/>
    <col min="8" max="10" width="9" style="11"/>
    <col min="11" max="11" width="9" style="22"/>
    <col min="12" max="12" width="58" style="3" customWidth="1"/>
    <col min="13" max="16" width="9" style="3"/>
    <col min="17" max="17" width="9" style="42"/>
    <col min="18" max="16384" width="9" style="3"/>
  </cols>
  <sheetData>
    <row r="1" spans="1:17" ht="14.4" customHeight="1">
      <c r="A1" s="49"/>
      <c r="B1" s="57"/>
      <c r="C1" s="49" t="s">
        <v>2</v>
      </c>
      <c r="D1" s="55" t="s">
        <v>33</v>
      </c>
      <c r="E1" s="49" t="s">
        <v>5</v>
      </c>
      <c r="F1" s="49" t="s">
        <v>39</v>
      </c>
      <c r="G1" s="49" t="s">
        <v>7</v>
      </c>
      <c r="H1" s="54" t="s">
        <v>41</v>
      </c>
      <c r="I1" s="54"/>
      <c r="J1" s="54"/>
      <c r="K1" s="52" t="s">
        <v>40</v>
      </c>
      <c r="L1" s="49" t="s">
        <v>13</v>
      </c>
      <c r="M1" s="51" t="s">
        <v>87</v>
      </c>
      <c r="N1" s="51"/>
      <c r="O1" s="49"/>
    </row>
    <row r="2" spans="1:17" ht="14.4" customHeight="1" thickBot="1">
      <c r="A2" s="50"/>
      <c r="B2" s="58"/>
      <c r="C2" s="50"/>
      <c r="D2" s="56"/>
      <c r="E2" s="50"/>
      <c r="F2" s="50"/>
      <c r="G2" s="50"/>
      <c r="H2" s="13" t="s">
        <v>42</v>
      </c>
      <c r="I2" s="13" t="s">
        <v>43</v>
      </c>
      <c r="J2" s="13" t="s">
        <v>44</v>
      </c>
      <c r="K2" s="53"/>
      <c r="L2" s="50"/>
      <c r="M2" s="41" t="s">
        <v>89</v>
      </c>
      <c r="N2" s="41" t="s">
        <v>90</v>
      </c>
      <c r="O2" s="50"/>
    </row>
    <row r="3" spans="1:17" ht="14.4" customHeight="1" thickTop="1">
      <c r="A3" s="7">
        <v>201805</v>
      </c>
      <c r="B3" s="12" t="s">
        <v>45</v>
      </c>
      <c r="C3" s="6">
        <v>6000</v>
      </c>
      <c r="D3" s="32">
        <f>14/21.75</f>
        <v>0.64367816091954022</v>
      </c>
      <c r="E3" s="6">
        <v>0</v>
      </c>
      <c r="F3" s="6">
        <v>295.36</v>
      </c>
      <c r="G3" s="6">
        <f>C3*D3+E3+F3</f>
        <v>4157.4289655172415</v>
      </c>
      <c r="H3" s="4">
        <v>151</v>
      </c>
      <c r="I3" s="4">
        <v>301.06</v>
      </c>
      <c r="J3" s="4">
        <v>6.16</v>
      </c>
      <c r="K3" s="22">
        <f>G3-H3-I3-J3</f>
        <v>3699.2089655172417</v>
      </c>
    </row>
    <row r="4" spans="1:17" s="5" customFormat="1" ht="14.4" customHeight="1">
      <c r="A4" s="7"/>
      <c r="B4" s="12"/>
      <c r="C4" s="6"/>
      <c r="D4" s="32"/>
      <c r="E4" s="6"/>
      <c r="F4" s="6"/>
      <c r="G4" s="6"/>
      <c r="H4" s="4"/>
      <c r="I4" s="4"/>
      <c r="J4" s="4"/>
      <c r="K4" s="22"/>
      <c r="Q4" s="42"/>
    </row>
    <row r="5" spans="1:17" ht="14.4" customHeight="1">
      <c r="A5" s="7">
        <v>201806</v>
      </c>
      <c r="B5" s="12" t="s">
        <v>45</v>
      </c>
      <c r="C5" s="6">
        <v>6000</v>
      </c>
      <c r="D5" s="32">
        <v>1</v>
      </c>
      <c r="E5" s="6">
        <v>750</v>
      </c>
      <c r="F5" s="6">
        <v>500</v>
      </c>
      <c r="G5" s="6">
        <f>C5*D5+E5+F5</f>
        <v>7250</v>
      </c>
      <c r="H5" s="4">
        <v>151</v>
      </c>
      <c r="I5" s="4">
        <v>301.06</v>
      </c>
      <c r="J5" s="4">
        <v>224.79</v>
      </c>
      <c r="K5" s="22">
        <f>G5-H5-I5-J5</f>
        <v>6573.15</v>
      </c>
    </row>
    <row r="6" spans="1:17" s="5" customFormat="1" ht="14.4" customHeight="1">
      <c r="A6" s="7"/>
      <c r="B6" s="12"/>
      <c r="C6" s="6"/>
      <c r="D6" s="32"/>
      <c r="E6" s="6"/>
      <c r="F6" s="6"/>
      <c r="G6" s="6"/>
      <c r="H6" s="4"/>
      <c r="I6" s="4"/>
      <c r="J6" s="4"/>
      <c r="K6" s="22"/>
      <c r="Q6" s="42"/>
    </row>
    <row r="7" spans="1:17" ht="14.4" customHeight="1">
      <c r="A7" s="47">
        <v>201807</v>
      </c>
      <c r="B7" s="12" t="s">
        <v>45</v>
      </c>
      <c r="C7" s="6">
        <v>7000</v>
      </c>
      <c r="D7" s="32">
        <v>1</v>
      </c>
      <c r="E7" s="6">
        <v>0</v>
      </c>
      <c r="F7" s="6">
        <v>0</v>
      </c>
      <c r="G7" s="6">
        <f>C7*D7+E7+F7</f>
        <v>7000</v>
      </c>
      <c r="H7" s="4">
        <v>162</v>
      </c>
      <c r="I7" s="23">
        <v>328.15</v>
      </c>
      <c r="J7" s="23">
        <v>195.99</v>
      </c>
      <c r="K7" s="22">
        <f t="shared" ref="K7:K31" si="0">G7-H7-I7-J7</f>
        <v>6313.8600000000006</v>
      </c>
    </row>
    <row r="8" spans="1:17" ht="14.4" customHeight="1">
      <c r="A8" s="47"/>
      <c r="B8" s="12" t="s">
        <v>48</v>
      </c>
      <c r="C8" s="6">
        <v>6000</v>
      </c>
      <c r="D8" s="32">
        <v>1</v>
      </c>
      <c r="E8" s="6">
        <v>0</v>
      </c>
      <c r="F8" s="6">
        <v>295.36</v>
      </c>
      <c r="G8" s="6">
        <f>C8*D8+E8+F8</f>
        <v>6295.36</v>
      </c>
      <c r="H8" s="4">
        <v>162</v>
      </c>
      <c r="I8" s="23">
        <v>328.15</v>
      </c>
      <c r="J8" s="23">
        <v>125.52</v>
      </c>
      <c r="K8" s="22">
        <f t="shared" si="0"/>
        <v>5679.69</v>
      </c>
    </row>
    <row r="9" spans="1:17" ht="14.4" customHeight="1">
      <c r="A9" s="47"/>
      <c r="B9" s="12" t="s">
        <v>49</v>
      </c>
      <c r="C9" s="6">
        <v>6000</v>
      </c>
      <c r="D9" s="32">
        <f>17/21.75</f>
        <v>0.7816091954022989</v>
      </c>
      <c r="E9" s="6">
        <v>0</v>
      </c>
      <c r="F9" s="6">
        <v>175.66</v>
      </c>
      <c r="G9" s="6">
        <f>C9*D9+E9+F9</f>
        <v>4865.3151724137933</v>
      </c>
      <c r="H9" s="4">
        <v>162</v>
      </c>
      <c r="I9" s="23">
        <v>328.15</v>
      </c>
      <c r="J9" s="23">
        <v>26.25</v>
      </c>
      <c r="K9" s="22">
        <f>G9-H9-I9-J9</f>
        <v>4348.9151724137937</v>
      </c>
    </row>
    <row r="10" spans="1:17" ht="14.4" customHeight="1">
      <c r="A10" s="47"/>
      <c r="B10" s="12" t="s">
        <v>50</v>
      </c>
      <c r="C10" s="6">
        <v>6000</v>
      </c>
      <c r="D10" s="32">
        <f>15/21.75</f>
        <v>0.68965517241379315</v>
      </c>
      <c r="E10" s="6">
        <v>0</v>
      </c>
      <c r="F10" s="6">
        <f>160+203.6+12</f>
        <v>375.6</v>
      </c>
      <c r="G10" s="6">
        <f>C10*D10+E10+F10</f>
        <v>4513.5310344827594</v>
      </c>
      <c r="H10" s="4">
        <v>162</v>
      </c>
      <c r="I10" s="23">
        <v>328.15</v>
      </c>
      <c r="J10" s="23">
        <v>15.7</v>
      </c>
      <c r="K10" s="22">
        <f t="shared" si="0"/>
        <v>4007.6810344827595</v>
      </c>
    </row>
    <row r="11" spans="1:17" ht="14.4" customHeight="1">
      <c r="A11" s="47"/>
      <c r="B11" s="12" t="s">
        <v>51</v>
      </c>
      <c r="C11" s="6">
        <v>6000</v>
      </c>
      <c r="D11" s="32">
        <f>14/21.75</f>
        <v>0.64367816091954022</v>
      </c>
      <c r="E11" s="6">
        <v>0</v>
      </c>
      <c r="F11" s="6">
        <v>153.58000000000001</v>
      </c>
      <c r="G11" s="6">
        <f>C11*D11+E11+F11</f>
        <v>4015.6489655172413</v>
      </c>
      <c r="H11" s="4">
        <v>0</v>
      </c>
      <c r="I11" s="23">
        <v>0</v>
      </c>
      <c r="J11" s="23">
        <v>15.47</v>
      </c>
      <c r="K11" s="22">
        <f t="shared" si="0"/>
        <v>4000.1789655172415</v>
      </c>
    </row>
    <row r="12" spans="1:17" ht="14.4" customHeight="1">
      <c r="G12" s="8"/>
      <c r="I12" s="23"/>
      <c r="J12" s="23"/>
    </row>
    <row r="13" spans="1:17" ht="14.4" customHeight="1">
      <c r="A13" s="7">
        <v>201808</v>
      </c>
      <c r="B13" s="12" t="s">
        <v>45</v>
      </c>
      <c r="C13" s="8">
        <v>7000</v>
      </c>
      <c r="D13" s="32">
        <v>1</v>
      </c>
      <c r="E13" s="3">
        <v>1500</v>
      </c>
      <c r="F13" s="3">
        <v>0</v>
      </c>
      <c r="G13" s="8">
        <f t="shared" ref="G13:G21" si="1">C13*D13+E13+F13</f>
        <v>8500</v>
      </c>
      <c r="H13" s="4">
        <v>162</v>
      </c>
      <c r="I13" s="23">
        <v>328.15</v>
      </c>
      <c r="J13" s="23">
        <v>346.97</v>
      </c>
      <c r="K13" s="22">
        <f t="shared" si="0"/>
        <v>7662.88</v>
      </c>
    </row>
    <row r="14" spans="1:17" ht="14.4" customHeight="1">
      <c r="B14" s="12" t="s">
        <v>48</v>
      </c>
      <c r="C14" s="8">
        <v>6000</v>
      </c>
      <c r="D14" s="32">
        <v>1</v>
      </c>
      <c r="E14" s="3">
        <v>0</v>
      </c>
      <c r="F14" s="3">
        <v>0</v>
      </c>
      <c r="G14" s="8">
        <f t="shared" si="1"/>
        <v>6000</v>
      </c>
      <c r="H14" s="4">
        <v>162</v>
      </c>
      <c r="I14" s="23">
        <v>328.15</v>
      </c>
      <c r="J14" s="23">
        <v>95.99</v>
      </c>
      <c r="K14" s="22">
        <f t="shared" si="0"/>
        <v>5413.8600000000006</v>
      </c>
    </row>
    <row r="15" spans="1:17" ht="14.4" customHeight="1">
      <c r="B15" s="12" t="s">
        <v>49</v>
      </c>
      <c r="C15" s="8">
        <v>6000</v>
      </c>
      <c r="D15" s="32">
        <v>1</v>
      </c>
      <c r="E15" s="3">
        <v>0</v>
      </c>
      <c r="F15" s="3">
        <v>0</v>
      </c>
      <c r="G15" s="8">
        <f t="shared" si="1"/>
        <v>6000</v>
      </c>
      <c r="H15" s="4">
        <v>162</v>
      </c>
      <c r="I15" s="23">
        <v>328.15</v>
      </c>
      <c r="J15" s="23">
        <v>95.99</v>
      </c>
      <c r="K15" s="22">
        <f t="shared" si="0"/>
        <v>5413.8600000000006</v>
      </c>
    </row>
    <row r="16" spans="1:17" ht="14.4" customHeight="1">
      <c r="B16" s="12" t="s">
        <v>50</v>
      </c>
      <c r="C16" s="8">
        <v>6000</v>
      </c>
      <c r="D16" s="32">
        <v>1</v>
      </c>
      <c r="E16" s="3">
        <v>0</v>
      </c>
      <c r="F16" s="3">
        <v>0</v>
      </c>
      <c r="G16" s="8">
        <f t="shared" si="1"/>
        <v>6000</v>
      </c>
      <c r="H16" s="4">
        <v>162</v>
      </c>
      <c r="I16" s="23">
        <v>328.15</v>
      </c>
      <c r="J16" s="23">
        <v>95.99</v>
      </c>
      <c r="K16" s="22">
        <f t="shared" si="0"/>
        <v>5413.8600000000006</v>
      </c>
    </row>
    <row r="17" spans="1:17" s="8" customFormat="1" ht="14.4" customHeight="1">
      <c r="A17" s="9"/>
      <c r="B17" s="12" t="s">
        <v>58</v>
      </c>
      <c r="C17" s="8">
        <v>4800</v>
      </c>
      <c r="D17" s="32">
        <f>8/21.75</f>
        <v>0.36781609195402298</v>
      </c>
      <c r="E17" s="8">
        <v>0</v>
      </c>
      <c r="F17" s="8">
        <v>295.36</v>
      </c>
      <c r="G17" s="8">
        <f t="shared" si="1"/>
        <v>2060.8772413793104</v>
      </c>
      <c r="H17" s="4">
        <v>162</v>
      </c>
      <c r="I17" s="23">
        <v>328.15</v>
      </c>
      <c r="J17" s="23">
        <v>0</v>
      </c>
      <c r="K17" s="22">
        <f t="shared" si="0"/>
        <v>1570.7272413793103</v>
      </c>
      <c r="Q17" s="42"/>
    </row>
    <row r="18" spans="1:17" ht="14.4" customHeight="1">
      <c r="B18" s="12" t="s">
        <v>56</v>
      </c>
      <c r="C18" s="3">
        <v>3500</v>
      </c>
      <c r="D18" s="32">
        <f>8/21.75</f>
        <v>0.36781609195402298</v>
      </c>
      <c r="E18" s="3">
        <v>0</v>
      </c>
      <c r="F18" s="3">
        <v>391.66</v>
      </c>
      <c r="G18" s="8">
        <f t="shared" si="1"/>
        <v>1679.0163218390805</v>
      </c>
      <c r="H18" s="4">
        <v>162</v>
      </c>
      <c r="I18" s="23">
        <v>328.15</v>
      </c>
      <c r="J18" s="23">
        <v>0</v>
      </c>
      <c r="K18" s="22">
        <f t="shared" si="0"/>
        <v>1188.8663218390807</v>
      </c>
      <c r="N18" s="33"/>
    </row>
    <row r="19" spans="1:17" ht="14.4" customHeight="1">
      <c r="B19" s="12" t="s">
        <v>57</v>
      </c>
      <c r="C19" s="3">
        <v>6000</v>
      </c>
      <c r="D19" s="32">
        <f>5/21.75</f>
        <v>0.22988505747126436</v>
      </c>
      <c r="E19" s="3">
        <v>0</v>
      </c>
      <c r="F19" s="3">
        <v>295.36</v>
      </c>
      <c r="G19" s="8">
        <f t="shared" si="1"/>
        <v>1674.6703448275862</v>
      </c>
      <c r="H19" s="4">
        <v>162</v>
      </c>
      <c r="I19" s="23">
        <v>328.15</v>
      </c>
      <c r="J19" s="23">
        <v>0</v>
      </c>
      <c r="K19" s="22">
        <f t="shared" si="0"/>
        <v>1184.5203448275861</v>
      </c>
      <c r="N19" s="33"/>
    </row>
    <row r="20" spans="1:17" s="15" customFormat="1" ht="14.4" customHeight="1">
      <c r="A20" s="14"/>
      <c r="B20" s="16" t="s">
        <v>66</v>
      </c>
      <c r="C20" s="15">
        <v>10000</v>
      </c>
      <c r="D20" s="32">
        <f>21/23</f>
        <v>0.91304347826086951</v>
      </c>
      <c r="E20" s="15">
        <v>0</v>
      </c>
      <c r="F20" s="15">
        <v>0</v>
      </c>
      <c r="G20" s="15">
        <f t="shared" si="1"/>
        <v>9130.434782608696</v>
      </c>
      <c r="H20" s="4">
        <v>162</v>
      </c>
      <c r="I20" s="23">
        <v>328.15</v>
      </c>
      <c r="J20" s="23">
        <v>473.06</v>
      </c>
      <c r="K20" s="22">
        <f t="shared" si="0"/>
        <v>8167.2247826086959</v>
      </c>
      <c r="N20" s="33"/>
      <c r="Q20" s="42"/>
    </row>
    <row r="21" spans="1:17" ht="14.4" customHeight="1">
      <c r="B21" s="29" t="s">
        <v>74</v>
      </c>
      <c r="C21" s="3">
        <v>10000</v>
      </c>
      <c r="D21" s="32">
        <f>22/23</f>
        <v>0.95652173913043481</v>
      </c>
      <c r="E21" s="15">
        <v>0</v>
      </c>
      <c r="F21" s="3">
        <v>0</v>
      </c>
      <c r="G21" s="15">
        <f t="shared" si="1"/>
        <v>9565.217391304348</v>
      </c>
      <c r="H21" s="4">
        <v>162</v>
      </c>
      <c r="I21" s="23">
        <v>328.15</v>
      </c>
      <c r="J21" s="23">
        <v>560.01</v>
      </c>
      <c r="K21" s="22">
        <f t="shared" si="0"/>
        <v>8515.0573913043481</v>
      </c>
      <c r="N21" s="33"/>
    </row>
    <row r="22" spans="1:17" s="15" customFormat="1" ht="14.4" customHeight="1">
      <c r="A22" s="14"/>
      <c r="B22" s="16"/>
      <c r="D22" s="32"/>
      <c r="G22" s="17"/>
      <c r="H22" s="11"/>
      <c r="I22" s="11"/>
      <c r="J22" s="11"/>
      <c r="K22" s="22"/>
      <c r="N22" s="33"/>
      <c r="Q22" s="42"/>
    </row>
    <row r="23" spans="1:17" ht="14.4" customHeight="1">
      <c r="A23" s="7">
        <v>201809</v>
      </c>
      <c r="B23" s="12" t="s">
        <v>45</v>
      </c>
      <c r="C23" s="17">
        <v>7000</v>
      </c>
      <c r="D23" s="32">
        <v>1</v>
      </c>
      <c r="E23" s="3">
        <v>750</v>
      </c>
      <c r="F23" s="3">
        <v>0</v>
      </c>
      <c r="G23" s="17">
        <f t="shared" ref="G23:G31" si="2">C23*D23+E23+F23</f>
        <v>7750</v>
      </c>
      <c r="H23" s="4">
        <v>162</v>
      </c>
      <c r="I23" s="23">
        <v>328.15</v>
      </c>
      <c r="J23" s="23">
        <v>67.8</v>
      </c>
      <c r="K23" s="22">
        <f t="shared" si="0"/>
        <v>7192.05</v>
      </c>
      <c r="L23" s="22"/>
      <c r="N23" s="33"/>
    </row>
    <row r="24" spans="1:17" ht="14.4" customHeight="1">
      <c r="B24" s="12" t="s">
        <v>48</v>
      </c>
      <c r="C24" s="17">
        <v>6000</v>
      </c>
      <c r="D24" s="32">
        <v>1</v>
      </c>
      <c r="E24" s="3">
        <v>0</v>
      </c>
      <c r="F24" s="17">
        <v>0</v>
      </c>
      <c r="G24" s="17">
        <f t="shared" si="2"/>
        <v>6000</v>
      </c>
      <c r="H24" s="4">
        <v>162</v>
      </c>
      <c r="I24" s="23">
        <v>328.15</v>
      </c>
      <c r="J24" s="23">
        <v>15.3</v>
      </c>
      <c r="K24" s="22">
        <f t="shared" si="0"/>
        <v>5494.55</v>
      </c>
      <c r="L24" s="22"/>
      <c r="N24" s="33"/>
    </row>
    <row r="25" spans="1:17" ht="14.4" customHeight="1">
      <c r="B25" s="12" t="s">
        <v>49</v>
      </c>
      <c r="C25" s="17">
        <v>6000</v>
      </c>
      <c r="D25" s="32">
        <f>21.25/21.75</f>
        <v>0.97701149425287359</v>
      </c>
      <c r="E25" s="17">
        <v>0</v>
      </c>
      <c r="F25" s="17">
        <v>0</v>
      </c>
      <c r="G25" s="17">
        <f t="shared" si="2"/>
        <v>5862.0689655172418</v>
      </c>
      <c r="H25" s="4">
        <v>162</v>
      </c>
      <c r="I25" s="23">
        <v>328.15</v>
      </c>
      <c r="J25" s="23">
        <v>11.16</v>
      </c>
      <c r="K25" s="22">
        <f t="shared" si="0"/>
        <v>5360.7589655172424</v>
      </c>
      <c r="L25" s="22"/>
      <c r="N25" s="33"/>
    </row>
    <row r="26" spans="1:17" ht="14.4" customHeight="1">
      <c r="B26" s="12" t="s">
        <v>50</v>
      </c>
      <c r="C26" s="17">
        <v>6000</v>
      </c>
      <c r="D26" s="32">
        <v>1</v>
      </c>
      <c r="E26" s="17">
        <v>0</v>
      </c>
      <c r="F26" s="17">
        <v>0</v>
      </c>
      <c r="G26" s="17">
        <f t="shared" si="2"/>
        <v>6000</v>
      </c>
      <c r="H26" s="4">
        <v>162</v>
      </c>
      <c r="I26" s="23">
        <v>328.15</v>
      </c>
      <c r="J26" s="23">
        <v>15.3</v>
      </c>
      <c r="K26" s="22">
        <f t="shared" si="0"/>
        <v>5494.55</v>
      </c>
      <c r="L26" s="22"/>
      <c r="N26" s="33"/>
    </row>
    <row r="27" spans="1:17" ht="14.4" customHeight="1">
      <c r="B27" s="12" t="s">
        <v>58</v>
      </c>
      <c r="C27" s="17">
        <v>4800</v>
      </c>
      <c r="D27" s="32">
        <v>1</v>
      </c>
      <c r="E27" s="17">
        <v>0</v>
      </c>
      <c r="F27" s="17">
        <v>0</v>
      </c>
      <c r="G27" s="17">
        <f t="shared" si="2"/>
        <v>4800</v>
      </c>
      <c r="H27" s="4">
        <v>162</v>
      </c>
      <c r="I27" s="4">
        <v>328.15</v>
      </c>
      <c r="J27" s="11">
        <v>0</v>
      </c>
      <c r="K27" s="22">
        <f t="shared" si="0"/>
        <v>4309.8500000000004</v>
      </c>
      <c r="L27" s="22"/>
      <c r="N27" s="33"/>
    </row>
    <row r="28" spans="1:17" ht="14.4" customHeight="1">
      <c r="B28" s="12" t="s">
        <v>56</v>
      </c>
      <c r="C28" s="17">
        <v>3500</v>
      </c>
      <c r="D28" s="32">
        <v>1</v>
      </c>
      <c r="E28" s="17">
        <v>0</v>
      </c>
      <c r="F28" s="17">
        <v>175.6</v>
      </c>
      <c r="G28" s="17">
        <f t="shared" si="2"/>
        <v>3675.6</v>
      </c>
      <c r="H28" s="4">
        <v>162</v>
      </c>
      <c r="I28" s="23">
        <v>328.15</v>
      </c>
      <c r="J28" s="23">
        <v>0</v>
      </c>
      <c r="K28" s="22">
        <f t="shared" si="0"/>
        <v>3185.45</v>
      </c>
      <c r="L28" s="22"/>
      <c r="N28" s="33"/>
    </row>
    <row r="29" spans="1:17" ht="14.4" customHeight="1">
      <c r="B29" s="12" t="s">
        <v>57</v>
      </c>
      <c r="C29" s="17">
        <v>6000</v>
      </c>
      <c r="D29" s="32">
        <v>1</v>
      </c>
      <c r="E29" s="17">
        <v>0</v>
      </c>
      <c r="F29" s="17">
        <v>0</v>
      </c>
      <c r="G29" s="17">
        <f t="shared" si="2"/>
        <v>6000</v>
      </c>
      <c r="H29" s="4">
        <v>162</v>
      </c>
      <c r="I29" s="23">
        <v>328.15</v>
      </c>
      <c r="J29" s="23">
        <v>15.3</v>
      </c>
      <c r="K29" s="22">
        <f t="shared" si="0"/>
        <v>5494.55</v>
      </c>
      <c r="L29" s="22"/>
      <c r="N29" s="33"/>
    </row>
    <row r="30" spans="1:17" ht="14.4" customHeight="1">
      <c r="B30" s="21" t="s">
        <v>67</v>
      </c>
      <c r="C30" s="17">
        <v>8000</v>
      </c>
      <c r="D30" s="32">
        <f>20.75/21.75</f>
        <v>0.95402298850574707</v>
      </c>
      <c r="E30" s="22">
        <v>-2000</v>
      </c>
      <c r="F30" s="22">
        <v>0</v>
      </c>
      <c r="G30" s="20">
        <f t="shared" si="2"/>
        <v>5632.1839080459768</v>
      </c>
      <c r="H30" s="4">
        <v>162</v>
      </c>
      <c r="I30" s="4">
        <v>328.15</v>
      </c>
      <c r="J30" s="25">
        <v>4.26</v>
      </c>
      <c r="K30" s="22">
        <f t="shared" si="0"/>
        <v>5137.7739080459769</v>
      </c>
      <c r="N30" s="33"/>
    </row>
    <row r="31" spans="1:17" ht="14.4" customHeight="1">
      <c r="B31" s="21" t="s">
        <v>74</v>
      </c>
      <c r="C31" s="17">
        <v>10000</v>
      </c>
      <c r="D31" s="32">
        <f>20.75/21.75</f>
        <v>0.95402298850574707</v>
      </c>
      <c r="E31" s="22">
        <v>0</v>
      </c>
      <c r="F31" s="22">
        <v>0</v>
      </c>
      <c r="G31" s="20">
        <f t="shared" si="2"/>
        <v>9540.2298850574716</v>
      </c>
      <c r="H31" s="4">
        <v>162</v>
      </c>
      <c r="I31" s="4">
        <v>328.15</v>
      </c>
      <c r="J31" s="11">
        <v>195.01</v>
      </c>
      <c r="K31" s="22">
        <f t="shared" si="0"/>
        <v>8855.0698850574718</v>
      </c>
      <c r="L31" s="22"/>
    </row>
    <row r="32" spans="1:17" ht="14.4" customHeight="1">
      <c r="N32" s="31"/>
    </row>
    <row r="33" spans="1:14" ht="14.4" customHeight="1">
      <c r="A33" s="27">
        <v>201810</v>
      </c>
      <c r="B33" s="28" t="s">
        <v>45</v>
      </c>
      <c r="C33" s="26">
        <v>7000</v>
      </c>
      <c r="D33" s="32">
        <v>1</v>
      </c>
      <c r="E33" s="26">
        <v>0</v>
      </c>
      <c r="F33" s="26">
        <v>180</v>
      </c>
      <c r="G33" s="26">
        <f t="shared" ref="G33:G41" si="3">C33*D33+E33+F33</f>
        <v>7180</v>
      </c>
      <c r="H33" s="4">
        <v>162</v>
      </c>
      <c r="I33" s="23">
        <v>328.15</v>
      </c>
      <c r="J33" s="23">
        <v>50.7</v>
      </c>
      <c r="K33" s="22">
        <f t="shared" ref="K33:K45" si="4">G33-H33-I33-J33</f>
        <v>6639.1500000000005</v>
      </c>
      <c r="L33" s="31"/>
      <c r="N33" s="31"/>
    </row>
    <row r="34" spans="1:14" ht="14.4" customHeight="1">
      <c r="A34" s="27"/>
      <c r="B34" s="28" t="s">
        <v>48</v>
      </c>
      <c r="C34" s="26">
        <v>6000</v>
      </c>
      <c r="D34" s="32">
        <v>1</v>
      </c>
      <c r="E34" s="26">
        <v>0</v>
      </c>
      <c r="F34" s="26">
        <v>180</v>
      </c>
      <c r="G34" s="26">
        <f t="shared" si="3"/>
        <v>6180</v>
      </c>
      <c r="H34" s="4">
        <v>162</v>
      </c>
      <c r="I34" s="23">
        <v>328.15</v>
      </c>
      <c r="J34" s="23">
        <v>20.7</v>
      </c>
      <c r="K34" s="22">
        <f t="shared" si="4"/>
        <v>5669.1500000000005</v>
      </c>
      <c r="L34" s="31"/>
      <c r="N34" s="31"/>
    </row>
    <row r="35" spans="1:14" ht="14.4" customHeight="1">
      <c r="A35" s="27"/>
      <c r="B35" s="28" t="s">
        <v>49</v>
      </c>
      <c r="C35" s="26">
        <v>6000</v>
      </c>
      <c r="D35" s="32">
        <v>1</v>
      </c>
      <c r="E35" s="26">
        <v>0</v>
      </c>
      <c r="F35" s="26">
        <v>180</v>
      </c>
      <c r="G35" s="26">
        <f t="shared" si="3"/>
        <v>6180</v>
      </c>
      <c r="H35" s="4">
        <v>162</v>
      </c>
      <c r="I35" s="23">
        <v>328.15</v>
      </c>
      <c r="J35" s="23">
        <v>20.7</v>
      </c>
      <c r="K35" s="22">
        <f t="shared" si="4"/>
        <v>5669.1500000000005</v>
      </c>
      <c r="L35" s="31"/>
      <c r="N35" s="31"/>
    </row>
    <row r="36" spans="1:14" ht="14.4" customHeight="1">
      <c r="A36" s="27"/>
      <c r="B36" s="28" t="s">
        <v>50</v>
      </c>
      <c r="C36" s="26">
        <v>6000</v>
      </c>
      <c r="D36" s="32">
        <v>1</v>
      </c>
      <c r="E36" s="26">
        <v>0</v>
      </c>
      <c r="F36" s="26">
        <v>180</v>
      </c>
      <c r="G36" s="26">
        <f t="shared" si="3"/>
        <v>6180</v>
      </c>
      <c r="H36" s="4">
        <v>162</v>
      </c>
      <c r="I36" s="23">
        <v>328.15</v>
      </c>
      <c r="J36" s="23">
        <v>20.7</v>
      </c>
      <c r="K36" s="22">
        <f t="shared" si="4"/>
        <v>5669.1500000000005</v>
      </c>
      <c r="L36" s="31"/>
      <c r="N36" s="31"/>
    </row>
    <row r="37" spans="1:14" ht="14.4" customHeight="1">
      <c r="A37" s="27"/>
      <c r="B37" s="28" t="s">
        <v>58</v>
      </c>
      <c r="C37" s="26">
        <v>4800</v>
      </c>
      <c r="D37" s="32">
        <f>21.25/21.75</f>
        <v>0.97701149425287359</v>
      </c>
      <c r="E37" s="26">
        <v>0</v>
      </c>
      <c r="F37" s="26">
        <v>0</v>
      </c>
      <c r="G37" s="26">
        <f t="shared" si="3"/>
        <v>4689.6551724137935</v>
      </c>
      <c r="H37" s="4">
        <v>162</v>
      </c>
      <c r="I37" s="23">
        <v>328.15</v>
      </c>
      <c r="J37" s="23">
        <v>0</v>
      </c>
      <c r="K37" s="22">
        <f t="shared" si="4"/>
        <v>4199.5051724137938</v>
      </c>
      <c r="L37" s="31"/>
      <c r="N37" s="31"/>
    </row>
    <row r="38" spans="1:14" ht="14.4" customHeight="1">
      <c r="A38" s="27"/>
      <c r="B38" s="28" t="s">
        <v>56</v>
      </c>
      <c r="C38" s="26">
        <v>4200</v>
      </c>
      <c r="D38" s="32">
        <v>1</v>
      </c>
      <c r="E38" s="26">
        <v>0</v>
      </c>
      <c r="F38" s="26">
        <f>178.57+180</f>
        <v>358.57</v>
      </c>
      <c r="G38" s="26">
        <f t="shared" si="3"/>
        <v>4558.57</v>
      </c>
      <c r="H38" s="4">
        <v>162</v>
      </c>
      <c r="I38" s="23">
        <v>328.15</v>
      </c>
      <c r="J38" s="23">
        <v>0</v>
      </c>
      <c r="K38" s="22">
        <f t="shared" si="4"/>
        <v>4068.4199999999996</v>
      </c>
      <c r="L38" s="31"/>
      <c r="N38" s="31"/>
    </row>
    <row r="39" spans="1:14" ht="14.4" customHeight="1">
      <c r="A39" s="27"/>
      <c r="B39" s="28" t="s">
        <v>57</v>
      </c>
      <c r="C39" s="26">
        <v>6000</v>
      </c>
      <c r="D39" s="32">
        <f>24.75/21.75</f>
        <v>1.1379310344827587</v>
      </c>
      <c r="E39" s="26">
        <f>972-899.91-328.15</f>
        <v>-256.05999999999995</v>
      </c>
      <c r="F39" s="26">
        <v>0</v>
      </c>
      <c r="G39" s="26">
        <f t="shared" si="3"/>
        <v>6571.5262068965512</v>
      </c>
      <c r="H39" s="4">
        <v>162</v>
      </c>
      <c r="I39" s="23">
        <v>328.15</v>
      </c>
      <c r="J39" s="23">
        <v>32.44</v>
      </c>
      <c r="K39" s="22">
        <f t="shared" si="4"/>
        <v>6048.936206896552</v>
      </c>
      <c r="L39" s="31"/>
      <c r="N39" s="31"/>
    </row>
    <row r="40" spans="1:14" ht="14.4" customHeight="1">
      <c r="A40" s="27"/>
      <c r="B40" s="28" t="s">
        <v>67</v>
      </c>
      <c r="C40" s="26">
        <v>8000</v>
      </c>
      <c r="D40" s="32">
        <v>1</v>
      </c>
      <c r="E40" s="26">
        <v>0</v>
      </c>
      <c r="F40" s="26">
        <v>0</v>
      </c>
      <c r="G40" s="26">
        <f t="shared" si="3"/>
        <v>8000</v>
      </c>
      <c r="H40" s="4">
        <v>162</v>
      </c>
      <c r="I40" s="4">
        <v>328.15</v>
      </c>
      <c r="J40" s="30">
        <v>75.3</v>
      </c>
      <c r="K40" s="22">
        <f t="shared" si="4"/>
        <v>7434.55</v>
      </c>
      <c r="L40" s="31"/>
      <c r="N40" s="31"/>
    </row>
    <row r="41" spans="1:14" ht="14.4" customHeight="1">
      <c r="A41" s="27"/>
      <c r="B41" s="28" t="s">
        <v>74</v>
      </c>
      <c r="C41" s="26">
        <v>10000</v>
      </c>
      <c r="D41" s="32">
        <v>1</v>
      </c>
      <c r="E41" s="26">
        <v>0</v>
      </c>
      <c r="F41" s="26">
        <v>0</v>
      </c>
      <c r="G41" s="26">
        <f t="shared" si="3"/>
        <v>10000</v>
      </c>
      <c r="H41" s="4">
        <v>162</v>
      </c>
      <c r="I41" s="4">
        <v>328.15</v>
      </c>
      <c r="J41" s="23">
        <v>240.99</v>
      </c>
      <c r="K41" s="22">
        <f t="shared" si="4"/>
        <v>9268.86</v>
      </c>
      <c r="L41" s="31"/>
      <c r="N41" s="31"/>
    </row>
    <row r="42" spans="1:14" ht="14.4" customHeight="1">
      <c r="A42" s="27"/>
      <c r="B42" s="28" t="s">
        <v>75</v>
      </c>
      <c r="C42" s="26">
        <v>6000</v>
      </c>
      <c r="D42" s="32">
        <f>13/21.75</f>
        <v>0.5977011494252874</v>
      </c>
      <c r="E42" s="26">
        <v>0</v>
      </c>
      <c r="F42" s="26">
        <v>0</v>
      </c>
      <c r="G42" s="26">
        <f>C42*D42+E42+F42</f>
        <v>3586.2068965517246</v>
      </c>
      <c r="H42" s="4">
        <v>162</v>
      </c>
      <c r="I42" s="4">
        <v>328.15</v>
      </c>
      <c r="J42" s="23">
        <v>0</v>
      </c>
      <c r="K42" s="22">
        <f t="shared" si="4"/>
        <v>3096.0568965517245</v>
      </c>
      <c r="L42" s="31"/>
      <c r="N42" s="31"/>
    </row>
    <row r="43" spans="1:14" ht="14.4" customHeight="1">
      <c r="A43" s="27"/>
      <c r="B43" s="28" t="s">
        <v>76</v>
      </c>
      <c r="C43" s="26">
        <v>6000</v>
      </c>
      <c r="D43" s="32">
        <f t="shared" ref="D43" si="5">13/21.75</f>
        <v>0.5977011494252874</v>
      </c>
      <c r="E43" s="26">
        <v>0</v>
      </c>
      <c r="F43" s="26">
        <v>0</v>
      </c>
      <c r="G43" s="26">
        <f t="shared" ref="G43:G45" si="6">C43*D43+E43+F43</f>
        <v>3586.2068965517246</v>
      </c>
      <c r="H43" s="4">
        <v>162</v>
      </c>
      <c r="I43" s="4">
        <v>328.15</v>
      </c>
      <c r="J43" s="23">
        <v>0</v>
      </c>
      <c r="K43" s="22">
        <f t="shared" si="4"/>
        <v>3096.0568965517245</v>
      </c>
      <c r="L43" s="31"/>
      <c r="N43" s="31"/>
    </row>
    <row r="44" spans="1:14" ht="14.4" customHeight="1">
      <c r="A44" s="27"/>
      <c r="B44" s="28" t="s">
        <v>77</v>
      </c>
      <c r="C44" s="26">
        <v>6000</v>
      </c>
      <c r="D44" s="32">
        <f>11/21.75</f>
        <v>0.50574712643678166</v>
      </c>
      <c r="E44" s="26">
        <v>0</v>
      </c>
      <c r="F44" s="26">
        <v>0</v>
      </c>
      <c r="G44" s="26">
        <f t="shared" si="6"/>
        <v>3034.4827586206898</v>
      </c>
      <c r="H44" s="4">
        <v>162</v>
      </c>
      <c r="I44" s="4">
        <v>328.15</v>
      </c>
      <c r="J44" s="23">
        <v>0</v>
      </c>
      <c r="K44" s="22">
        <f t="shared" si="4"/>
        <v>2544.3327586206897</v>
      </c>
      <c r="L44" s="31"/>
      <c r="N44" s="31"/>
    </row>
    <row r="45" spans="1:14" ht="14.4" customHeight="1">
      <c r="A45" s="27"/>
      <c r="B45" s="28" t="s">
        <v>78</v>
      </c>
      <c r="C45" s="26">
        <v>6000</v>
      </c>
      <c r="D45" s="32">
        <f>8/21.75</f>
        <v>0.36781609195402298</v>
      </c>
      <c r="E45" s="26">
        <v>0</v>
      </c>
      <c r="F45" s="26">
        <v>0</v>
      </c>
      <c r="G45" s="26">
        <f t="shared" si="6"/>
        <v>2206.8965517241377</v>
      </c>
      <c r="H45" s="4">
        <v>162</v>
      </c>
      <c r="I45" s="4">
        <v>328.15</v>
      </c>
      <c r="J45" s="23">
        <v>0</v>
      </c>
      <c r="K45" s="22">
        <f t="shared" si="4"/>
        <v>1716.7465517241376</v>
      </c>
      <c r="L45" s="31"/>
    </row>
    <row r="47" spans="1:14" ht="14.4" customHeight="1">
      <c r="A47" s="35">
        <v>201811</v>
      </c>
      <c r="B47" s="36" t="s">
        <v>45</v>
      </c>
      <c r="C47" s="34">
        <v>7000</v>
      </c>
      <c r="D47" s="32">
        <v>1</v>
      </c>
      <c r="E47" s="34">
        <v>1500</v>
      </c>
      <c r="F47" s="34">
        <v>220</v>
      </c>
      <c r="G47" s="34">
        <f t="shared" ref="G47:G54" si="7">C47*D47+E47+F47</f>
        <v>8720</v>
      </c>
      <c r="H47" s="23">
        <v>162</v>
      </c>
      <c r="I47" s="23">
        <v>328.15</v>
      </c>
      <c r="J47" s="23">
        <v>112.99</v>
      </c>
      <c r="K47" s="22">
        <f t="shared" ref="K47:K63" si="8">G47-H47-I47-J47</f>
        <v>8116.8600000000006</v>
      </c>
      <c r="L47" s="40" t="s">
        <v>88</v>
      </c>
      <c r="M47" s="3">
        <v>899.91</v>
      </c>
      <c r="N47" s="3">
        <v>162</v>
      </c>
    </row>
    <row r="48" spans="1:14" ht="14.4" customHeight="1">
      <c r="A48" s="35"/>
      <c r="B48" s="36" t="s">
        <v>48</v>
      </c>
      <c r="C48" s="34">
        <v>6000</v>
      </c>
      <c r="D48" s="32">
        <v>1</v>
      </c>
      <c r="E48" s="34">
        <v>0</v>
      </c>
      <c r="F48" s="39">
        <v>220</v>
      </c>
      <c r="G48" s="34">
        <f t="shared" si="7"/>
        <v>6220</v>
      </c>
      <c r="H48" s="23">
        <v>162</v>
      </c>
      <c r="I48" s="23">
        <v>328.15</v>
      </c>
      <c r="J48" s="23">
        <v>21.9</v>
      </c>
      <c r="K48" s="22">
        <f t="shared" si="8"/>
        <v>5707.9500000000007</v>
      </c>
      <c r="L48" s="40"/>
      <c r="M48" s="39">
        <v>899.91</v>
      </c>
      <c r="N48" s="39">
        <v>162</v>
      </c>
    </row>
    <row r="49" spans="1:15" ht="14.4" customHeight="1">
      <c r="A49" s="35"/>
      <c r="B49" s="36" t="s">
        <v>49</v>
      </c>
      <c r="C49" s="34">
        <v>6000</v>
      </c>
      <c r="D49" s="32">
        <v>1</v>
      </c>
      <c r="E49" s="34">
        <v>0</v>
      </c>
      <c r="F49" s="39">
        <v>220</v>
      </c>
      <c r="G49" s="34">
        <f t="shared" si="7"/>
        <v>6220</v>
      </c>
      <c r="H49" s="23">
        <v>162</v>
      </c>
      <c r="I49" s="23">
        <v>328.15</v>
      </c>
      <c r="J49" s="23">
        <v>21.9</v>
      </c>
      <c r="K49" s="22">
        <f t="shared" si="8"/>
        <v>5707.9500000000007</v>
      </c>
      <c r="M49" s="39">
        <v>899.91</v>
      </c>
      <c r="N49" s="39">
        <v>162</v>
      </c>
    </row>
    <row r="50" spans="1:15" ht="14.4" customHeight="1">
      <c r="A50" s="35"/>
      <c r="B50" s="36" t="s">
        <v>50</v>
      </c>
      <c r="C50" s="34">
        <v>6000</v>
      </c>
      <c r="D50" s="32">
        <v>1</v>
      </c>
      <c r="E50" s="34">
        <v>0</v>
      </c>
      <c r="F50" s="39">
        <v>220</v>
      </c>
      <c r="G50" s="34">
        <f t="shared" si="7"/>
        <v>6220</v>
      </c>
      <c r="H50" s="23">
        <v>162</v>
      </c>
      <c r="I50" s="23">
        <v>328.15</v>
      </c>
      <c r="J50" s="23">
        <v>21.9</v>
      </c>
      <c r="K50" s="22">
        <f t="shared" si="8"/>
        <v>5707.9500000000007</v>
      </c>
      <c r="M50" s="39">
        <v>899.91</v>
      </c>
      <c r="N50" s="39">
        <v>162</v>
      </c>
    </row>
    <row r="51" spans="1:15" ht="14.4" customHeight="1">
      <c r="A51" s="35"/>
      <c r="B51" s="36" t="s">
        <v>58</v>
      </c>
      <c r="C51" s="34">
        <v>4800</v>
      </c>
      <c r="D51" s="32">
        <f>15/22</f>
        <v>0.68181818181818177</v>
      </c>
      <c r="E51" s="34">
        <f>7/22*6000</f>
        <v>1909.090909090909</v>
      </c>
      <c r="F51" s="39">
        <f>7*10</f>
        <v>70</v>
      </c>
      <c r="G51" s="34">
        <f t="shared" si="7"/>
        <v>5251.818181818182</v>
      </c>
      <c r="H51" s="23">
        <v>162</v>
      </c>
      <c r="I51" s="23">
        <v>328.15</v>
      </c>
      <c r="J51" s="23">
        <v>0</v>
      </c>
      <c r="K51" s="22">
        <f t="shared" si="8"/>
        <v>4761.6681818181823</v>
      </c>
      <c r="L51" s="39" t="s">
        <v>91</v>
      </c>
      <c r="M51" s="39">
        <v>899.91</v>
      </c>
      <c r="N51" s="39">
        <v>162</v>
      </c>
    </row>
    <row r="52" spans="1:15" ht="14.4" customHeight="1">
      <c r="A52" s="35"/>
      <c r="B52" s="36" t="s">
        <v>56</v>
      </c>
      <c r="C52" s="34">
        <v>4200</v>
      </c>
      <c r="D52" s="32">
        <v>1</v>
      </c>
      <c r="E52" s="34">
        <v>0</v>
      </c>
      <c r="F52" s="34">
        <f>67.71+220+178</f>
        <v>465.71</v>
      </c>
      <c r="G52" s="34">
        <f t="shared" si="7"/>
        <v>4665.71</v>
      </c>
      <c r="H52" s="23">
        <v>162</v>
      </c>
      <c r="I52" s="23">
        <v>328.15</v>
      </c>
      <c r="J52" s="23">
        <v>0</v>
      </c>
      <c r="K52" s="22">
        <f t="shared" si="8"/>
        <v>4175.5600000000004</v>
      </c>
      <c r="M52" s="39">
        <v>899.91</v>
      </c>
      <c r="N52" s="39">
        <v>162</v>
      </c>
    </row>
    <row r="53" spans="1:15" ht="14.4" customHeight="1">
      <c r="A53" s="35"/>
      <c r="B53" s="36" t="s">
        <v>67</v>
      </c>
      <c r="C53" s="34">
        <v>8000</v>
      </c>
      <c r="D53" s="32">
        <v>1</v>
      </c>
      <c r="E53" s="34">
        <v>0</v>
      </c>
      <c r="F53" s="34">
        <v>0</v>
      </c>
      <c r="G53" s="34">
        <f t="shared" si="7"/>
        <v>8000</v>
      </c>
      <c r="H53" s="23">
        <v>162</v>
      </c>
      <c r="I53" s="23">
        <v>328.15</v>
      </c>
      <c r="J53" s="30">
        <v>75.3</v>
      </c>
      <c r="K53" s="22">
        <f t="shared" si="8"/>
        <v>7434.55</v>
      </c>
      <c r="M53" s="39">
        <v>899.91</v>
      </c>
      <c r="N53" s="39">
        <v>162</v>
      </c>
    </row>
    <row r="54" spans="1:15" ht="14.4" customHeight="1">
      <c r="A54" s="35"/>
      <c r="B54" s="36" t="s">
        <v>74</v>
      </c>
      <c r="C54" s="34">
        <v>10000</v>
      </c>
      <c r="D54" s="32">
        <v>1</v>
      </c>
      <c r="E54" s="34">
        <v>0</v>
      </c>
      <c r="F54" s="34">
        <v>0</v>
      </c>
      <c r="G54" s="34">
        <f t="shared" si="7"/>
        <v>10000</v>
      </c>
      <c r="H54" s="23">
        <v>162</v>
      </c>
      <c r="I54" s="23">
        <v>328.15</v>
      </c>
      <c r="J54" s="23">
        <v>240.99</v>
      </c>
      <c r="K54" s="22">
        <f t="shared" si="8"/>
        <v>9268.86</v>
      </c>
      <c r="M54" s="39">
        <v>899.91</v>
      </c>
      <c r="N54" s="39">
        <v>162</v>
      </c>
    </row>
    <row r="55" spans="1:15" ht="14.4" customHeight="1">
      <c r="A55" s="35"/>
      <c r="B55" s="36" t="s">
        <v>75</v>
      </c>
      <c r="C55" s="34">
        <v>6000</v>
      </c>
      <c r="D55" s="32">
        <v>1</v>
      </c>
      <c r="E55" s="34">
        <v>0</v>
      </c>
      <c r="F55" s="34">
        <v>0</v>
      </c>
      <c r="G55" s="34">
        <f>C55*D55+E55+F55</f>
        <v>6000</v>
      </c>
      <c r="H55" s="23">
        <v>162</v>
      </c>
      <c r="I55" s="23">
        <v>328.15</v>
      </c>
      <c r="J55" s="23">
        <v>15.3</v>
      </c>
      <c r="K55" s="22">
        <f t="shared" si="8"/>
        <v>5494.55</v>
      </c>
      <c r="M55" s="39">
        <v>899.91</v>
      </c>
      <c r="N55" s="39">
        <v>162</v>
      </c>
    </row>
    <row r="56" spans="1:15" ht="14.4" customHeight="1">
      <c r="A56" s="35"/>
      <c r="B56" s="36" t="s">
        <v>76</v>
      </c>
      <c r="C56" s="34">
        <v>6000</v>
      </c>
      <c r="D56" s="32">
        <v>1</v>
      </c>
      <c r="E56" s="34">
        <v>0</v>
      </c>
      <c r="F56" s="34">
        <v>0</v>
      </c>
      <c r="G56" s="34">
        <f t="shared" ref="G56:G63" si="9">C56*D56+E56+F56</f>
        <v>6000</v>
      </c>
      <c r="H56" s="23">
        <v>162</v>
      </c>
      <c r="I56" s="23">
        <v>328.15</v>
      </c>
      <c r="J56" s="23">
        <v>15.3</v>
      </c>
      <c r="K56" s="22">
        <f t="shared" si="8"/>
        <v>5494.55</v>
      </c>
      <c r="M56" s="39">
        <v>899.91</v>
      </c>
      <c r="N56" s="39">
        <v>162</v>
      </c>
    </row>
    <row r="57" spans="1:15" ht="14.4" customHeight="1">
      <c r="A57" s="35"/>
      <c r="B57" s="36" t="s">
        <v>77</v>
      </c>
      <c r="C57" s="34">
        <v>6000</v>
      </c>
      <c r="D57" s="32">
        <f>16.5/21.75</f>
        <v>0.75862068965517238</v>
      </c>
      <c r="E57" s="34">
        <v>0</v>
      </c>
      <c r="F57" s="34">
        <v>0</v>
      </c>
      <c r="G57" s="34">
        <f t="shared" si="9"/>
        <v>4551.7241379310344</v>
      </c>
      <c r="H57" s="23">
        <v>162</v>
      </c>
      <c r="I57" s="23">
        <v>328.15</v>
      </c>
      <c r="J57" s="23">
        <v>0</v>
      </c>
      <c r="K57" s="22">
        <f t="shared" si="8"/>
        <v>4061.5741379310343</v>
      </c>
      <c r="M57" s="39">
        <v>899.91</v>
      </c>
      <c r="N57" s="39">
        <v>162</v>
      </c>
    </row>
    <row r="58" spans="1:15" ht="14.4" customHeight="1">
      <c r="A58" s="35"/>
      <c r="B58" s="36" t="s">
        <v>78</v>
      </c>
      <c r="C58" s="34">
        <v>6000</v>
      </c>
      <c r="D58" s="32">
        <v>1</v>
      </c>
      <c r="E58" s="34">
        <v>0</v>
      </c>
      <c r="F58" s="34">
        <v>0</v>
      </c>
      <c r="G58" s="34">
        <f t="shared" si="9"/>
        <v>6000</v>
      </c>
      <c r="H58" s="23">
        <v>162</v>
      </c>
      <c r="I58" s="23">
        <v>328.15</v>
      </c>
      <c r="J58" s="23">
        <v>15.3</v>
      </c>
      <c r="K58" s="22">
        <f t="shared" si="8"/>
        <v>5494.55</v>
      </c>
      <c r="M58" s="39">
        <v>899.91</v>
      </c>
      <c r="N58" s="39">
        <v>162</v>
      </c>
    </row>
    <row r="59" spans="1:15" ht="14.4" customHeight="1">
      <c r="B59" s="12" t="s">
        <v>82</v>
      </c>
      <c r="C59" s="34">
        <v>7500</v>
      </c>
      <c r="D59" s="32">
        <v>1</v>
      </c>
      <c r="E59" s="34">
        <v>0</v>
      </c>
      <c r="F59" s="34">
        <v>0</v>
      </c>
      <c r="G59" s="34">
        <f t="shared" si="9"/>
        <v>7500</v>
      </c>
      <c r="H59" s="23">
        <v>162</v>
      </c>
      <c r="I59" s="23">
        <v>328.15</v>
      </c>
      <c r="J59" s="23">
        <v>60.3</v>
      </c>
      <c r="K59" s="22">
        <f t="shared" si="8"/>
        <v>6949.55</v>
      </c>
      <c r="M59" s="39">
        <v>899.91</v>
      </c>
      <c r="N59" s="39">
        <v>162</v>
      </c>
    </row>
    <row r="60" spans="1:15" ht="14.4" customHeight="1">
      <c r="B60" s="12" t="s">
        <v>85</v>
      </c>
      <c r="C60" s="34">
        <v>6000</v>
      </c>
      <c r="D60" s="32">
        <f>15/21.75</f>
        <v>0.68965517241379315</v>
      </c>
      <c r="E60" s="34">
        <v>0</v>
      </c>
      <c r="F60" s="34">
        <v>0</v>
      </c>
      <c r="G60" s="34">
        <f t="shared" si="9"/>
        <v>4137.9310344827591</v>
      </c>
      <c r="H60" s="23">
        <v>162</v>
      </c>
      <c r="I60" s="23">
        <v>328.15</v>
      </c>
      <c r="J60" s="23">
        <v>0</v>
      </c>
      <c r="K60" s="22">
        <f t="shared" si="8"/>
        <v>3647.781034482759</v>
      </c>
      <c r="M60" s="39">
        <v>899.91</v>
      </c>
      <c r="N60" s="39">
        <v>162</v>
      </c>
    </row>
    <row r="61" spans="1:15" ht="14.4" customHeight="1">
      <c r="B61" s="12" t="s">
        <v>83</v>
      </c>
      <c r="C61" s="34">
        <v>6000</v>
      </c>
      <c r="D61" s="32">
        <f t="shared" ref="D61:D62" si="10">15/21.75</f>
        <v>0.68965517241379315</v>
      </c>
      <c r="E61" s="34">
        <v>0</v>
      </c>
      <c r="F61" s="34">
        <v>0</v>
      </c>
      <c r="G61" s="34">
        <f t="shared" si="9"/>
        <v>4137.9310344827591</v>
      </c>
      <c r="H61" s="23">
        <v>162</v>
      </c>
      <c r="I61" s="23">
        <v>328.15</v>
      </c>
      <c r="J61" s="23">
        <v>0</v>
      </c>
      <c r="K61" s="22">
        <f t="shared" si="8"/>
        <v>3647.781034482759</v>
      </c>
      <c r="M61" s="39">
        <v>899.91</v>
      </c>
      <c r="N61" s="39">
        <v>162</v>
      </c>
    </row>
    <row r="62" spans="1:15" ht="14.4" customHeight="1">
      <c r="B62" s="12" t="s">
        <v>86</v>
      </c>
      <c r="C62" s="34">
        <v>9000</v>
      </c>
      <c r="D62" s="32">
        <f t="shared" si="10"/>
        <v>0.68965517241379315</v>
      </c>
      <c r="E62" s="34">
        <v>0</v>
      </c>
      <c r="F62" s="34">
        <v>0</v>
      </c>
      <c r="G62" s="34">
        <f t="shared" si="9"/>
        <v>6206.8965517241386</v>
      </c>
      <c r="H62" s="23">
        <v>0</v>
      </c>
      <c r="I62" s="23">
        <v>328.15</v>
      </c>
      <c r="J62" s="23">
        <v>26.36</v>
      </c>
      <c r="K62" s="22">
        <f t="shared" si="8"/>
        <v>5852.3865517241393</v>
      </c>
      <c r="M62" s="39">
        <v>899.91</v>
      </c>
      <c r="N62" s="39">
        <v>162</v>
      </c>
    </row>
    <row r="63" spans="1:15" ht="14.4" customHeight="1">
      <c r="B63" s="12" t="s">
        <v>84</v>
      </c>
      <c r="C63" s="34">
        <v>6000</v>
      </c>
      <c r="D63" s="32">
        <f>13/21.75</f>
        <v>0.5977011494252874</v>
      </c>
      <c r="E63" s="34">
        <v>0</v>
      </c>
      <c r="F63" s="34">
        <v>0</v>
      </c>
      <c r="G63" s="34">
        <f t="shared" si="9"/>
        <v>3586.2068965517246</v>
      </c>
      <c r="H63" s="23">
        <v>162</v>
      </c>
      <c r="I63" s="23">
        <v>328.15</v>
      </c>
      <c r="J63" s="23">
        <v>0</v>
      </c>
      <c r="K63" s="22">
        <f t="shared" si="8"/>
        <v>3096.0568965517245</v>
      </c>
      <c r="M63" s="39">
        <v>899.91</v>
      </c>
      <c r="N63" s="39">
        <v>162</v>
      </c>
    </row>
    <row r="64" spans="1:15" ht="14.4" customHeight="1">
      <c r="G64" s="3">
        <f>SUM(G47:G63)</f>
        <v>103418.21783699059</v>
      </c>
      <c r="K64" s="22">
        <f>SUM(K47:K63)</f>
        <v>94620.127836990621</v>
      </c>
      <c r="M64" s="3">
        <f>SUM(M47:M63)</f>
        <v>15298.47</v>
      </c>
      <c r="N64" s="3">
        <f>SUM(N47:N63)</f>
        <v>2754</v>
      </c>
      <c r="O64" s="3">
        <f>SUM(M64:N64,G64)</f>
        <v>121470.68783699059</v>
      </c>
    </row>
    <row r="65" spans="1:14" ht="14.4" customHeight="1">
      <c r="A65" s="44">
        <v>201812</v>
      </c>
      <c r="B65" s="45" t="s">
        <v>45</v>
      </c>
      <c r="C65" s="43">
        <v>7000</v>
      </c>
      <c r="D65" s="32">
        <v>1</v>
      </c>
      <c r="E65" s="43">
        <v>1500</v>
      </c>
      <c r="F65" s="43">
        <v>220</v>
      </c>
      <c r="G65" s="43">
        <f t="shared" ref="G65:G72" si="11">C65*D65+E65+F65</f>
        <v>8720</v>
      </c>
      <c r="H65" s="23">
        <v>162</v>
      </c>
      <c r="I65" s="23">
        <v>328.15</v>
      </c>
      <c r="J65" s="23">
        <v>112.99</v>
      </c>
      <c r="K65" s="22">
        <f t="shared" ref="K65:K81" si="12">G65-H65-I65-J65</f>
        <v>8116.8600000000006</v>
      </c>
      <c r="L65" s="40" t="s">
        <v>88</v>
      </c>
      <c r="M65" s="43">
        <v>899.91</v>
      </c>
      <c r="N65" s="43">
        <v>162</v>
      </c>
    </row>
    <row r="66" spans="1:14" ht="14.4" customHeight="1">
      <c r="A66" s="44"/>
      <c r="B66" s="45" t="s">
        <v>48</v>
      </c>
      <c r="C66" s="43">
        <v>6000</v>
      </c>
      <c r="D66" s="32">
        <v>1</v>
      </c>
      <c r="E66" s="43">
        <v>0</v>
      </c>
      <c r="F66" s="43">
        <v>220</v>
      </c>
      <c r="G66" s="43">
        <f t="shared" si="11"/>
        <v>6220</v>
      </c>
      <c r="H66" s="23">
        <v>162</v>
      </c>
      <c r="I66" s="23">
        <v>328.15</v>
      </c>
      <c r="J66" s="23">
        <v>21.9</v>
      </c>
      <c r="K66" s="22">
        <f t="shared" si="12"/>
        <v>5707.9500000000007</v>
      </c>
      <c r="L66" s="40"/>
      <c r="M66" s="43">
        <v>899.91</v>
      </c>
      <c r="N66" s="43">
        <v>162</v>
      </c>
    </row>
    <row r="67" spans="1:14" ht="14.4" customHeight="1">
      <c r="A67" s="44"/>
      <c r="B67" s="45" t="s">
        <v>49</v>
      </c>
      <c r="C67" s="43">
        <v>6000</v>
      </c>
      <c r="D67" s="32">
        <v>1</v>
      </c>
      <c r="E67" s="43">
        <v>0</v>
      </c>
      <c r="F67" s="43">
        <v>220</v>
      </c>
      <c r="G67" s="43">
        <f t="shared" si="11"/>
        <v>6220</v>
      </c>
      <c r="H67" s="23">
        <v>162</v>
      </c>
      <c r="I67" s="23">
        <v>328.15</v>
      </c>
      <c r="J67" s="23">
        <v>21.9</v>
      </c>
      <c r="K67" s="22">
        <f t="shared" si="12"/>
        <v>5707.9500000000007</v>
      </c>
      <c r="L67" s="43"/>
      <c r="M67" s="43">
        <v>899.91</v>
      </c>
      <c r="N67" s="43">
        <v>162</v>
      </c>
    </row>
    <row r="68" spans="1:14" ht="14.4" customHeight="1">
      <c r="A68" s="44"/>
      <c r="B68" s="45" t="s">
        <v>50</v>
      </c>
      <c r="C68" s="43">
        <v>6000</v>
      </c>
      <c r="D68" s="32">
        <v>1</v>
      </c>
      <c r="E68" s="43">
        <v>0</v>
      </c>
      <c r="F68" s="43">
        <v>220</v>
      </c>
      <c r="G68" s="43">
        <f t="shared" si="11"/>
        <v>6220</v>
      </c>
      <c r="H68" s="23">
        <v>162</v>
      </c>
      <c r="I68" s="23">
        <v>328.15</v>
      </c>
      <c r="J68" s="23">
        <v>21.9</v>
      </c>
      <c r="K68" s="22">
        <f t="shared" si="12"/>
        <v>5707.9500000000007</v>
      </c>
      <c r="L68" s="43"/>
      <c r="M68" s="43">
        <v>899.91</v>
      </c>
      <c r="N68" s="43">
        <v>162</v>
      </c>
    </row>
    <row r="69" spans="1:14" ht="14.4" customHeight="1">
      <c r="A69" s="44"/>
      <c r="B69" s="45" t="s">
        <v>58</v>
      </c>
      <c r="C69" s="43">
        <v>4800</v>
      </c>
      <c r="D69" s="32">
        <f>15/22</f>
        <v>0.68181818181818177</v>
      </c>
      <c r="E69" s="43">
        <f>7/22*6000</f>
        <v>1909.090909090909</v>
      </c>
      <c r="F69" s="43">
        <f>7*10</f>
        <v>70</v>
      </c>
      <c r="G69" s="43">
        <f t="shared" si="11"/>
        <v>5251.818181818182</v>
      </c>
      <c r="H69" s="23">
        <v>162</v>
      </c>
      <c r="I69" s="23">
        <v>328.15</v>
      </c>
      <c r="J69" s="23">
        <v>0</v>
      </c>
      <c r="K69" s="22">
        <f t="shared" si="12"/>
        <v>4761.6681818181823</v>
      </c>
      <c r="L69" s="43" t="s">
        <v>91</v>
      </c>
      <c r="M69" s="43">
        <v>899.91</v>
      </c>
      <c r="N69" s="43">
        <v>162</v>
      </c>
    </row>
    <row r="70" spans="1:14" ht="14.4" customHeight="1">
      <c r="A70" s="44"/>
      <c r="B70" s="45" t="s">
        <v>56</v>
      </c>
      <c r="C70" s="43">
        <v>4200</v>
      </c>
      <c r="D70" s="32">
        <v>1</v>
      </c>
      <c r="E70" s="43">
        <v>0</v>
      </c>
      <c r="F70" s="43">
        <f>67.71+220+178</f>
        <v>465.71</v>
      </c>
      <c r="G70" s="43">
        <f t="shared" si="11"/>
        <v>4665.71</v>
      </c>
      <c r="H70" s="23">
        <v>162</v>
      </c>
      <c r="I70" s="23">
        <v>328.15</v>
      </c>
      <c r="J70" s="23">
        <v>0</v>
      </c>
      <c r="K70" s="22">
        <f t="shared" si="12"/>
        <v>4175.5600000000004</v>
      </c>
      <c r="L70" s="43"/>
      <c r="M70" s="43">
        <v>899.91</v>
      </c>
      <c r="N70" s="43">
        <v>162</v>
      </c>
    </row>
    <row r="71" spans="1:14" ht="14.4" customHeight="1">
      <c r="A71" s="44"/>
      <c r="B71" s="45" t="s">
        <v>67</v>
      </c>
      <c r="C71" s="43">
        <v>8000</v>
      </c>
      <c r="D71" s="32">
        <v>1</v>
      </c>
      <c r="E71" s="43">
        <v>0</v>
      </c>
      <c r="F71" s="43">
        <v>0</v>
      </c>
      <c r="G71" s="43">
        <f t="shared" si="11"/>
        <v>8000</v>
      </c>
      <c r="H71" s="23">
        <v>162</v>
      </c>
      <c r="I71" s="23">
        <v>328.15</v>
      </c>
      <c r="J71" s="30">
        <v>75.3</v>
      </c>
      <c r="K71" s="22">
        <f t="shared" si="12"/>
        <v>7434.55</v>
      </c>
      <c r="L71" s="43"/>
      <c r="M71" s="43">
        <v>899.91</v>
      </c>
      <c r="N71" s="43">
        <v>162</v>
      </c>
    </row>
    <row r="72" spans="1:14" ht="14.4" customHeight="1">
      <c r="A72" s="44"/>
      <c r="B72" s="45" t="s">
        <v>74</v>
      </c>
      <c r="C72" s="43">
        <v>10000</v>
      </c>
      <c r="D72" s="32">
        <v>1</v>
      </c>
      <c r="E72" s="43">
        <v>0</v>
      </c>
      <c r="F72" s="43">
        <v>0</v>
      </c>
      <c r="G72" s="43">
        <f t="shared" si="11"/>
        <v>10000</v>
      </c>
      <c r="H72" s="23">
        <v>162</v>
      </c>
      <c r="I72" s="23">
        <v>328.15</v>
      </c>
      <c r="J72" s="23">
        <v>240.99</v>
      </c>
      <c r="K72" s="22">
        <f t="shared" si="12"/>
        <v>9268.86</v>
      </c>
      <c r="L72" s="43"/>
      <c r="M72" s="43">
        <v>899.91</v>
      </c>
      <c r="N72" s="43">
        <v>162</v>
      </c>
    </row>
    <row r="73" spans="1:14" ht="14.4" customHeight="1">
      <c r="A73" s="44"/>
      <c r="B73" s="45" t="s">
        <v>75</v>
      </c>
      <c r="C73" s="43">
        <v>6000</v>
      </c>
      <c r="D73" s="32">
        <v>1</v>
      </c>
      <c r="E73" s="43">
        <v>0</v>
      </c>
      <c r="F73" s="43">
        <v>0</v>
      </c>
      <c r="G73" s="43">
        <f>C73*D73+E73+F73</f>
        <v>6000</v>
      </c>
      <c r="H73" s="23">
        <v>162</v>
      </c>
      <c r="I73" s="23">
        <v>328.15</v>
      </c>
      <c r="J73" s="23">
        <v>15.3</v>
      </c>
      <c r="K73" s="22">
        <f t="shared" si="12"/>
        <v>5494.55</v>
      </c>
      <c r="L73" s="43"/>
      <c r="M73" s="43">
        <v>899.91</v>
      </c>
      <c r="N73" s="43">
        <v>162</v>
      </c>
    </row>
    <row r="74" spans="1:14" ht="14.4" customHeight="1">
      <c r="A74" s="44"/>
      <c r="B74" s="45" t="s">
        <v>76</v>
      </c>
      <c r="C74" s="43">
        <v>6000</v>
      </c>
      <c r="D74" s="32">
        <v>1</v>
      </c>
      <c r="E74" s="43">
        <v>0</v>
      </c>
      <c r="F74" s="43">
        <v>0</v>
      </c>
      <c r="G74" s="43">
        <f t="shared" ref="G74:G81" si="13">C74*D74+E74+F74</f>
        <v>6000</v>
      </c>
      <c r="H74" s="23">
        <v>162</v>
      </c>
      <c r="I74" s="23">
        <v>328.15</v>
      </c>
      <c r="J74" s="23">
        <v>15.3</v>
      </c>
      <c r="K74" s="22">
        <f t="shared" si="12"/>
        <v>5494.55</v>
      </c>
      <c r="L74" s="43"/>
      <c r="M74" s="43">
        <v>899.91</v>
      </c>
      <c r="N74" s="43">
        <v>162</v>
      </c>
    </row>
    <row r="75" spans="1:14" ht="14.4" customHeight="1">
      <c r="A75" s="44"/>
      <c r="B75" s="45" t="s">
        <v>77</v>
      </c>
      <c r="C75" s="43">
        <v>6000</v>
      </c>
      <c r="D75" s="32">
        <f>16.5/21.75</f>
        <v>0.75862068965517238</v>
      </c>
      <c r="E75" s="43">
        <v>0</v>
      </c>
      <c r="F75" s="43">
        <v>0</v>
      </c>
      <c r="G75" s="43">
        <f t="shared" si="13"/>
        <v>4551.7241379310344</v>
      </c>
      <c r="H75" s="23">
        <v>162</v>
      </c>
      <c r="I75" s="23">
        <v>328.15</v>
      </c>
      <c r="J75" s="23">
        <v>0</v>
      </c>
      <c r="K75" s="22">
        <f t="shared" si="12"/>
        <v>4061.5741379310343</v>
      </c>
      <c r="L75" s="43"/>
      <c r="M75" s="43">
        <v>899.91</v>
      </c>
      <c r="N75" s="43">
        <v>162</v>
      </c>
    </row>
    <row r="76" spans="1:14" ht="14.4" customHeight="1">
      <c r="A76" s="44"/>
      <c r="B76" s="45" t="s">
        <v>78</v>
      </c>
      <c r="C76" s="43">
        <v>6000</v>
      </c>
      <c r="D76" s="32">
        <v>1</v>
      </c>
      <c r="E76" s="43">
        <v>0</v>
      </c>
      <c r="F76" s="43">
        <v>0</v>
      </c>
      <c r="G76" s="43">
        <f t="shared" si="13"/>
        <v>6000</v>
      </c>
      <c r="H76" s="23">
        <v>162</v>
      </c>
      <c r="I76" s="23">
        <v>328.15</v>
      </c>
      <c r="J76" s="23">
        <v>15.3</v>
      </c>
      <c r="K76" s="22">
        <f t="shared" si="12"/>
        <v>5494.55</v>
      </c>
      <c r="L76" s="43"/>
      <c r="M76" s="43">
        <v>899.91</v>
      </c>
      <c r="N76" s="43">
        <v>162</v>
      </c>
    </row>
    <row r="77" spans="1:14" ht="14.4" customHeight="1">
      <c r="A77" s="44"/>
      <c r="B77" s="45" t="s">
        <v>82</v>
      </c>
      <c r="C77" s="43">
        <v>7500</v>
      </c>
      <c r="D77" s="32">
        <v>1</v>
      </c>
      <c r="E77" s="43">
        <v>0</v>
      </c>
      <c r="F77" s="43">
        <v>0</v>
      </c>
      <c r="G77" s="43">
        <f t="shared" si="13"/>
        <v>7500</v>
      </c>
      <c r="H77" s="23">
        <v>162</v>
      </c>
      <c r="I77" s="23">
        <v>328.15</v>
      </c>
      <c r="J77" s="23">
        <v>60.3</v>
      </c>
      <c r="K77" s="22">
        <f t="shared" si="12"/>
        <v>6949.55</v>
      </c>
      <c r="L77" s="43"/>
      <c r="M77" s="43">
        <v>899.91</v>
      </c>
      <c r="N77" s="43">
        <v>162</v>
      </c>
    </row>
    <row r="78" spans="1:14" ht="14.4" customHeight="1">
      <c r="A78" s="44"/>
      <c r="B78" s="45" t="s">
        <v>85</v>
      </c>
      <c r="C78" s="43">
        <v>6000</v>
      </c>
      <c r="D78" s="32">
        <f>15/21.75</f>
        <v>0.68965517241379315</v>
      </c>
      <c r="E78" s="43">
        <v>0</v>
      </c>
      <c r="F78" s="43">
        <v>0</v>
      </c>
      <c r="G78" s="43">
        <f t="shared" si="13"/>
        <v>4137.9310344827591</v>
      </c>
      <c r="H78" s="23">
        <v>162</v>
      </c>
      <c r="I78" s="23">
        <v>328.15</v>
      </c>
      <c r="J78" s="23">
        <v>0</v>
      </c>
      <c r="K78" s="22">
        <f t="shared" si="12"/>
        <v>3647.781034482759</v>
      </c>
      <c r="L78" s="43"/>
      <c r="M78" s="43">
        <v>899.91</v>
      </c>
      <c r="N78" s="43">
        <v>162</v>
      </c>
    </row>
    <row r="79" spans="1:14" ht="14.4" customHeight="1">
      <c r="A79" s="44"/>
      <c r="B79" s="45" t="s">
        <v>83</v>
      </c>
      <c r="C79" s="43">
        <v>6000</v>
      </c>
      <c r="D79" s="32">
        <f t="shared" ref="D79:D80" si="14">15/21.75</f>
        <v>0.68965517241379315</v>
      </c>
      <c r="E79" s="43">
        <v>0</v>
      </c>
      <c r="F79" s="43">
        <v>0</v>
      </c>
      <c r="G79" s="43">
        <f t="shared" si="13"/>
        <v>4137.9310344827591</v>
      </c>
      <c r="H79" s="23">
        <v>162</v>
      </c>
      <c r="I79" s="23">
        <v>328.15</v>
      </c>
      <c r="J79" s="23">
        <v>0</v>
      </c>
      <c r="K79" s="22">
        <f t="shared" si="12"/>
        <v>3647.781034482759</v>
      </c>
      <c r="L79" s="43"/>
      <c r="M79" s="43">
        <v>899.91</v>
      </c>
      <c r="N79" s="43">
        <v>162</v>
      </c>
    </row>
    <row r="80" spans="1:14" ht="14.4" customHeight="1">
      <c r="A80" s="44"/>
      <c r="B80" s="45" t="s">
        <v>86</v>
      </c>
      <c r="C80" s="43">
        <v>9000</v>
      </c>
      <c r="D80" s="32">
        <f t="shared" si="14"/>
        <v>0.68965517241379315</v>
      </c>
      <c r="E80" s="43">
        <v>0</v>
      </c>
      <c r="F80" s="43">
        <v>0</v>
      </c>
      <c r="G80" s="43">
        <f t="shared" si="13"/>
        <v>6206.8965517241386</v>
      </c>
      <c r="H80" s="23">
        <v>0</v>
      </c>
      <c r="I80" s="23">
        <v>328.15</v>
      </c>
      <c r="J80" s="23">
        <v>26.36</v>
      </c>
      <c r="K80" s="22">
        <f t="shared" si="12"/>
        <v>5852.3865517241393</v>
      </c>
      <c r="L80" s="43"/>
      <c r="M80" s="43">
        <v>899.91</v>
      </c>
      <c r="N80" s="43">
        <v>162</v>
      </c>
    </row>
    <row r="81" spans="1:14" ht="14.4" customHeight="1">
      <c r="A81" s="44"/>
      <c r="B81" s="45" t="s">
        <v>84</v>
      </c>
      <c r="C81" s="43">
        <v>6000</v>
      </c>
      <c r="D81" s="32">
        <f>13/21.75</f>
        <v>0.5977011494252874</v>
      </c>
      <c r="E81" s="43">
        <v>0</v>
      </c>
      <c r="F81" s="43">
        <v>0</v>
      </c>
      <c r="G81" s="43">
        <f t="shared" si="13"/>
        <v>3586.2068965517246</v>
      </c>
      <c r="H81" s="23">
        <v>162</v>
      </c>
      <c r="I81" s="23">
        <v>328.15</v>
      </c>
      <c r="J81" s="23">
        <v>0</v>
      </c>
      <c r="K81" s="22">
        <f t="shared" si="12"/>
        <v>3096.0568965517245</v>
      </c>
      <c r="L81" s="43" t="s">
        <v>94</v>
      </c>
      <c r="M81" s="43">
        <v>899.91</v>
      </c>
      <c r="N81" s="43">
        <v>162</v>
      </c>
    </row>
  </sheetData>
  <mergeCells count="13">
    <mergeCell ref="O1:O2"/>
    <mergeCell ref="M1:N1"/>
    <mergeCell ref="L1:L2"/>
    <mergeCell ref="K1:K2"/>
    <mergeCell ref="A7:A11"/>
    <mergeCell ref="H1:J1"/>
    <mergeCell ref="D1:D2"/>
    <mergeCell ref="G1:G2"/>
    <mergeCell ref="B1:B2"/>
    <mergeCell ref="C1:C2"/>
    <mergeCell ref="E1:E2"/>
    <mergeCell ref="F1:F2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opLeftCell="B1" workbookViewId="0">
      <selection activeCell="L3" sqref="L3:L4"/>
    </sheetView>
  </sheetViews>
  <sheetFormatPr defaultRowHeight="14.4"/>
  <cols>
    <col min="1" max="2" width="8.88671875" style="17"/>
    <col min="3" max="13" width="8.88671875" style="22"/>
    <col min="14" max="14" width="8.88671875" style="17"/>
  </cols>
  <sheetData>
    <row r="1" spans="1:14">
      <c r="A1" s="49"/>
      <c r="B1" s="57"/>
      <c r="C1" s="52" t="s">
        <v>2</v>
      </c>
      <c r="D1" s="52" t="s">
        <v>73</v>
      </c>
      <c r="E1" s="52" t="s">
        <v>72</v>
      </c>
      <c r="F1" s="52" t="s">
        <v>33</v>
      </c>
      <c r="G1" s="52" t="s">
        <v>5</v>
      </c>
      <c r="H1" s="52" t="s">
        <v>39</v>
      </c>
      <c r="I1" s="52" t="s">
        <v>7</v>
      </c>
      <c r="J1" s="59" t="s">
        <v>41</v>
      </c>
      <c r="K1" s="59"/>
      <c r="L1" s="59"/>
      <c r="M1" s="52" t="s">
        <v>40</v>
      </c>
      <c r="N1" s="49" t="s">
        <v>13</v>
      </c>
    </row>
    <row r="2" spans="1:14" ht="15" thickBot="1">
      <c r="A2" s="50"/>
      <c r="B2" s="58"/>
      <c r="C2" s="53"/>
      <c r="D2" s="53"/>
      <c r="E2" s="53"/>
      <c r="F2" s="53"/>
      <c r="G2" s="53"/>
      <c r="H2" s="53"/>
      <c r="I2" s="53"/>
      <c r="J2" s="24" t="s">
        <v>42</v>
      </c>
      <c r="K2" s="24" t="s">
        <v>43</v>
      </c>
      <c r="L2" s="24" t="s">
        <v>44</v>
      </c>
      <c r="M2" s="53"/>
      <c r="N2" s="50"/>
    </row>
    <row r="3" spans="1:14" ht="15" thickTop="1">
      <c r="A3" s="18">
        <v>201809</v>
      </c>
      <c r="B3" s="19" t="s">
        <v>67</v>
      </c>
      <c r="C3" s="22">
        <v>4000</v>
      </c>
      <c r="D3" s="22">
        <v>5000</v>
      </c>
      <c r="E3" s="22">
        <v>0.8</v>
      </c>
      <c r="F3" s="22">
        <f>20.75/21.75</f>
        <v>0.95402298850574707</v>
      </c>
      <c r="G3" s="22">
        <v>-2000</v>
      </c>
      <c r="H3" s="22">
        <v>0</v>
      </c>
      <c r="I3" s="22">
        <f>(C3+D3*E3)*F3+G3+H3</f>
        <v>5632.1839080459768</v>
      </c>
      <c r="J3" s="25">
        <v>162</v>
      </c>
      <c r="K3" s="25">
        <v>328.15</v>
      </c>
      <c r="L3" s="25">
        <v>4.26</v>
      </c>
      <c r="M3" s="22">
        <f>I3-J3-K3-L3</f>
        <v>5137.7739080459769</v>
      </c>
      <c r="N3" s="22"/>
    </row>
    <row r="4" spans="1:14">
      <c r="B4" s="19" t="s">
        <v>68</v>
      </c>
      <c r="C4" s="22">
        <v>6000</v>
      </c>
      <c r="D4" s="22">
        <v>5000</v>
      </c>
      <c r="E4" s="22">
        <v>0.8</v>
      </c>
      <c r="F4" s="22">
        <f>20.75/21.75</f>
        <v>0.95402298850574707</v>
      </c>
      <c r="G4" s="22">
        <v>0</v>
      </c>
      <c r="H4" s="22">
        <v>0</v>
      </c>
      <c r="I4" s="22">
        <f>(C4+D4*E4)*F4+G4+H4</f>
        <v>9540.2298850574716</v>
      </c>
      <c r="J4" s="25">
        <v>162</v>
      </c>
      <c r="K4" s="25">
        <v>328.15</v>
      </c>
      <c r="L4" s="11">
        <v>195.01</v>
      </c>
      <c r="M4" s="22">
        <f>I4-J4-K4-L4</f>
        <v>8855.0698850574718</v>
      </c>
      <c r="N4" s="22"/>
    </row>
  </sheetData>
  <mergeCells count="12">
    <mergeCell ref="I1:I2"/>
    <mergeCell ref="J1:L1"/>
    <mergeCell ref="M1:M2"/>
    <mergeCell ref="N1:N2"/>
    <mergeCell ref="D1:D2"/>
    <mergeCell ref="E1:E2"/>
    <mergeCell ref="H1:H2"/>
    <mergeCell ref="A1:A2"/>
    <mergeCell ref="B1:B2"/>
    <mergeCell ref="C1:C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月工资统计-滁州</vt:lpstr>
      <vt:lpstr>月工资统计-南京</vt:lpstr>
      <vt:lpstr>实验室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2018-05-07T01:19:23Z</dcterms:created>
  <dcterms:modified xsi:type="dcterms:W3CDTF">2018-12-25T08:14:32Z</dcterms:modified>
</cp:coreProperties>
</file>