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4240" windowHeight="12795" firstSheet="2" activeTab="2"/>
  </bookViews>
  <sheets>
    <sheet name="Budget Plan" sheetId="7" r:id="rId1"/>
    <sheet name="Budget Plan (2)" sheetId="8" r:id="rId2"/>
    <sheet name="3rd Revised" sheetId="10" r:id="rId3"/>
    <sheet name="Sheet2" sheetId="2" r:id="rId4"/>
    <sheet name="Sheet3" sheetId="3" r:id="rId5"/>
  </sheets>
  <definedNames>
    <definedName name="_xlnm.Print_Titles" localSheetId="2">'3rd Revised'!$1:$5</definedName>
    <definedName name="_xlnm.Print_Titles" localSheetId="0">'Budget Plan'!$1:$5</definedName>
    <definedName name="_xlnm.Print_Titles" localSheetId="1">'Budget Plan (2)'!$1:$5</definedName>
    <definedName name="rate" localSheetId="2">#REF!</definedName>
    <definedName name="rate" localSheetId="0">#REF!</definedName>
    <definedName name="rate" localSheetId="1">#REF!</definedName>
    <definedName name="rate">#REF!</definedName>
    <definedName name="Rate2007">42.5</definedName>
  </definedNames>
  <calcPr calcId="125725"/>
  <fileRecoveryPr autoRecover="0"/>
</workbook>
</file>

<file path=xl/calcChain.xml><?xml version="1.0" encoding="utf-8"?>
<calcChain xmlns="http://schemas.openxmlformats.org/spreadsheetml/2006/main">
  <c r="F72" i="10"/>
  <c r="F71"/>
  <c r="F70"/>
  <c r="F68"/>
  <c r="F60"/>
  <c r="H57"/>
  <c r="F30"/>
  <c r="F29"/>
  <c r="F21"/>
  <c r="F20"/>
  <c r="C80"/>
  <c r="E60"/>
  <c r="E40"/>
  <c r="D40"/>
  <c r="E30"/>
  <c r="D30"/>
  <c r="E29"/>
  <c r="D29"/>
  <c r="E24"/>
  <c r="D24"/>
  <c r="E23"/>
  <c r="D23"/>
  <c r="E22"/>
  <c r="D22"/>
  <c r="E21"/>
  <c r="E20"/>
  <c r="E19"/>
  <c r="D19"/>
  <c r="E18"/>
  <c r="D18"/>
  <c r="E17"/>
  <c r="D17"/>
  <c r="E8"/>
  <c r="D8"/>
  <c r="E7"/>
  <c r="D7"/>
  <c r="S26" l="1"/>
  <c r="S27"/>
  <c r="O26"/>
  <c r="O27"/>
  <c r="K26"/>
  <c r="K27"/>
  <c r="G26"/>
  <c r="G27"/>
  <c r="T77"/>
  <c r="U77" s="1"/>
  <c r="S73"/>
  <c r="S74"/>
  <c r="S75"/>
  <c r="S76"/>
  <c r="S77"/>
  <c r="O73"/>
  <c r="O74"/>
  <c r="O75"/>
  <c r="O76"/>
  <c r="O77"/>
  <c r="K75"/>
  <c r="K76"/>
  <c r="K77"/>
  <c r="G76"/>
  <c r="G77"/>
  <c r="Q56"/>
  <c r="R56"/>
  <c r="P56"/>
  <c r="M56"/>
  <c r="N56"/>
  <c r="L56"/>
  <c r="I56"/>
  <c r="J56"/>
  <c r="H56"/>
  <c r="E56"/>
  <c r="F56"/>
  <c r="D56"/>
  <c r="C56"/>
  <c r="C6"/>
  <c r="S25"/>
  <c r="O25"/>
  <c r="K25"/>
  <c r="G25"/>
  <c r="K74"/>
  <c r="G74"/>
  <c r="K73"/>
  <c r="G73"/>
  <c r="T73" s="1"/>
  <c r="U73" s="1"/>
  <c r="S72"/>
  <c r="O72"/>
  <c r="K72"/>
  <c r="G72"/>
  <c r="S71"/>
  <c r="O71"/>
  <c r="K71"/>
  <c r="G71"/>
  <c r="T27" l="1"/>
  <c r="U27" s="1"/>
  <c r="T26"/>
  <c r="U26" s="1"/>
  <c r="T76"/>
  <c r="U76" s="1"/>
  <c r="T74"/>
  <c r="U74" s="1"/>
  <c r="T25"/>
  <c r="U25" s="1"/>
  <c r="T71"/>
  <c r="U71" s="1"/>
  <c r="T72"/>
  <c r="U72" s="1"/>
  <c r="S44"/>
  <c r="O44"/>
  <c r="K44"/>
  <c r="G44"/>
  <c r="R30"/>
  <c r="Q30"/>
  <c r="P30"/>
  <c r="N30"/>
  <c r="M30"/>
  <c r="L30"/>
  <c r="J30"/>
  <c r="I30"/>
  <c r="H30"/>
  <c r="R29"/>
  <c r="Q29"/>
  <c r="P29"/>
  <c r="N29"/>
  <c r="M29"/>
  <c r="L29"/>
  <c r="J29"/>
  <c r="I29"/>
  <c r="H29"/>
  <c r="R18"/>
  <c r="Q18"/>
  <c r="P18"/>
  <c r="N18"/>
  <c r="M18"/>
  <c r="L18"/>
  <c r="J18"/>
  <c r="I18"/>
  <c r="H18"/>
  <c r="R17"/>
  <c r="Q17"/>
  <c r="P17"/>
  <c r="N17"/>
  <c r="M17"/>
  <c r="L17"/>
  <c r="J17"/>
  <c r="I17"/>
  <c r="H17"/>
  <c r="R24"/>
  <c r="Q24"/>
  <c r="P24"/>
  <c r="N24"/>
  <c r="L24"/>
  <c r="J24"/>
  <c r="I24"/>
  <c r="H24"/>
  <c r="R19"/>
  <c r="Q19"/>
  <c r="P19"/>
  <c r="N19"/>
  <c r="M19"/>
  <c r="L19"/>
  <c r="J19"/>
  <c r="I19"/>
  <c r="H19"/>
  <c r="R16"/>
  <c r="Q16"/>
  <c r="P16"/>
  <c r="N16"/>
  <c r="M16"/>
  <c r="L16"/>
  <c r="J16"/>
  <c r="I16"/>
  <c r="H16"/>
  <c r="R15"/>
  <c r="Q15"/>
  <c r="P15"/>
  <c r="N15"/>
  <c r="M15"/>
  <c r="L15"/>
  <c r="J15"/>
  <c r="I15"/>
  <c r="H15"/>
  <c r="R14"/>
  <c r="Q14"/>
  <c r="P14"/>
  <c r="N14"/>
  <c r="M14"/>
  <c r="L14"/>
  <c r="J14"/>
  <c r="I14"/>
  <c r="H14"/>
  <c r="R8"/>
  <c r="Q8"/>
  <c r="P8"/>
  <c r="N8"/>
  <c r="M8"/>
  <c r="L8"/>
  <c r="J8"/>
  <c r="I8"/>
  <c r="H8"/>
  <c r="R7"/>
  <c r="Q7"/>
  <c r="P7"/>
  <c r="N7"/>
  <c r="M7"/>
  <c r="L7"/>
  <c r="J7"/>
  <c r="I7"/>
  <c r="H7"/>
  <c r="T44" l="1"/>
  <c r="U44" s="1"/>
  <c r="D6"/>
  <c r="G75"/>
  <c r="T75" s="1"/>
  <c r="U75" s="1"/>
  <c r="S70"/>
  <c r="O70"/>
  <c r="K70"/>
  <c r="G70"/>
  <c r="S69"/>
  <c r="O69"/>
  <c r="K69"/>
  <c r="G69"/>
  <c r="S68"/>
  <c r="O68"/>
  <c r="K68"/>
  <c r="G68"/>
  <c r="S67"/>
  <c r="O67"/>
  <c r="K67"/>
  <c r="G67"/>
  <c r="S66"/>
  <c r="O66"/>
  <c r="K66"/>
  <c r="G66"/>
  <c r="S65"/>
  <c r="O65"/>
  <c r="K65"/>
  <c r="G65"/>
  <c r="S64"/>
  <c r="O64"/>
  <c r="K64"/>
  <c r="G64"/>
  <c r="S63"/>
  <c r="O63"/>
  <c r="K63"/>
  <c r="G63"/>
  <c r="S62"/>
  <c r="O62"/>
  <c r="K62"/>
  <c r="G62"/>
  <c r="S61"/>
  <c r="O61"/>
  <c r="K61"/>
  <c r="G61"/>
  <c r="S60"/>
  <c r="O60"/>
  <c r="K60"/>
  <c r="G60"/>
  <c r="S59"/>
  <c r="O59"/>
  <c r="K59"/>
  <c r="G59"/>
  <c r="S58"/>
  <c r="O58"/>
  <c r="K58"/>
  <c r="G58"/>
  <c r="S57"/>
  <c r="O57"/>
  <c r="K57"/>
  <c r="G57"/>
  <c r="S55"/>
  <c r="O55"/>
  <c r="K55"/>
  <c r="G55"/>
  <c r="R54"/>
  <c r="Q54"/>
  <c r="P54"/>
  <c r="N54"/>
  <c r="M54"/>
  <c r="L54"/>
  <c r="J54"/>
  <c r="I54"/>
  <c r="H54"/>
  <c r="K54" s="1"/>
  <c r="F54"/>
  <c r="E54"/>
  <c r="D54"/>
  <c r="C54"/>
  <c r="U53"/>
  <c r="U52" s="1"/>
  <c r="R52"/>
  <c r="Q52"/>
  <c r="P52"/>
  <c r="N52"/>
  <c r="M52"/>
  <c r="L52"/>
  <c r="O52" s="1"/>
  <c r="J52"/>
  <c r="I52"/>
  <c r="H52"/>
  <c r="F52"/>
  <c r="E52"/>
  <c r="D52"/>
  <c r="C52"/>
  <c r="S51"/>
  <c r="O51"/>
  <c r="K51"/>
  <c r="G51"/>
  <c r="S50"/>
  <c r="O50"/>
  <c r="K50"/>
  <c r="G50"/>
  <c r="S49"/>
  <c r="O49"/>
  <c r="K49"/>
  <c r="G49"/>
  <c r="S48"/>
  <c r="O48"/>
  <c r="K48"/>
  <c r="G48"/>
  <c r="S47"/>
  <c r="O47"/>
  <c r="K47"/>
  <c r="G47"/>
  <c r="R46"/>
  <c r="Q46"/>
  <c r="P46"/>
  <c r="N46"/>
  <c r="M46"/>
  <c r="L46"/>
  <c r="J46"/>
  <c r="I46"/>
  <c r="H46"/>
  <c r="F46"/>
  <c r="E46"/>
  <c r="D46"/>
  <c r="C46"/>
  <c r="S45"/>
  <c r="O45"/>
  <c r="K45"/>
  <c r="G45"/>
  <c r="S43"/>
  <c r="O43"/>
  <c r="K43"/>
  <c r="G43"/>
  <c r="S42"/>
  <c r="O42"/>
  <c r="K42"/>
  <c r="G42"/>
  <c r="R41"/>
  <c r="Q41"/>
  <c r="P41"/>
  <c r="N41"/>
  <c r="M41"/>
  <c r="L41"/>
  <c r="J41"/>
  <c r="I41"/>
  <c r="H41"/>
  <c r="F41"/>
  <c r="E41"/>
  <c r="D41"/>
  <c r="C41"/>
  <c r="S40"/>
  <c r="O40"/>
  <c r="K40"/>
  <c r="G40"/>
  <c r="S39"/>
  <c r="O39"/>
  <c r="K39"/>
  <c r="G39"/>
  <c r="S38"/>
  <c r="O38"/>
  <c r="K38"/>
  <c r="G38"/>
  <c r="R37"/>
  <c r="Q37"/>
  <c r="P37"/>
  <c r="N37"/>
  <c r="M37"/>
  <c r="L37"/>
  <c r="J37"/>
  <c r="I37"/>
  <c r="H37"/>
  <c r="F37"/>
  <c r="E37"/>
  <c r="D37"/>
  <c r="C37"/>
  <c r="S36"/>
  <c r="O36"/>
  <c r="K36"/>
  <c r="G36"/>
  <c r="S35"/>
  <c r="O35"/>
  <c r="K35"/>
  <c r="G35"/>
  <c r="S34"/>
  <c r="O34"/>
  <c r="K34"/>
  <c r="G34"/>
  <c r="S33"/>
  <c r="O33"/>
  <c r="K33"/>
  <c r="G33"/>
  <c r="S32"/>
  <c r="O32"/>
  <c r="K32"/>
  <c r="G32"/>
  <c r="S31"/>
  <c r="O31"/>
  <c r="K31"/>
  <c r="G31"/>
  <c r="S30"/>
  <c r="O30"/>
  <c r="K30"/>
  <c r="G30"/>
  <c r="Q28"/>
  <c r="S29"/>
  <c r="O29"/>
  <c r="I28"/>
  <c r="H28"/>
  <c r="G29"/>
  <c r="R28"/>
  <c r="M28"/>
  <c r="L28"/>
  <c r="J28"/>
  <c r="E28"/>
  <c r="D28"/>
  <c r="C28"/>
  <c r="S24"/>
  <c r="O24"/>
  <c r="K24"/>
  <c r="G24"/>
  <c r="S23"/>
  <c r="O23"/>
  <c r="K23"/>
  <c r="G23"/>
  <c r="S22"/>
  <c r="O22"/>
  <c r="K22"/>
  <c r="G22"/>
  <c r="S21"/>
  <c r="O21"/>
  <c r="K21"/>
  <c r="G21"/>
  <c r="S20"/>
  <c r="O20"/>
  <c r="K20"/>
  <c r="G20"/>
  <c r="S19"/>
  <c r="O19"/>
  <c r="K19"/>
  <c r="G19"/>
  <c r="S18"/>
  <c r="O18"/>
  <c r="K18"/>
  <c r="G18"/>
  <c r="S17"/>
  <c r="N6"/>
  <c r="O17"/>
  <c r="K17"/>
  <c r="F6"/>
  <c r="S16"/>
  <c r="O16"/>
  <c r="K16"/>
  <c r="G16"/>
  <c r="T16" s="1"/>
  <c r="U16" s="1"/>
  <c r="S15"/>
  <c r="O15"/>
  <c r="K15"/>
  <c r="G15"/>
  <c r="S14"/>
  <c r="O14"/>
  <c r="K14"/>
  <c r="G14"/>
  <c r="S13"/>
  <c r="O13"/>
  <c r="K13"/>
  <c r="G13"/>
  <c r="S12"/>
  <c r="O12"/>
  <c r="K12"/>
  <c r="G12"/>
  <c r="T12" s="1"/>
  <c r="U12" s="1"/>
  <c r="S11"/>
  <c r="O11"/>
  <c r="K11"/>
  <c r="G11"/>
  <c r="S10"/>
  <c r="O10"/>
  <c r="K10"/>
  <c r="G10"/>
  <c r="S9"/>
  <c r="O9"/>
  <c r="K9"/>
  <c r="G9"/>
  <c r="P6"/>
  <c r="O8"/>
  <c r="H6"/>
  <c r="R6"/>
  <c r="Q6"/>
  <c r="O7"/>
  <c r="J6"/>
  <c r="I6"/>
  <c r="G7"/>
  <c r="L6"/>
  <c r="T42" l="1"/>
  <c r="U42" s="1"/>
  <c r="K52"/>
  <c r="G54"/>
  <c r="G52"/>
  <c r="S54"/>
  <c r="S52"/>
  <c r="S46"/>
  <c r="O41"/>
  <c r="T43"/>
  <c r="U43" s="1"/>
  <c r="O37"/>
  <c r="S41"/>
  <c r="G46"/>
  <c r="T38"/>
  <c r="U38" s="1"/>
  <c r="C78"/>
  <c r="K41"/>
  <c r="G56"/>
  <c r="T31"/>
  <c r="U31" s="1"/>
  <c r="T33"/>
  <c r="U33" s="1"/>
  <c r="T35"/>
  <c r="U35" s="1"/>
  <c r="T47"/>
  <c r="U47" s="1"/>
  <c r="T51"/>
  <c r="U51" s="1"/>
  <c r="G41"/>
  <c r="O54"/>
  <c r="T54" s="1"/>
  <c r="T55"/>
  <c r="U55" s="1"/>
  <c r="U54" s="1"/>
  <c r="T63"/>
  <c r="U63" s="1"/>
  <c r="T61"/>
  <c r="U61" s="1"/>
  <c r="K56"/>
  <c r="O56"/>
  <c r="S37"/>
  <c r="G37"/>
  <c r="T30"/>
  <c r="U30" s="1"/>
  <c r="T34"/>
  <c r="U34" s="1"/>
  <c r="T36"/>
  <c r="U36" s="1"/>
  <c r="T32"/>
  <c r="U32" s="1"/>
  <c r="T19"/>
  <c r="U19" s="1"/>
  <c r="T15"/>
  <c r="U15" s="1"/>
  <c r="T14"/>
  <c r="U14" s="1"/>
  <c r="T11"/>
  <c r="U11" s="1"/>
  <c r="T70"/>
  <c r="U70" s="1"/>
  <c r="T69"/>
  <c r="U69" s="1"/>
  <c r="T68"/>
  <c r="U68" s="1"/>
  <c r="T67"/>
  <c r="U67" s="1"/>
  <c r="T66"/>
  <c r="U66" s="1"/>
  <c r="T65"/>
  <c r="U65" s="1"/>
  <c r="T64"/>
  <c r="U64" s="1"/>
  <c r="T62"/>
  <c r="U62" s="1"/>
  <c r="T60"/>
  <c r="U60" s="1"/>
  <c r="R78"/>
  <c r="T59"/>
  <c r="U59" s="1"/>
  <c r="S56"/>
  <c r="T58"/>
  <c r="U58" s="1"/>
  <c r="T50"/>
  <c r="U50" s="1"/>
  <c r="T49"/>
  <c r="U49" s="1"/>
  <c r="O46"/>
  <c r="T48"/>
  <c r="U48" s="1"/>
  <c r="K46"/>
  <c r="T45"/>
  <c r="U45" s="1"/>
  <c r="U41" s="1"/>
  <c r="L78"/>
  <c r="T20"/>
  <c r="U20" s="1"/>
  <c r="T24"/>
  <c r="U24" s="1"/>
  <c r="T21"/>
  <c r="U21" s="1"/>
  <c r="K28"/>
  <c r="J78"/>
  <c r="T10"/>
  <c r="U10" s="1"/>
  <c r="K37"/>
  <c r="T40"/>
  <c r="U40" s="1"/>
  <c r="T23"/>
  <c r="U23" s="1"/>
  <c r="T57"/>
  <c r="U57" s="1"/>
  <c r="T22"/>
  <c r="U22" s="1"/>
  <c r="T39"/>
  <c r="U39" s="1"/>
  <c r="E6"/>
  <c r="E78" s="1"/>
  <c r="T13"/>
  <c r="U13" s="1"/>
  <c r="T9"/>
  <c r="U9" s="1"/>
  <c r="G8"/>
  <c r="Q78"/>
  <c r="I78"/>
  <c r="T18"/>
  <c r="U18" s="1"/>
  <c r="S6"/>
  <c r="T52"/>
  <c r="H78"/>
  <c r="K6"/>
  <c r="G17"/>
  <c r="T17" s="1"/>
  <c r="U17" s="1"/>
  <c r="D78"/>
  <c r="K29"/>
  <c r="T29" s="1"/>
  <c r="U29" s="1"/>
  <c r="K8"/>
  <c r="F28"/>
  <c r="G28" s="1"/>
  <c r="N28"/>
  <c r="N78" s="1"/>
  <c r="S7"/>
  <c r="K7"/>
  <c r="T7" s="1"/>
  <c r="U7" s="1"/>
  <c r="P28"/>
  <c r="S28" s="1"/>
  <c r="M6"/>
  <c r="M78" s="1"/>
  <c r="S8"/>
  <c r="C79" l="1"/>
  <c r="C81" s="1"/>
  <c r="T41"/>
  <c r="T56"/>
  <c r="T37"/>
  <c r="U28"/>
  <c r="U37"/>
  <c r="O6"/>
  <c r="U56"/>
  <c r="T46"/>
  <c r="K78"/>
  <c r="U46"/>
  <c r="F78"/>
  <c r="G6"/>
  <c r="T8"/>
  <c r="U8" s="1"/>
  <c r="U6" s="1"/>
  <c r="P78"/>
  <c r="S78"/>
  <c r="O28"/>
  <c r="T28" s="1"/>
  <c r="O78" l="1"/>
  <c r="T6"/>
  <c r="T78" s="1"/>
  <c r="U78"/>
  <c r="G78"/>
  <c r="O59" i="8" l="1"/>
  <c r="O72" l="1"/>
  <c r="Q57"/>
  <c r="O52"/>
  <c r="L80" l="1"/>
  <c r="E76"/>
  <c r="M80"/>
  <c r="N67"/>
  <c r="N64" s="1"/>
  <c r="M66"/>
  <c r="P66" s="1"/>
  <c r="M67"/>
  <c r="K67"/>
  <c r="K66"/>
  <c r="J72"/>
  <c r="L72" s="1"/>
  <c r="G68"/>
  <c r="J67"/>
  <c r="F68"/>
  <c r="E68"/>
  <c r="I67"/>
  <c r="G69"/>
  <c r="H69" s="1"/>
  <c r="G67"/>
  <c r="F67"/>
  <c r="H76"/>
  <c r="F71"/>
  <c r="H71" s="1"/>
  <c r="F70"/>
  <c r="H70" s="1"/>
  <c r="F66"/>
  <c r="H66" s="1"/>
  <c r="O56"/>
  <c r="O51" s="1"/>
  <c r="N56"/>
  <c r="M53"/>
  <c r="P53" s="1"/>
  <c r="K53"/>
  <c r="L53" s="1"/>
  <c r="K52"/>
  <c r="J52"/>
  <c r="J51" s="1"/>
  <c r="S41"/>
  <c r="R41"/>
  <c r="Q41"/>
  <c r="O41"/>
  <c r="N41"/>
  <c r="M41"/>
  <c r="K41"/>
  <c r="J41"/>
  <c r="I41"/>
  <c r="G41"/>
  <c r="F41"/>
  <c r="E41"/>
  <c r="S37"/>
  <c r="R37"/>
  <c r="Q37"/>
  <c r="O37"/>
  <c r="M37"/>
  <c r="K37"/>
  <c r="J37"/>
  <c r="E37"/>
  <c r="N40"/>
  <c r="N37" s="1"/>
  <c r="M40"/>
  <c r="K38"/>
  <c r="L38" s="1"/>
  <c r="I40"/>
  <c r="I37" s="1"/>
  <c r="G40"/>
  <c r="G39"/>
  <c r="H39" s="1"/>
  <c r="F40"/>
  <c r="F37" s="1"/>
  <c r="M25"/>
  <c r="K25"/>
  <c r="K6" s="1"/>
  <c r="G25"/>
  <c r="G6" s="1"/>
  <c r="I25"/>
  <c r="I6" s="1"/>
  <c r="N25"/>
  <c r="J25"/>
  <c r="J6" s="1"/>
  <c r="F25"/>
  <c r="F6" s="1"/>
  <c r="E17"/>
  <c r="H17" s="1"/>
  <c r="E16"/>
  <c r="H16" s="1"/>
  <c r="E25"/>
  <c r="T81"/>
  <c r="P81"/>
  <c r="L81"/>
  <c r="H81"/>
  <c r="T80"/>
  <c r="O64"/>
  <c r="H80"/>
  <c r="T79"/>
  <c r="P79"/>
  <c r="L79"/>
  <c r="H79"/>
  <c r="T78"/>
  <c r="P78"/>
  <c r="L78"/>
  <c r="H78"/>
  <c r="T77"/>
  <c r="P77"/>
  <c r="L77"/>
  <c r="H77"/>
  <c r="T76"/>
  <c r="P76"/>
  <c r="L76"/>
  <c r="T75"/>
  <c r="P75"/>
  <c r="L75"/>
  <c r="H75"/>
  <c r="T74"/>
  <c r="P74"/>
  <c r="L74"/>
  <c r="H74"/>
  <c r="T73"/>
  <c r="P73"/>
  <c r="L73"/>
  <c r="H73"/>
  <c r="T72"/>
  <c r="P72"/>
  <c r="H72"/>
  <c r="T71"/>
  <c r="P71"/>
  <c r="L71"/>
  <c r="T70"/>
  <c r="P70"/>
  <c r="L70"/>
  <c r="T69"/>
  <c r="P69"/>
  <c r="L69"/>
  <c r="T68"/>
  <c r="P68"/>
  <c r="T67"/>
  <c r="T66"/>
  <c r="T65"/>
  <c r="P65"/>
  <c r="L65"/>
  <c r="H65"/>
  <c r="S64"/>
  <c r="R64"/>
  <c r="Q64"/>
  <c r="D64"/>
  <c r="C64"/>
  <c r="T63"/>
  <c r="P63"/>
  <c r="L63"/>
  <c r="H63"/>
  <c r="S62"/>
  <c r="R62"/>
  <c r="Q62"/>
  <c r="O62"/>
  <c r="N62"/>
  <c r="M62"/>
  <c r="K62"/>
  <c r="J62"/>
  <c r="I62"/>
  <c r="G62"/>
  <c r="F62"/>
  <c r="E62"/>
  <c r="D62"/>
  <c r="C62"/>
  <c r="V60"/>
  <c r="S60"/>
  <c r="R60"/>
  <c r="Q60"/>
  <c r="O60"/>
  <c r="N60"/>
  <c r="M60"/>
  <c r="K60"/>
  <c r="J60"/>
  <c r="I60"/>
  <c r="G60"/>
  <c r="F60"/>
  <c r="E60"/>
  <c r="D60"/>
  <c r="C60"/>
  <c r="T59"/>
  <c r="P59"/>
  <c r="L59"/>
  <c r="H59"/>
  <c r="T58"/>
  <c r="P58"/>
  <c r="L58"/>
  <c r="H58"/>
  <c r="T57"/>
  <c r="P57"/>
  <c r="L57"/>
  <c r="H57"/>
  <c r="T56"/>
  <c r="L56"/>
  <c r="H56"/>
  <c r="T55"/>
  <c r="P55"/>
  <c r="L55"/>
  <c r="H55"/>
  <c r="T54"/>
  <c r="P54"/>
  <c r="L54"/>
  <c r="H54"/>
  <c r="T53"/>
  <c r="H53"/>
  <c r="T52"/>
  <c r="P52"/>
  <c r="H52"/>
  <c r="S51"/>
  <c r="R51"/>
  <c r="Q51"/>
  <c r="I51"/>
  <c r="G51"/>
  <c r="F51"/>
  <c r="E51"/>
  <c r="D51"/>
  <c r="C51"/>
  <c r="T50"/>
  <c r="P50"/>
  <c r="L50"/>
  <c r="H50"/>
  <c r="T49"/>
  <c r="P49"/>
  <c r="L49"/>
  <c r="H49"/>
  <c r="T48"/>
  <c r="P48"/>
  <c r="L48"/>
  <c r="H48"/>
  <c r="T47"/>
  <c r="P47"/>
  <c r="L47"/>
  <c r="H47"/>
  <c r="T46"/>
  <c r="P46"/>
  <c r="L46"/>
  <c r="H46"/>
  <c r="T45"/>
  <c r="P45"/>
  <c r="L45"/>
  <c r="H45"/>
  <c r="T44"/>
  <c r="P44"/>
  <c r="L44"/>
  <c r="H44"/>
  <c r="T43"/>
  <c r="P43"/>
  <c r="L43"/>
  <c r="H43"/>
  <c r="T42"/>
  <c r="P42"/>
  <c r="L42"/>
  <c r="H42"/>
  <c r="D41"/>
  <c r="C41"/>
  <c r="T40"/>
  <c r="T39"/>
  <c r="P39"/>
  <c r="L39"/>
  <c r="T38"/>
  <c r="P38"/>
  <c r="H38"/>
  <c r="D37"/>
  <c r="C37"/>
  <c r="T36"/>
  <c r="P36"/>
  <c r="L36"/>
  <c r="H36"/>
  <c r="T35"/>
  <c r="P35"/>
  <c r="L35"/>
  <c r="H35"/>
  <c r="T34"/>
  <c r="P34"/>
  <c r="L34"/>
  <c r="H34"/>
  <c r="T33"/>
  <c r="P33"/>
  <c r="L33"/>
  <c r="H33"/>
  <c r="T32"/>
  <c r="P32"/>
  <c r="L32"/>
  <c r="H32"/>
  <c r="T31"/>
  <c r="P31"/>
  <c r="L31"/>
  <c r="H31"/>
  <c r="T30"/>
  <c r="P30"/>
  <c r="L30"/>
  <c r="G26"/>
  <c r="T29"/>
  <c r="P29"/>
  <c r="J26"/>
  <c r="I26"/>
  <c r="H29"/>
  <c r="T28"/>
  <c r="P28"/>
  <c r="L28"/>
  <c r="H28"/>
  <c r="T27"/>
  <c r="P27"/>
  <c r="L27"/>
  <c r="H27"/>
  <c r="S26"/>
  <c r="R26"/>
  <c r="Q26"/>
  <c r="O26"/>
  <c r="N26"/>
  <c r="M26"/>
  <c r="K26"/>
  <c r="F26"/>
  <c r="E26"/>
  <c r="D26"/>
  <c r="C26"/>
  <c r="T25"/>
  <c r="N6"/>
  <c r="T24"/>
  <c r="P24"/>
  <c r="L24"/>
  <c r="H24"/>
  <c r="T23"/>
  <c r="P23"/>
  <c r="L23"/>
  <c r="H23"/>
  <c r="T22"/>
  <c r="P22"/>
  <c r="L22"/>
  <c r="H22"/>
  <c r="T21"/>
  <c r="P21"/>
  <c r="L21"/>
  <c r="H21"/>
  <c r="T20"/>
  <c r="P20"/>
  <c r="L20"/>
  <c r="H20"/>
  <c r="T19"/>
  <c r="P19"/>
  <c r="L19"/>
  <c r="H19"/>
  <c r="T18"/>
  <c r="P18"/>
  <c r="L18"/>
  <c r="H18"/>
  <c r="T17"/>
  <c r="P17"/>
  <c r="L17"/>
  <c r="T16"/>
  <c r="P16"/>
  <c r="L16"/>
  <c r="T15"/>
  <c r="P15"/>
  <c r="L15"/>
  <c r="H15"/>
  <c r="T14"/>
  <c r="P14"/>
  <c r="L14"/>
  <c r="H14"/>
  <c r="T13"/>
  <c r="P13"/>
  <c r="L13"/>
  <c r="H13"/>
  <c r="T12"/>
  <c r="P12"/>
  <c r="L12"/>
  <c r="H12"/>
  <c r="T11"/>
  <c r="P11"/>
  <c r="L11"/>
  <c r="H11"/>
  <c r="T10"/>
  <c r="P10"/>
  <c r="L10"/>
  <c r="H10"/>
  <c r="T9"/>
  <c r="P9"/>
  <c r="L9"/>
  <c r="T8"/>
  <c r="P8"/>
  <c r="L8"/>
  <c r="H8"/>
  <c r="T7"/>
  <c r="P7"/>
  <c r="L7"/>
  <c r="H7"/>
  <c r="S6"/>
  <c r="R6"/>
  <c r="Q6"/>
  <c r="O6"/>
  <c r="D6"/>
  <c r="C6"/>
  <c r="U28" l="1"/>
  <c r="V28" s="1"/>
  <c r="H41"/>
  <c r="T41"/>
  <c r="M64"/>
  <c r="L62"/>
  <c r="H51"/>
  <c r="L60"/>
  <c r="H67"/>
  <c r="J64"/>
  <c r="J82" s="1"/>
  <c r="K51"/>
  <c r="M51"/>
  <c r="P60"/>
  <c r="P40"/>
  <c r="U40" s="1"/>
  <c r="V40" s="1"/>
  <c r="L67"/>
  <c r="T6"/>
  <c r="H40"/>
  <c r="G37"/>
  <c r="H37" s="1"/>
  <c r="K64"/>
  <c r="K82" s="1"/>
  <c r="L41"/>
  <c r="L52"/>
  <c r="U52" s="1"/>
  <c r="V52" s="1"/>
  <c r="U54"/>
  <c r="V54" s="1"/>
  <c r="L40"/>
  <c r="L66"/>
  <c r="U63"/>
  <c r="V63" s="1"/>
  <c r="V62" s="1"/>
  <c r="U73"/>
  <c r="V73" s="1"/>
  <c r="F64"/>
  <c r="F82" s="1"/>
  <c r="P62"/>
  <c r="G64"/>
  <c r="G82" s="1"/>
  <c r="U50"/>
  <c r="V50" s="1"/>
  <c r="U48"/>
  <c r="V48" s="1"/>
  <c r="H60"/>
  <c r="T62"/>
  <c r="P67"/>
  <c r="U42"/>
  <c r="V42" s="1"/>
  <c r="U46"/>
  <c r="V46" s="1"/>
  <c r="U43"/>
  <c r="V43" s="1"/>
  <c r="U45"/>
  <c r="V45" s="1"/>
  <c r="U49"/>
  <c r="V49" s="1"/>
  <c r="U53"/>
  <c r="V53" s="1"/>
  <c r="T51"/>
  <c r="T37"/>
  <c r="U39"/>
  <c r="V39" s="1"/>
  <c r="U65"/>
  <c r="V65" s="1"/>
  <c r="T64"/>
  <c r="U59"/>
  <c r="V59" s="1"/>
  <c r="U47"/>
  <c r="V47" s="1"/>
  <c r="P41"/>
  <c r="T26"/>
  <c r="U34"/>
  <c r="V34" s="1"/>
  <c r="U32"/>
  <c r="V32" s="1"/>
  <c r="U15"/>
  <c r="V15" s="1"/>
  <c r="P64"/>
  <c r="U79"/>
  <c r="V79" s="1"/>
  <c r="U69"/>
  <c r="V69" s="1"/>
  <c r="U77"/>
  <c r="V77" s="1"/>
  <c r="U76"/>
  <c r="V76" s="1"/>
  <c r="U58"/>
  <c r="V58" s="1"/>
  <c r="U33"/>
  <c r="V33" s="1"/>
  <c r="U20"/>
  <c r="V20" s="1"/>
  <c r="L25"/>
  <c r="L6"/>
  <c r="U24"/>
  <c r="V24" s="1"/>
  <c r="H25"/>
  <c r="U13"/>
  <c r="V13" s="1"/>
  <c r="U81"/>
  <c r="V81" s="1"/>
  <c r="U72"/>
  <c r="V72" s="1"/>
  <c r="U66"/>
  <c r="V66" s="1"/>
  <c r="U74"/>
  <c r="V74" s="1"/>
  <c r="U75"/>
  <c r="V75" s="1"/>
  <c r="U71"/>
  <c r="V71" s="1"/>
  <c r="U55"/>
  <c r="V55" s="1"/>
  <c r="P37"/>
  <c r="U38"/>
  <c r="V38" s="1"/>
  <c r="U27"/>
  <c r="V27" s="1"/>
  <c r="O82"/>
  <c r="P26"/>
  <c r="L26"/>
  <c r="U31"/>
  <c r="V31" s="1"/>
  <c r="U35"/>
  <c r="V35" s="1"/>
  <c r="U10"/>
  <c r="V10" s="1"/>
  <c r="U19"/>
  <c r="V19" s="1"/>
  <c r="U8"/>
  <c r="V8" s="1"/>
  <c r="U14"/>
  <c r="V14" s="1"/>
  <c r="U16"/>
  <c r="V16" s="1"/>
  <c r="U7"/>
  <c r="V7" s="1"/>
  <c r="U12"/>
  <c r="V12" s="1"/>
  <c r="U23"/>
  <c r="V23" s="1"/>
  <c r="U22"/>
  <c r="V22" s="1"/>
  <c r="H30"/>
  <c r="U30" s="1"/>
  <c r="V30" s="1"/>
  <c r="E64"/>
  <c r="R82"/>
  <c r="D82"/>
  <c r="U21"/>
  <c r="V21" s="1"/>
  <c r="L51"/>
  <c r="H62"/>
  <c r="I64"/>
  <c r="U17"/>
  <c r="V17" s="1"/>
  <c r="U18"/>
  <c r="V18" s="1"/>
  <c r="L29"/>
  <c r="U29" s="1"/>
  <c r="V29" s="1"/>
  <c r="C82"/>
  <c r="N51"/>
  <c r="N82" s="1"/>
  <c r="P56"/>
  <c r="U56" s="1"/>
  <c r="V56" s="1"/>
  <c r="P80"/>
  <c r="U80" s="1"/>
  <c r="V80" s="1"/>
  <c r="H26"/>
  <c r="H68"/>
  <c r="E6"/>
  <c r="H9"/>
  <c r="U9" s="1"/>
  <c r="V9" s="1"/>
  <c r="U11"/>
  <c r="V11" s="1"/>
  <c r="U44"/>
  <c r="V44" s="1"/>
  <c r="U57"/>
  <c r="V57" s="1"/>
  <c r="P25"/>
  <c r="U36"/>
  <c r="V36" s="1"/>
  <c r="S82"/>
  <c r="T60"/>
  <c r="U70"/>
  <c r="V70" s="1"/>
  <c r="U78"/>
  <c r="V78" s="1"/>
  <c r="Q82"/>
  <c r="L37"/>
  <c r="L68"/>
  <c r="M6"/>
  <c r="N25" i="7"/>
  <c r="U67" i="8" l="1"/>
  <c r="V67" s="1"/>
  <c r="U62"/>
  <c r="U60"/>
  <c r="U41"/>
  <c r="L64"/>
  <c r="L82" s="1"/>
  <c r="P51"/>
  <c r="U51" s="1"/>
  <c r="H64"/>
  <c r="V41"/>
  <c r="T82"/>
  <c r="V37"/>
  <c r="U25"/>
  <c r="V25" s="1"/>
  <c r="V6" s="1"/>
  <c r="U68"/>
  <c r="I82"/>
  <c r="V26"/>
  <c r="U26"/>
  <c r="E82"/>
  <c r="H6"/>
  <c r="U37"/>
  <c r="M82"/>
  <c r="P6"/>
  <c r="V51"/>
  <c r="O80" i="7"/>
  <c r="U64" i="8" l="1"/>
  <c r="P82"/>
  <c r="V68"/>
  <c r="V64" s="1"/>
  <c r="V82" s="1"/>
  <c r="U6"/>
  <c r="H82"/>
  <c r="M67" i="7"/>
  <c r="U82" i="8" l="1"/>
  <c r="N56" i="7"/>
  <c r="T59" l="1"/>
  <c r="T58"/>
  <c r="T57"/>
  <c r="T56"/>
  <c r="T55"/>
  <c r="T54"/>
  <c r="T53"/>
  <c r="P59"/>
  <c r="P58"/>
  <c r="P57"/>
  <c r="P56"/>
  <c r="P55"/>
  <c r="P54"/>
  <c r="P53"/>
  <c r="L59"/>
  <c r="L58"/>
  <c r="L57"/>
  <c r="L56"/>
  <c r="L55"/>
  <c r="L54"/>
  <c r="H59"/>
  <c r="H58"/>
  <c r="H57"/>
  <c r="H56"/>
  <c r="H55"/>
  <c r="H54"/>
  <c r="H53"/>
  <c r="I58"/>
  <c r="D64"/>
  <c r="D62"/>
  <c r="D60"/>
  <c r="D51"/>
  <c r="D41"/>
  <c r="D37"/>
  <c r="D26"/>
  <c r="D6"/>
  <c r="U56" l="1"/>
  <c r="V56" s="1"/>
  <c r="U57"/>
  <c r="V57" s="1"/>
  <c r="U58"/>
  <c r="V58" s="1"/>
  <c r="U59"/>
  <c r="V59" s="1"/>
  <c r="U54"/>
  <c r="V54" s="1"/>
  <c r="U55"/>
  <c r="V55" s="1"/>
  <c r="D82"/>
  <c r="M40"/>
  <c r="M25"/>
  <c r="K25"/>
  <c r="M18"/>
  <c r="M17"/>
  <c r="M16"/>
  <c r="M66" l="1"/>
  <c r="K66"/>
  <c r="K40" l="1"/>
  <c r="K18" l="1"/>
  <c r="K17"/>
  <c r="K16"/>
  <c r="K67" l="1"/>
  <c r="J67" l="1"/>
  <c r="M80" l="1"/>
  <c r="K53" l="1"/>
  <c r="L53" s="1"/>
  <c r="U53" s="1"/>
  <c r="V53" s="1"/>
  <c r="J38"/>
  <c r="J68" l="1"/>
  <c r="I68"/>
  <c r="J18"/>
  <c r="J17"/>
  <c r="J16"/>
  <c r="J25"/>
  <c r="J52"/>
  <c r="J72"/>
  <c r="G68"/>
  <c r="I67" l="1"/>
  <c r="J30"/>
  <c r="J29"/>
  <c r="J28"/>
  <c r="J10"/>
  <c r="J9"/>
  <c r="J8"/>
  <c r="F68"/>
  <c r="E68"/>
  <c r="I25"/>
  <c r="I18"/>
  <c r="I17"/>
  <c r="I16"/>
  <c r="I78" l="1"/>
  <c r="G18" l="1"/>
  <c r="G17"/>
  <c r="G16"/>
  <c r="G67"/>
  <c r="I40"/>
  <c r="I30"/>
  <c r="I29"/>
  <c r="I28"/>
  <c r="I26" s="1"/>
  <c r="I10"/>
  <c r="I9"/>
  <c r="I8"/>
  <c r="G25" l="1"/>
  <c r="G30"/>
  <c r="G29"/>
  <c r="G28"/>
  <c r="G10"/>
  <c r="G9"/>
  <c r="G8"/>
  <c r="G39"/>
  <c r="G37" s="1"/>
  <c r="F67"/>
  <c r="F18"/>
  <c r="F17"/>
  <c r="F16"/>
  <c r="F25"/>
  <c r="F40"/>
  <c r="F30" l="1"/>
  <c r="F29"/>
  <c r="F28"/>
  <c r="F10"/>
  <c r="F9"/>
  <c r="F8"/>
  <c r="E17"/>
  <c r="H17" s="1"/>
  <c r="E16"/>
  <c r="H16" s="1"/>
  <c r="E18"/>
  <c r="E25"/>
  <c r="E40"/>
  <c r="E67"/>
  <c r="E30"/>
  <c r="E29"/>
  <c r="H29" s="1"/>
  <c r="E28"/>
  <c r="E10"/>
  <c r="E9"/>
  <c r="E8"/>
  <c r="T80"/>
  <c r="P80"/>
  <c r="L80"/>
  <c r="H80"/>
  <c r="T79"/>
  <c r="P79"/>
  <c r="L79"/>
  <c r="H79"/>
  <c r="T78"/>
  <c r="P78"/>
  <c r="L78"/>
  <c r="H78"/>
  <c r="T77"/>
  <c r="P77"/>
  <c r="L77"/>
  <c r="H77"/>
  <c r="T76"/>
  <c r="P76"/>
  <c r="L76"/>
  <c r="H76"/>
  <c r="T75"/>
  <c r="P75"/>
  <c r="L75"/>
  <c r="H75"/>
  <c r="T74"/>
  <c r="P74"/>
  <c r="L74"/>
  <c r="H74"/>
  <c r="T73"/>
  <c r="P73"/>
  <c r="L73"/>
  <c r="H73"/>
  <c r="T49"/>
  <c r="P49"/>
  <c r="L49"/>
  <c r="H49"/>
  <c r="T48"/>
  <c r="P48"/>
  <c r="L48"/>
  <c r="H48"/>
  <c r="T47"/>
  <c r="P47"/>
  <c r="L47"/>
  <c r="H47"/>
  <c r="T35"/>
  <c r="P35"/>
  <c r="L35"/>
  <c r="H35"/>
  <c r="T34"/>
  <c r="P34"/>
  <c r="L34"/>
  <c r="H34"/>
  <c r="T33"/>
  <c r="P33"/>
  <c r="L33"/>
  <c r="H33"/>
  <c r="T32"/>
  <c r="P32"/>
  <c r="L32"/>
  <c r="H32"/>
  <c r="T31"/>
  <c r="P31"/>
  <c r="L31"/>
  <c r="H31"/>
  <c r="T30"/>
  <c r="P30"/>
  <c r="L30"/>
  <c r="T29"/>
  <c r="P29"/>
  <c r="L29"/>
  <c r="T24"/>
  <c r="P24"/>
  <c r="L24"/>
  <c r="H24"/>
  <c r="T23"/>
  <c r="P23"/>
  <c r="L23"/>
  <c r="H23"/>
  <c r="T22"/>
  <c r="P22"/>
  <c r="L22"/>
  <c r="H22"/>
  <c r="T21"/>
  <c r="P21"/>
  <c r="L21"/>
  <c r="H21"/>
  <c r="T20"/>
  <c r="P20"/>
  <c r="L20"/>
  <c r="H20"/>
  <c r="T19"/>
  <c r="P19"/>
  <c r="L19"/>
  <c r="H19"/>
  <c r="T18"/>
  <c r="P18"/>
  <c r="L18"/>
  <c r="H18"/>
  <c r="T17"/>
  <c r="P17"/>
  <c r="L17"/>
  <c r="T16"/>
  <c r="P16"/>
  <c r="L16"/>
  <c r="U47" l="1"/>
  <c r="V47" s="1"/>
  <c r="U74"/>
  <c r="V74" s="1"/>
  <c r="U49"/>
  <c r="V49" s="1"/>
  <c r="H30"/>
  <c r="U48"/>
  <c r="V48" s="1"/>
  <c r="U80"/>
  <c r="V80" s="1"/>
  <c r="U73"/>
  <c r="V73" s="1"/>
  <c r="U75"/>
  <c r="V75" s="1"/>
  <c r="U79"/>
  <c r="V79" s="1"/>
  <c r="U76"/>
  <c r="V76" s="1"/>
  <c r="U78"/>
  <c r="V78" s="1"/>
  <c r="U77"/>
  <c r="V77" s="1"/>
  <c r="U35"/>
  <c r="V35" s="1"/>
  <c r="U34"/>
  <c r="V34" s="1"/>
  <c r="U33"/>
  <c r="V33" s="1"/>
  <c r="U32"/>
  <c r="V32" s="1"/>
  <c r="U31"/>
  <c r="V31" s="1"/>
  <c r="U29"/>
  <c r="V29" s="1"/>
  <c r="U30"/>
  <c r="V30" s="1"/>
  <c r="U24"/>
  <c r="V24" s="1"/>
  <c r="U23"/>
  <c r="V23" s="1"/>
  <c r="U22"/>
  <c r="V22" s="1"/>
  <c r="U21"/>
  <c r="V21" s="1"/>
  <c r="U19"/>
  <c r="V19" s="1"/>
  <c r="U20"/>
  <c r="V20" s="1"/>
  <c r="U18"/>
  <c r="V18" s="1"/>
  <c r="U16"/>
  <c r="V16" s="1"/>
  <c r="U17"/>
  <c r="V17" s="1"/>
  <c r="T72" l="1"/>
  <c r="P72"/>
  <c r="L72"/>
  <c r="H72"/>
  <c r="T46"/>
  <c r="P46"/>
  <c r="L46"/>
  <c r="H46"/>
  <c r="T45"/>
  <c r="P45"/>
  <c r="L45"/>
  <c r="H45"/>
  <c r="T44"/>
  <c r="P44"/>
  <c r="L44"/>
  <c r="H44"/>
  <c r="T39"/>
  <c r="P39"/>
  <c r="L39"/>
  <c r="H39"/>
  <c r="U44" l="1"/>
  <c r="V44" s="1"/>
  <c r="U72"/>
  <c r="V72" s="1"/>
  <c r="U46"/>
  <c r="V46" s="1"/>
  <c r="U45"/>
  <c r="V45" s="1"/>
  <c r="U39"/>
  <c r="V39" s="1"/>
  <c r="T36"/>
  <c r="P36"/>
  <c r="L36"/>
  <c r="H36"/>
  <c r="T25"/>
  <c r="T15"/>
  <c r="T14"/>
  <c r="T13"/>
  <c r="T12"/>
  <c r="P25"/>
  <c r="P15"/>
  <c r="P14"/>
  <c r="P13"/>
  <c r="P12"/>
  <c r="L15"/>
  <c r="L14"/>
  <c r="L13"/>
  <c r="L12"/>
  <c r="H25"/>
  <c r="H15"/>
  <c r="H14"/>
  <c r="H13"/>
  <c r="H12"/>
  <c r="S41"/>
  <c r="R41"/>
  <c r="Q41"/>
  <c r="O41"/>
  <c r="N41"/>
  <c r="M41"/>
  <c r="K41"/>
  <c r="J41"/>
  <c r="I41"/>
  <c r="C41"/>
  <c r="T43"/>
  <c r="P43"/>
  <c r="L43"/>
  <c r="H43"/>
  <c r="T42"/>
  <c r="P42"/>
  <c r="L42"/>
  <c r="H42"/>
  <c r="C64"/>
  <c r="C37"/>
  <c r="T38"/>
  <c r="P38"/>
  <c r="L38"/>
  <c r="H38"/>
  <c r="U42" l="1"/>
  <c r="V42" s="1"/>
  <c r="U36"/>
  <c r="V36" s="1"/>
  <c r="U43"/>
  <c r="V43" s="1"/>
  <c r="U12"/>
  <c r="V12" s="1"/>
  <c r="U13"/>
  <c r="V13" s="1"/>
  <c r="U14"/>
  <c r="V14" s="1"/>
  <c r="U15"/>
  <c r="V15" s="1"/>
  <c r="U38"/>
  <c r="V38" s="1"/>
  <c r="T81"/>
  <c r="P81"/>
  <c r="L81"/>
  <c r="H81"/>
  <c r="T71"/>
  <c r="P71"/>
  <c r="L71"/>
  <c r="H71"/>
  <c r="R6"/>
  <c r="S6"/>
  <c r="Q6"/>
  <c r="N6"/>
  <c r="O6"/>
  <c r="M6"/>
  <c r="J6"/>
  <c r="K6"/>
  <c r="C6"/>
  <c r="G6"/>
  <c r="H7"/>
  <c r="L7"/>
  <c r="P7"/>
  <c r="T7"/>
  <c r="H8"/>
  <c r="L8"/>
  <c r="P8"/>
  <c r="T8"/>
  <c r="H9"/>
  <c r="L9"/>
  <c r="P9"/>
  <c r="T9"/>
  <c r="H10"/>
  <c r="L10"/>
  <c r="P10"/>
  <c r="T10"/>
  <c r="H11"/>
  <c r="F6"/>
  <c r="I6"/>
  <c r="L11"/>
  <c r="P11"/>
  <c r="T11"/>
  <c r="L25"/>
  <c r="U25" s="1"/>
  <c r="V25" s="1"/>
  <c r="C26"/>
  <c r="E26"/>
  <c r="F26"/>
  <c r="G26"/>
  <c r="J26"/>
  <c r="K26"/>
  <c r="M26"/>
  <c r="N26"/>
  <c r="O26"/>
  <c r="Q26"/>
  <c r="R26"/>
  <c r="S26"/>
  <c r="H27"/>
  <c r="L27"/>
  <c r="P27"/>
  <c r="T27"/>
  <c r="H28"/>
  <c r="L28"/>
  <c r="P28"/>
  <c r="T28"/>
  <c r="E37"/>
  <c r="F37"/>
  <c r="I37"/>
  <c r="J37"/>
  <c r="K37"/>
  <c r="M37"/>
  <c r="N37"/>
  <c r="O37"/>
  <c r="Q37"/>
  <c r="R37"/>
  <c r="S37"/>
  <c r="H40"/>
  <c r="L40"/>
  <c r="P40"/>
  <c r="T40"/>
  <c r="H50"/>
  <c r="L50"/>
  <c r="P50"/>
  <c r="T50"/>
  <c r="C51"/>
  <c r="E51"/>
  <c r="F51"/>
  <c r="G51"/>
  <c r="I51"/>
  <c r="J51"/>
  <c r="K51"/>
  <c r="M51"/>
  <c r="N51"/>
  <c r="O51"/>
  <c r="Q51"/>
  <c r="R51"/>
  <c r="S51"/>
  <c r="H52"/>
  <c r="L52"/>
  <c r="P52"/>
  <c r="T52"/>
  <c r="C60"/>
  <c r="E60"/>
  <c r="F60"/>
  <c r="G60"/>
  <c r="I60"/>
  <c r="J60"/>
  <c r="K60"/>
  <c r="M60"/>
  <c r="N60"/>
  <c r="O60"/>
  <c r="Q60"/>
  <c r="R60"/>
  <c r="S60"/>
  <c r="V60"/>
  <c r="C62"/>
  <c r="E62"/>
  <c r="F62"/>
  <c r="G62"/>
  <c r="I62"/>
  <c r="J62"/>
  <c r="K62"/>
  <c r="M62"/>
  <c r="N62"/>
  <c r="P62" s="1"/>
  <c r="O62"/>
  <c r="Q62"/>
  <c r="R62"/>
  <c r="S62"/>
  <c r="H63"/>
  <c r="L63"/>
  <c r="P63"/>
  <c r="T63"/>
  <c r="F64"/>
  <c r="J64"/>
  <c r="K64"/>
  <c r="M64"/>
  <c r="N64"/>
  <c r="O64"/>
  <c r="Q64"/>
  <c r="R64"/>
  <c r="S64"/>
  <c r="H65"/>
  <c r="L65"/>
  <c r="P65"/>
  <c r="T65"/>
  <c r="H66"/>
  <c r="L66"/>
  <c r="P66"/>
  <c r="T66"/>
  <c r="H67"/>
  <c r="L67"/>
  <c r="P67"/>
  <c r="T67"/>
  <c r="H68"/>
  <c r="G64"/>
  <c r="L68"/>
  <c r="P68"/>
  <c r="T68"/>
  <c r="H69"/>
  <c r="L69"/>
  <c r="P69"/>
  <c r="T69"/>
  <c r="H70"/>
  <c r="I64"/>
  <c r="L70"/>
  <c r="P70"/>
  <c r="T70"/>
  <c r="E64"/>
  <c r="E6"/>
  <c r="C82" l="1"/>
  <c r="T26"/>
  <c r="T6"/>
  <c r="P6"/>
  <c r="L6"/>
  <c r="P41"/>
  <c r="P60"/>
  <c r="U70"/>
  <c r="V70" s="1"/>
  <c r="P64"/>
  <c r="L51"/>
  <c r="L62"/>
  <c r="H51"/>
  <c r="H60"/>
  <c r="T41"/>
  <c r="T37"/>
  <c r="L37"/>
  <c r="H62"/>
  <c r="U50"/>
  <c r="U11"/>
  <c r="V11" s="1"/>
  <c r="U7"/>
  <c r="V7" s="1"/>
  <c r="U28"/>
  <c r="V28" s="1"/>
  <c r="T64"/>
  <c r="R82"/>
  <c r="L64"/>
  <c r="U68"/>
  <c r="V68" s="1"/>
  <c r="U66"/>
  <c r="V66" s="1"/>
  <c r="H6"/>
  <c r="F82"/>
  <c r="O82"/>
  <c r="T62"/>
  <c r="U52"/>
  <c r="V52" s="1"/>
  <c r="J82"/>
  <c r="P37"/>
  <c r="U27"/>
  <c r="V27" s="1"/>
  <c r="P26"/>
  <c r="U81"/>
  <c r="V81" s="1"/>
  <c r="E82"/>
  <c r="K82"/>
  <c r="U40"/>
  <c r="T51"/>
  <c r="N82"/>
  <c r="H64"/>
  <c r="U69"/>
  <c r="V69" s="1"/>
  <c r="M82"/>
  <c r="U63"/>
  <c r="V63" s="1"/>
  <c r="V62" s="1"/>
  <c r="L26"/>
  <c r="U8"/>
  <c r="V8" s="1"/>
  <c r="U71"/>
  <c r="V71" s="1"/>
  <c r="S82"/>
  <c r="U67"/>
  <c r="V67" s="1"/>
  <c r="T60"/>
  <c r="P51"/>
  <c r="H41"/>
  <c r="H37"/>
  <c r="U10"/>
  <c r="V10" s="1"/>
  <c r="L41"/>
  <c r="U9"/>
  <c r="V9" s="1"/>
  <c r="L60"/>
  <c r="U65"/>
  <c r="V65" s="1"/>
  <c r="H26"/>
  <c r="Q82"/>
  <c r="I82"/>
  <c r="G82"/>
  <c r="V40" l="1"/>
  <c r="V37" s="1"/>
  <c r="V50"/>
  <c r="V41" s="1"/>
  <c r="U37"/>
  <c r="U6"/>
  <c r="U60"/>
  <c r="U64"/>
  <c r="U62"/>
  <c r="V51"/>
  <c r="P82"/>
  <c r="U51"/>
  <c r="T82"/>
  <c r="V6"/>
  <c r="U41"/>
  <c r="H82"/>
  <c r="U26"/>
  <c r="V26"/>
  <c r="L82"/>
  <c r="V64"/>
  <c r="U82" l="1"/>
  <c r="V82"/>
</calcChain>
</file>

<file path=xl/sharedStrings.xml><?xml version="1.0" encoding="utf-8"?>
<sst xmlns="http://schemas.openxmlformats.org/spreadsheetml/2006/main" count="316" uniqueCount="173">
  <si>
    <t>8. Meeting materials to implement comprehensive positive youth model QSNICH &amp; SRR</t>
  </si>
  <si>
    <t>9. Production of tools and materials for comprehensive positive youth model QSNICH &amp; SRR</t>
  </si>
  <si>
    <t>Total Budget/expenses 
for CoAg Y04 (FY15) (THB)</t>
  </si>
  <si>
    <t>8. OTHER</t>
  </si>
  <si>
    <t>1.</t>
  </si>
  <si>
    <r>
      <t xml:space="preserve">7. CONSTRUCTION </t>
    </r>
    <r>
      <rPr>
        <sz val="7"/>
        <color indexed="63"/>
        <rFont val="Arial"/>
        <family val="2"/>
      </rPr>
      <t>(No budget in this category)</t>
    </r>
  </si>
  <si>
    <r>
      <t xml:space="preserve">6. CONTRACTUAL </t>
    </r>
    <r>
      <rPr>
        <sz val="7"/>
        <color indexed="63"/>
        <rFont val="Arial"/>
        <family val="2"/>
      </rPr>
      <t>(No budget in this category)</t>
    </r>
  </si>
  <si>
    <t>5. SUPPLIES</t>
  </si>
  <si>
    <r>
      <t xml:space="preserve">4. EQUIPMENT </t>
    </r>
    <r>
      <rPr>
        <sz val="7"/>
        <color indexed="63"/>
        <rFont val="Arial"/>
        <family val="2"/>
      </rPr>
      <t>(No budget in this category)</t>
    </r>
  </si>
  <si>
    <t>3. TRAVEL</t>
  </si>
  <si>
    <t>2. FRINGE BENEFIT</t>
  </si>
  <si>
    <t>1. PERSONNEL</t>
  </si>
  <si>
    <t>Balance</t>
  </si>
  <si>
    <t>Total 
Expenses</t>
  </si>
  <si>
    <t>Total
Q4</t>
  </si>
  <si>
    <t>Total
Q3</t>
  </si>
  <si>
    <t>Total
Q2</t>
  </si>
  <si>
    <t>Total
Q1</t>
  </si>
  <si>
    <t>1st Amend
(THB)</t>
  </si>
  <si>
    <t>Object Class/Items</t>
  </si>
  <si>
    <t>Quarter #4</t>
  </si>
  <si>
    <t>Quarter #3</t>
  </si>
  <si>
    <t>Quarter #2</t>
  </si>
  <si>
    <t>Quarter #1</t>
  </si>
  <si>
    <t>Y05  Budget Plan:  September 1, 2015 - August  31,2016</t>
  </si>
  <si>
    <t>Sep'15</t>
  </si>
  <si>
    <t>Oct'15</t>
  </si>
  <si>
    <t>Nov'15</t>
  </si>
  <si>
    <t>Dec'15</t>
  </si>
  <si>
    <t>Jan'16</t>
  </si>
  <si>
    <t>Feb'16</t>
  </si>
  <si>
    <t>Mar'16</t>
  </si>
  <si>
    <t>Apr'16</t>
  </si>
  <si>
    <t>May'16</t>
  </si>
  <si>
    <t>Jun'16</t>
  </si>
  <si>
    <t>Jul'16</t>
  </si>
  <si>
    <t>Aug'16</t>
  </si>
  <si>
    <t xml:space="preserve"> Approved Budget 
</t>
  </si>
  <si>
    <t>1. OD and  Refreshing session for staff 
     Non local participants</t>
  </si>
  <si>
    <t>Project Code: Project Name : FLU1</t>
  </si>
  <si>
    <t>1. Project Coordinator (Chitdej)</t>
  </si>
  <si>
    <t>2. Study Nurse 
     (Narumon, Somjit, Jivana)</t>
  </si>
  <si>
    <t>3. Nurse Assistant 
     (Saranya, Sudarat, Wimonlrat, Patsada,    
     Apiradee)</t>
  </si>
  <si>
    <t>4. Data Entry (Jiraporn, Bajaree)</t>
  </si>
  <si>
    <t>5. Data Managing Personj (Suchada)</t>
  </si>
  <si>
    <t>6. Accountant (Krongthong)</t>
  </si>
  <si>
    <t>7. Assistant Accountant (Anchalee)</t>
  </si>
  <si>
    <t>8. Research Compensation (Principal Investigator)</t>
  </si>
  <si>
    <t>9. Researcher Compensation 
     (Dr.Warunee, Dr.Wiboon, Dr.Thanarat, 
     Dr.Sorasak. Dr.Panida, Dr.Naiyana, Dr.Orawan)</t>
  </si>
  <si>
    <t>10. Overtime for Study Nurse   
       ($2.58x4hr.x23dayx12monthx2person+$2.58
       x8hr.x5dayx12monthx2person in official 
       holiday)</t>
  </si>
  <si>
    <t>11. Overtime for Nurse Assistant  
       ($1.93x4hr.x23dayx12monthx3person+$2.25
       x7hr.x5dayx12monthx3person in official 
       holiday)</t>
  </si>
  <si>
    <t>12. Overtime for Data Team  
       ($1.93x4hr.x15dayx12monthx2person+$2.25
       x7hr.x3dayx12monthx2person in official 
       holiday)</t>
  </si>
  <si>
    <t>13. Researcher Compensation (Co-Principal 
       Investigator) 30% of FTE Dr.Tawee</t>
  </si>
  <si>
    <t>14. Researcher Compensation 20% of FTE 
       Dr.Varaporn</t>
  </si>
  <si>
    <t>15. Researcher Compensation 20% of FTE 
       Dr.Meera</t>
  </si>
  <si>
    <t>16. Researcher Compensation 20% of FTE 
       Dr.Mukda</t>
  </si>
  <si>
    <t>17. Researcher Compensation (Rajavithi) 
       (Dr.Suvanna, Dr.Surasak, Dr.Pojanee, 
       Dr.Nattinee)</t>
  </si>
  <si>
    <t>18. Study Nurse (Rajavithi) Jaruwan</t>
  </si>
  <si>
    <t>19. Compensation for government staff 
      ($2.58x8hr.x19dayx12monthx5person)</t>
  </si>
  <si>
    <t>8. Annual Medical Check-up 14 personx$48.38</t>
  </si>
  <si>
    <t>9. Study Nurse (Rajavithi)</t>
  </si>
  <si>
    <t>10. Annual Medical Check-up 1personx$48.38</t>
  </si>
  <si>
    <t>2. International Travel - To present research 
     findings in 2 International conference per year</t>
  </si>
  <si>
    <t>3. Local transportation expense To Travel to TUC, 
    MOPH for submiting documents and/or meetings</t>
  </si>
  <si>
    <t>1. Computer</t>
  </si>
  <si>
    <t>2. Printer</t>
  </si>
  <si>
    <t>3. UPS</t>
  </si>
  <si>
    <t>4. Meeting room table sets (for 20 person)</t>
  </si>
  <si>
    <t>5. Carbinet/Sideboard in meeting room</t>
  </si>
  <si>
    <t>6. Conference chair</t>
  </si>
  <si>
    <t>7. Meeting room audivisual Microphone and 
     amplifier</t>
  </si>
  <si>
    <t>8. Monitor system LCD Projector</t>
  </si>
  <si>
    <t>9. Server</t>
  </si>
  <si>
    <t xml:space="preserve">1. Office supplies   </t>
  </si>
  <si>
    <t xml:space="preserve">2. Clinical supplies To replace other clinical 
     supplies  </t>
  </si>
  <si>
    <t>3. Computer accessories To replace other 
     computer accessories</t>
  </si>
  <si>
    <t>4. Mobile accessories To replace mobile outated 
     battery and other accessories</t>
  </si>
  <si>
    <t>5. Vaccine (Rajavithi)</t>
  </si>
  <si>
    <t>7. Program Antivirus</t>
  </si>
  <si>
    <t>6. Microsoft office 2016</t>
  </si>
  <si>
    <t>1. Annual Progress Meeting and Protocol Training</t>
  </si>
  <si>
    <t>2. Executive committee meeting to monitor study</t>
  </si>
  <si>
    <t>3. Service charge for Telephone/Internet/Fax</t>
  </si>
  <si>
    <t>4. Photocopy machine (leasing/month)</t>
  </si>
  <si>
    <t>5. Service charge for Janitor</t>
  </si>
  <si>
    <t>6. Travel expense for Bi-annual visit (M24)</t>
  </si>
  <si>
    <t>7. Patient compensation at 24 follow up</t>
  </si>
  <si>
    <t>8. Laboratory support / support / space / 
     Mainternance Accessories for Deep Fresszer 
     and service charge</t>
  </si>
  <si>
    <t>9. Document storage To rent storage rooms to keep
    research documents for 5 year (requirement from
    research IRB)</t>
  </si>
  <si>
    <t>10. GCP Training</t>
  </si>
  <si>
    <t>11. Doctor fee (Clinic visit 0-6 months)</t>
  </si>
  <si>
    <t>12.Doctor fee for Newborn Examonation</t>
  </si>
  <si>
    <t>13. Patient Compensation (Newborn Enrollment)</t>
  </si>
  <si>
    <t>14. Patient Compensation (Pregnant women 
      enrollment)</t>
  </si>
  <si>
    <t>15. Patient travel to hospital for clinical visit</t>
  </si>
  <si>
    <t>16. Patient telephone call expense</t>
  </si>
  <si>
    <t>17. Specimen transportation</t>
  </si>
  <si>
    <t>8. Rapid test</t>
  </si>
  <si>
    <t>9. Server Plan redirection ไปใช้เรื่องห้องประชุม</t>
  </si>
  <si>
    <t>Sep'16</t>
  </si>
  <si>
    <t>Oct'16</t>
  </si>
  <si>
    <t>Nov'16</t>
  </si>
  <si>
    <t>Dec'16</t>
  </si>
  <si>
    <t>Jan'17</t>
  </si>
  <si>
    <t>Feb'17</t>
  </si>
  <si>
    <t>Mar'17</t>
  </si>
  <si>
    <t>Apr'17</t>
  </si>
  <si>
    <t>May'17</t>
  </si>
  <si>
    <t>Jun'17</t>
  </si>
  <si>
    <t>Jul'17</t>
  </si>
  <si>
    <t>Aug'17</t>
  </si>
  <si>
    <t>Researcher Compensation (Principal Investigator)
(Dr.Piyarat Santarattiwong)</t>
  </si>
  <si>
    <t>Researcher Compensation (Newborn Investigator)
(Dr.Wiboon Kanjanapattanakul)</t>
  </si>
  <si>
    <t>OD and Refreshing session for staff
Non local participants</t>
  </si>
  <si>
    <t>International Travel - To present research findings in 2 internationl conferences per year</t>
  </si>
  <si>
    <t>Total Budget/expenses 
for CoAg Y01 (FY2017) (THB)</t>
  </si>
  <si>
    <t>Data Managing Person
(Ms.Suchada Srisarang)</t>
  </si>
  <si>
    <t>Data Entry
(Ms.Jiraporn Siriarayagoson)</t>
  </si>
  <si>
    <t>Project Coordinator
(Mr.Chitdej Jirapong)</t>
  </si>
  <si>
    <t>Accountant
(Ms.Krongthong Jirapong)</t>
  </si>
  <si>
    <t>Assistant Accountant
(Ms.Anchalee Nontongpool)</t>
  </si>
  <si>
    <t>Expert Consultant 10% of FTE
(Dr.Tawee Chotpitayasunondh)</t>
  </si>
  <si>
    <t>Researcher Compensation (Rajavithi)
(Dr.Surasak Kaoiean, Dr.Suvanna Asavapiriyanont, Dr.Podjanee Phadungkiatwattana, Dr. Nattinee Srisantiroj)</t>
  </si>
  <si>
    <t>Local transportation expense
For staffs to travel between Rajavithi/Nopparat hospital or to travel to MOPH</t>
  </si>
  <si>
    <t>Supplies for Tablet and Mobile Phone
To replace mobile outdated battery and other accessories</t>
  </si>
  <si>
    <t>Photocopy machine (leasing/month)
To produce study documents and photocopy at Nopparat Hospital</t>
  </si>
  <si>
    <t>Patient compensation for weekly call response</t>
  </si>
  <si>
    <t>Y02  Budget Plan:  September 1, 2017 - August  31, 2018</t>
  </si>
  <si>
    <t xml:space="preserve">Project Code: Flu-Pregnancy </t>
  </si>
  <si>
    <t>Study Nurse
(Ms.Jivanan Chompupuen, Ms.Naruemon Sassungnune, Ms.Somchit Reunthong)</t>
  </si>
  <si>
    <t>Nurse Assistant
(Ms.Patsada Somkhuntod, Ms.Warangras Onsri, Ms.Saranya Winyawong, Ms.Sudarat Intrnusorn, Wimolrat Riab-roi)</t>
  </si>
  <si>
    <t>Overtime for Study Nurse
(Estimate $1.76 or 60THB 88 hrs per month x 12 month x 3 persons and $2.05 or 70THB x 28 hrs x 12 month x 3 persons)</t>
  </si>
  <si>
    <t>Overtime for Nurse Assistant
(Estimate $1.76 or 60THB x 88 hrs per month x 12 month x 3 persons and $2.05 or 70THB x 28 hrs x 12 month x 3 persons)</t>
  </si>
  <si>
    <t>Compensation for Study Nurse (Nopparat Rachathani hospital) (Enroll pregnant women and perform research procedures)
(Estimate $2.35 or 80THB x 70 hrs per month x 12 months x 11 persons)</t>
  </si>
  <si>
    <t>Compensation for government officers at Rajavithi Hospital
(Estimate $2.35 or 80THB x 75 hrs per month x 12 months x 3 persons and $2.05 or 70THB x 70 hrs per month x 12 months x 1 person)</t>
  </si>
  <si>
    <t>Compensation for Medical Doctor at Nopparat Rachathani hospital
(Estimate $4.11 or 140THB x 50 hrs per month x 12 months x 3 Neonatologist)</t>
  </si>
  <si>
    <t>Annual Medical Check-up
($58.82 or 2,000THB x 13 persons)</t>
  </si>
  <si>
    <t>Tablets
To collect data at Nopparat hospital and Rajavithi hospital (Will be supported with additional carry over)</t>
  </si>
  <si>
    <t>Mobile phone
To telephone patients at Nopparat hospital and Rajavithi hospital (Will be supported with additional carry over)</t>
  </si>
  <si>
    <t>Laptop
To record data at study sites (Will be supported with additional carry over)</t>
  </si>
  <si>
    <t>Weight standard
To calibrate infant weight scale (Will be supported with additional carry over)</t>
  </si>
  <si>
    <t>General office supplies
To replace other office supplies</t>
  </si>
  <si>
    <t>Clinical supplies
To use for research proceduces at ANC clinic and post-partum wards</t>
  </si>
  <si>
    <t>Program Antivirus</t>
  </si>
  <si>
    <t>Specimen collection set
For respiratory specimens collection when enrolled pregnant women a respiratory illness</t>
  </si>
  <si>
    <t>Service charge for Janitors</t>
  </si>
  <si>
    <t>Staff meeting</t>
  </si>
  <si>
    <t>Protocol training</t>
  </si>
  <si>
    <t>Meeting facility
photocopy, document, meeting expenses</t>
  </si>
  <si>
    <t>Maintenance cost for Deep Freezer</t>
  </si>
  <si>
    <t>Maintenance cost for Computer, Printer, Mobile phone, Tablet</t>
  </si>
  <si>
    <t>Research Ethics Committee Fee
Fee for Research Ethics Committee for reviewing research protocol and documentation  at protocol submission, renewal, and amendment</t>
  </si>
  <si>
    <t>Executive committee meeting to monitor study</t>
  </si>
  <si>
    <t>Patient compensation
Pregnant women enrollment</t>
  </si>
  <si>
    <t>Patient compensation (Pregnant women interview)
For follow up interview 2 times after enrollment</t>
  </si>
  <si>
    <t>Patient compensation (Pregnant women serology blood draw)
For participants in serology sub-study</t>
  </si>
  <si>
    <t>Patient compensation (Pregnant women or infants travel to hospital)
For participants travel to hospital for examination</t>
  </si>
  <si>
    <t>Pregnant women dating ultrasound
For participants ultrasound (Will be supported with additional carry over)</t>
  </si>
  <si>
    <t>Specimen shipment cost
For the cost sending specimen to USA</t>
  </si>
  <si>
    <t>Exchange rate management
To support depreciation from exchange rate fluctuation</t>
  </si>
  <si>
    <t>Overtime for Accountant (Estimate $2.05 or 70 THB*28 hrs * 11 month * 1 person)</t>
  </si>
  <si>
    <t>Overtime for Project Coordinator (Estimate $2.05 or 70 THB*28 hrs * 11 month * 1 person)</t>
  </si>
  <si>
    <t>Specimen Transportation To transfer Self-swab and blood sample to laboratory</t>
  </si>
  <si>
    <t>Telephone card</t>
  </si>
  <si>
    <t>Service charge for Telephone /Internet</t>
  </si>
  <si>
    <t>Medical data retrieval/abstract/entry ay Nopparat hospital</t>
  </si>
  <si>
    <t>Sep - Oct 2017</t>
  </si>
  <si>
    <t>Obligated in CoAgFin</t>
  </si>
  <si>
    <t>ค่าใช้จ่ายจริงที่ลงใน CoAgFin</t>
  </si>
  <si>
    <t>Compensation for Nurse Assistant (Nopparat Rachathani hospital) (Assist Study nurse) (Estimate $2.05 or 70THB x 70 hrs per month x 12 months x 8 persons)</t>
  </si>
  <si>
    <t>Nurse Assistant (Ms.Patsada Somkhuntod, Ms.Warangras Onsri, Ms.Saranya Winyawong, Ms.Sudarat Intrnusorn, Wimolrat Riab-roi)</t>
  </si>
  <si>
    <t>Compensation for government officers at QSNICH ($2.35 (80THB)x63 hrsx12 monthsx2 persons+$2.05 (70THB)x72 hrs x12 month x3 persons)+$2.35 (80THB)x77 hrsx4 monthsx2 persons</t>
  </si>
  <si>
    <t>Researcher Compensation (Nopparat Rachathani) (Dr.Boonsong Rawangban, Dr.Grisada Thomyabat, Dr.Orada Pathamasing Na Ayutaya)</t>
  </si>
</sst>
</file>

<file path=xl/styles.xml><?xml version="1.0" encoding="utf-8"?>
<styleSheet xmlns="http://schemas.openxmlformats.org/spreadsheetml/2006/main">
  <numFmts count="5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(* #,##0.00_);_(* \(#,##0.00\);_(* &quot;-&quot;??_);_(@_)"/>
    <numFmt numFmtId="188" formatCode="_(* #,##0_);_(* \(#,##0\);_(* &quot;-&quot;??_);_(@_)"/>
    <numFmt numFmtId="189" formatCode="B1mmm\-yy"/>
  </numFmts>
  <fonts count="26">
    <font>
      <sz val="10"/>
      <name val="Arial"/>
      <charset val="222"/>
    </font>
    <font>
      <sz val="14"/>
      <name val="Cordia New"/>
      <family val="2"/>
    </font>
    <font>
      <sz val="10"/>
      <name val="Arial"/>
      <family val="2"/>
    </font>
    <font>
      <sz val="14"/>
      <name val="Cordia New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7"/>
      <color indexed="12"/>
      <name val="Arial"/>
      <family val="2"/>
    </font>
    <font>
      <sz val="7"/>
      <color indexed="63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Tahoma"/>
      <family val="2"/>
      <scheme val="minor"/>
    </font>
    <font>
      <sz val="7"/>
      <color rgb="FFFF0000"/>
      <name val="Arial"/>
      <family val="2"/>
    </font>
    <font>
      <b/>
      <sz val="7"/>
      <color theme="1" tint="0.14999847407452621"/>
      <name val="Arial"/>
      <family val="2"/>
    </font>
    <font>
      <sz val="7"/>
      <color theme="1" tint="0.14999847407452621"/>
      <name val="Arial"/>
      <family val="2"/>
    </font>
    <font>
      <b/>
      <sz val="7"/>
      <color rgb="FFFF0000"/>
      <name val="Arial"/>
      <family val="2"/>
    </font>
    <font>
      <b/>
      <sz val="9"/>
      <color rgb="FFFF0000"/>
      <name val="Arial"/>
      <family val="2"/>
    </font>
    <font>
      <sz val="7"/>
      <color theme="0"/>
      <name val="Arial"/>
      <family val="2"/>
    </font>
    <font>
      <b/>
      <sz val="7"/>
      <color theme="0"/>
      <name val="Arial"/>
      <family val="2"/>
    </font>
    <font>
      <b/>
      <sz val="8"/>
      <color rgb="FFFF0000"/>
      <name val="Arial"/>
      <family val="2"/>
    </font>
    <font>
      <sz val="7"/>
      <color rgb="FF0070C0"/>
      <name val="Arial"/>
      <family val="2"/>
    </font>
    <font>
      <sz val="7"/>
      <color rgb="FF00B050"/>
      <name val="Arial"/>
      <family val="2"/>
    </font>
    <font>
      <sz val="7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7" fillId="0" borderId="0" applyFont="0" applyFill="0" applyBorder="0" applyAlignment="0" applyProtection="0"/>
    <xf numFmtId="187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4" fillId="0" borderId="0"/>
    <xf numFmtId="0" fontId="2" fillId="0" borderId="0"/>
    <xf numFmtId="0" fontId="1" fillId="0" borderId="0"/>
    <xf numFmtId="0" fontId="1" fillId="0" borderId="0"/>
    <xf numFmtId="187" fontId="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3" fillId="0" borderId="0"/>
    <xf numFmtId="0" fontId="1" fillId="0" borderId="0"/>
    <xf numFmtId="0" fontId="6" fillId="0" borderId="0"/>
    <xf numFmtId="0" fontId="2" fillId="0" borderId="0"/>
  </cellStyleXfs>
  <cellXfs count="154">
    <xf numFmtId="0" fontId="0" fillId="0" borderId="0" xfId="0"/>
    <xf numFmtId="0" fontId="8" fillId="0" borderId="0" xfId="14" applyFont="1"/>
    <xf numFmtId="187" fontId="8" fillId="0" borderId="0" xfId="2" applyFont="1"/>
    <xf numFmtId="187" fontId="15" fillId="0" borderId="0" xfId="2" applyFont="1" applyAlignment="1">
      <alignment horizontal="center" vertical="center"/>
    </xf>
    <xf numFmtId="187" fontId="15" fillId="0" borderId="0" xfId="2" applyFont="1" applyAlignment="1">
      <alignment horizontal="center"/>
    </xf>
    <xf numFmtId="187" fontId="8" fillId="0" borderId="0" xfId="2" applyFont="1" applyAlignment="1">
      <alignment horizontal="center"/>
    </xf>
    <xf numFmtId="0" fontId="8" fillId="0" borderId="0" xfId="14" applyFont="1" applyAlignment="1">
      <alignment horizontal="center"/>
    </xf>
    <xf numFmtId="187" fontId="9" fillId="0" borderId="0" xfId="2" applyFont="1" applyFill="1"/>
    <xf numFmtId="2" fontId="8" fillId="0" borderId="0" xfId="2" applyNumberFormat="1" applyFont="1" applyFill="1"/>
    <xf numFmtId="187" fontId="9" fillId="3" borderId="4" xfId="2" applyFont="1" applyFill="1" applyBorder="1" applyAlignment="1">
      <alignment horizontal="right"/>
    </xf>
    <xf numFmtId="187" fontId="9" fillId="3" borderId="4" xfId="2" applyFont="1" applyFill="1" applyBorder="1" applyAlignment="1">
      <alignment horizontal="center"/>
    </xf>
    <xf numFmtId="187" fontId="8" fillId="3" borderId="4" xfId="2" applyFont="1" applyFill="1" applyBorder="1" applyAlignment="1">
      <alignment horizontal="center"/>
    </xf>
    <xf numFmtId="187" fontId="9" fillId="3" borderId="1" xfId="2" applyFont="1" applyFill="1" applyBorder="1" applyAlignment="1">
      <alignment horizontal="center"/>
    </xf>
    <xf numFmtId="187" fontId="8" fillId="0" borderId="0" xfId="2" applyFont="1" applyFill="1"/>
    <xf numFmtId="187" fontId="8" fillId="0" borderId="1" xfId="2" applyFont="1" applyFill="1" applyBorder="1" applyAlignment="1">
      <alignment horizontal="right"/>
    </xf>
    <xf numFmtId="187" fontId="15" fillId="0" borderId="1" xfId="2" applyFont="1" applyFill="1" applyBorder="1" applyAlignment="1">
      <alignment horizontal="right" vertical="center"/>
    </xf>
    <xf numFmtId="187" fontId="8" fillId="0" borderId="3" xfId="2" applyFont="1" applyFill="1" applyBorder="1"/>
    <xf numFmtId="187" fontId="15" fillId="0" borderId="1" xfId="2" applyFont="1" applyFill="1" applyBorder="1" applyAlignment="1">
      <alignment horizontal="right"/>
    </xf>
    <xf numFmtId="0" fontId="8" fillId="0" borderId="1" xfId="14" quotePrefix="1" applyFont="1" applyFill="1" applyBorder="1" applyAlignment="1">
      <alignment horizontal="left" wrapText="1"/>
    </xf>
    <xf numFmtId="0" fontId="9" fillId="0" borderId="3" xfId="14" applyFont="1" applyFill="1" applyBorder="1" applyAlignment="1">
      <alignment horizontal="left"/>
    </xf>
    <xf numFmtId="187" fontId="8" fillId="0" borderId="1" xfId="2" applyFont="1" applyFill="1" applyBorder="1" applyAlignment="1">
      <alignment horizontal="right" vertical="center"/>
    </xf>
    <xf numFmtId="0" fontId="8" fillId="0" borderId="1" xfId="14" quotePrefix="1" applyFont="1" applyFill="1" applyBorder="1" applyAlignment="1">
      <alignment horizontal="left" vertical="center" wrapText="1"/>
    </xf>
    <xf numFmtId="187" fontId="8" fillId="0" borderId="0" xfId="2" applyFont="1" applyFill="1" applyAlignment="1">
      <alignment wrapText="1"/>
    </xf>
    <xf numFmtId="187" fontId="8" fillId="0" borderId="1" xfId="2" applyFont="1" applyFill="1" applyBorder="1" applyAlignment="1">
      <alignment horizontal="right" wrapText="1"/>
    </xf>
    <xf numFmtId="187" fontId="15" fillId="0" borderId="1" xfId="2" applyFont="1" applyFill="1" applyBorder="1" applyAlignment="1">
      <alignment horizontal="right" vertical="center" wrapText="1"/>
    </xf>
    <xf numFmtId="187" fontId="8" fillId="0" borderId="3" xfId="2" applyFont="1" applyFill="1" applyBorder="1" applyAlignment="1">
      <alignment wrapText="1"/>
    </xf>
    <xf numFmtId="187" fontId="15" fillId="0" borderId="1" xfId="2" applyFont="1" applyFill="1" applyBorder="1" applyAlignment="1">
      <alignment horizontal="right" wrapText="1"/>
    </xf>
    <xf numFmtId="0" fontId="9" fillId="0" borderId="3" xfId="14" applyFont="1" applyFill="1" applyBorder="1" applyAlignment="1">
      <alignment horizontal="left" wrapText="1"/>
    </xf>
    <xf numFmtId="2" fontId="16" fillId="0" borderId="0" xfId="2" applyNumberFormat="1" applyFont="1" applyFill="1"/>
    <xf numFmtId="187" fontId="16" fillId="2" borderId="1" xfId="2" applyFont="1" applyFill="1" applyBorder="1" applyAlignment="1">
      <alignment horizontal="right"/>
    </xf>
    <xf numFmtId="187" fontId="17" fillId="2" borderId="1" xfId="2" applyFont="1" applyFill="1" applyBorder="1"/>
    <xf numFmtId="187" fontId="8" fillId="2" borderId="1" xfId="2" applyFont="1" applyFill="1" applyBorder="1"/>
    <xf numFmtId="187" fontId="16" fillId="2" borderId="1" xfId="2" applyFont="1" applyFill="1" applyBorder="1" applyAlignment="1">
      <alignment horizontal="center" vertical="center"/>
    </xf>
    <xf numFmtId="187" fontId="10" fillId="0" borderId="0" xfId="2" applyFont="1" applyFill="1"/>
    <xf numFmtId="187" fontId="8" fillId="0" borderId="1" xfId="2" applyFont="1" applyFill="1" applyBorder="1" applyAlignment="1">
      <alignment horizontal="center" vertical="center"/>
    </xf>
    <xf numFmtId="0" fontId="8" fillId="0" borderId="1" xfId="14" quotePrefix="1" applyFont="1" applyFill="1" applyBorder="1" applyAlignment="1">
      <alignment horizontal="left"/>
    </xf>
    <xf numFmtId="0" fontId="9" fillId="0" borderId="1" xfId="14" applyFont="1" applyFill="1" applyBorder="1" applyAlignment="1">
      <alignment horizontal="left"/>
    </xf>
    <xf numFmtId="187" fontId="17" fillId="2" borderId="1" xfId="2" applyFont="1" applyFill="1" applyBorder="1" applyAlignment="1">
      <alignment horizontal="right"/>
    </xf>
    <xf numFmtId="187" fontId="8" fillId="2" borderId="1" xfId="2" applyFont="1" applyFill="1" applyBorder="1" applyAlignment="1">
      <alignment horizontal="right"/>
    </xf>
    <xf numFmtId="187" fontId="8" fillId="0" borderId="1" xfId="2" applyFont="1" applyFill="1" applyBorder="1"/>
    <xf numFmtId="187" fontId="8" fillId="0" borderId="1" xfId="2" applyFont="1" applyFill="1" applyBorder="1" applyAlignment="1">
      <alignment horizontal="center"/>
    </xf>
    <xf numFmtId="0" fontId="8" fillId="0" borderId="1" xfId="14" quotePrefix="1" applyFont="1" applyFill="1" applyBorder="1" applyAlignment="1">
      <alignment vertical="center"/>
    </xf>
    <xf numFmtId="187" fontId="8" fillId="0" borderId="0" xfId="2" applyFont="1" applyFill="1" applyBorder="1"/>
    <xf numFmtId="187" fontId="8" fillId="0" borderId="0" xfId="2" applyFont="1" applyFill="1" applyBorder="1" applyAlignment="1">
      <alignment wrapText="1"/>
    </xf>
    <xf numFmtId="187" fontId="8" fillId="0" borderId="1" xfId="2" applyFont="1" applyFill="1" applyBorder="1" applyAlignment="1">
      <alignment horizontal="center" vertical="center" wrapText="1"/>
    </xf>
    <xf numFmtId="187" fontId="8" fillId="0" borderId="1" xfId="2" quotePrefix="1" applyFont="1" applyFill="1" applyBorder="1" applyAlignment="1">
      <alignment vertical="center" wrapText="1"/>
    </xf>
    <xf numFmtId="187" fontId="8" fillId="0" borderId="1" xfId="2" applyFont="1" applyFill="1" applyBorder="1" applyAlignment="1">
      <alignment horizontal="center" wrapText="1"/>
    </xf>
    <xf numFmtId="2" fontId="16" fillId="0" borderId="0" xfId="2" applyNumberFormat="1" applyFont="1" applyFill="1" applyBorder="1"/>
    <xf numFmtId="0" fontId="8" fillId="0" borderId="1" xfId="2" applyNumberFormat="1" applyFont="1" applyFill="1" applyBorder="1" applyAlignment="1">
      <alignment horizontal="center" wrapText="1"/>
    </xf>
    <xf numFmtId="0" fontId="8" fillId="0" borderId="1" xfId="2" applyNumberFormat="1" applyFont="1" applyFill="1" applyBorder="1" applyAlignment="1">
      <alignment horizontal="center"/>
    </xf>
    <xf numFmtId="187" fontId="17" fillId="2" borderId="1" xfId="2" applyFont="1" applyFill="1" applyBorder="1" applyAlignment="1">
      <alignment horizontal="center"/>
    </xf>
    <xf numFmtId="187" fontId="8" fillId="0" borderId="1" xfId="2" applyFont="1" applyFill="1" applyBorder="1" applyAlignment="1">
      <alignment vertical="center" wrapText="1"/>
    </xf>
    <xf numFmtId="2" fontId="16" fillId="0" borderId="0" xfId="14" applyNumberFormat="1" applyFont="1"/>
    <xf numFmtId="187" fontId="16" fillId="2" borderId="1" xfId="2" applyFont="1" applyFill="1" applyBorder="1" applyAlignment="1">
      <alignment horizontal="center"/>
    </xf>
    <xf numFmtId="0" fontId="8" fillId="0" borderId="0" xfId="7" applyFont="1" applyAlignment="1"/>
    <xf numFmtId="0" fontId="8" fillId="0" borderId="0" xfId="14" applyFont="1" applyAlignment="1"/>
    <xf numFmtId="187" fontId="9" fillId="4" borderId="3" xfId="2" applyFont="1" applyFill="1" applyBorder="1" applyAlignment="1">
      <alignment horizontal="center"/>
    </xf>
    <xf numFmtId="187" fontId="9" fillId="4" borderId="5" xfId="2" applyFont="1" applyFill="1" applyBorder="1" applyAlignment="1">
      <alignment horizontal="center" wrapText="1"/>
    </xf>
    <xf numFmtId="187" fontId="18" fillId="5" borderId="6" xfId="2" applyFont="1" applyFill="1" applyBorder="1" applyAlignment="1">
      <alignment horizontal="center" wrapText="1"/>
    </xf>
    <xf numFmtId="187" fontId="9" fillId="4" borderId="3" xfId="2" applyFont="1" applyFill="1" applyBorder="1" applyAlignment="1">
      <alignment horizontal="center" wrapText="1"/>
    </xf>
    <xf numFmtId="187" fontId="18" fillId="5" borderId="1" xfId="2" applyFont="1" applyFill="1" applyBorder="1" applyAlignment="1">
      <alignment horizontal="center" wrapText="1"/>
    </xf>
    <xf numFmtId="187" fontId="9" fillId="4" borderId="1" xfId="2" applyFont="1" applyFill="1" applyBorder="1" applyAlignment="1">
      <alignment horizontal="center"/>
    </xf>
    <xf numFmtId="187" fontId="9" fillId="4" borderId="1" xfId="2" applyFont="1" applyFill="1" applyBorder="1" applyAlignment="1">
      <alignment horizontal="center" wrapText="1"/>
    </xf>
    <xf numFmtId="188" fontId="9" fillId="5" borderId="1" xfId="2" applyNumberFormat="1" applyFont="1" applyFill="1" applyBorder="1" applyAlignment="1">
      <alignment horizontal="center" wrapText="1"/>
    </xf>
    <xf numFmtId="187" fontId="9" fillId="5" borderId="1" xfId="2" applyFont="1" applyFill="1" applyBorder="1" applyAlignment="1">
      <alignment horizontal="center" wrapText="1"/>
    </xf>
    <xf numFmtId="0" fontId="9" fillId="4" borderId="1" xfId="8" applyFont="1" applyFill="1" applyBorder="1" applyAlignment="1">
      <alignment horizontal="center"/>
    </xf>
    <xf numFmtId="188" fontId="9" fillId="4" borderId="1" xfId="2" applyNumberFormat="1" applyFont="1" applyFill="1" applyBorder="1" applyAlignment="1">
      <alignment horizontal="center"/>
    </xf>
    <xf numFmtId="0" fontId="8" fillId="0" borderId="0" xfId="7" applyFont="1" applyFill="1"/>
    <xf numFmtId="0" fontId="8" fillId="0" borderId="0" xfId="14" applyFont="1" applyFill="1"/>
    <xf numFmtId="187" fontId="9" fillId="0" borderId="2" xfId="2" applyFont="1" applyFill="1" applyBorder="1" applyAlignment="1">
      <alignment horizontal="center" vertical="center"/>
    </xf>
    <xf numFmtId="187" fontId="9" fillId="0" borderId="5" xfId="2" applyFont="1" applyFill="1" applyBorder="1" applyAlignment="1">
      <alignment horizontal="center"/>
    </xf>
    <xf numFmtId="188" fontId="9" fillId="0" borderId="0" xfId="2" applyNumberFormat="1" applyFont="1" applyFill="1" applyBorder="1" applyAlignment="1">
      <alignment horizontal="center" vertical="center" wrapText="1"/>
    </xf>
    <xf numFmtId="187" fontId="9" fillId="0" borderId="0" xfId="2" applyFont="1" applyFill="1" applyBorder="1" applyAlignment="1">
      <alignment horizontal="center" vertical="center" wrapText="1"/>
    </xf>
    <xf numFmtId="0" fontId="9" fillId="0" borderId="0" xfId="8" applyFont="1" applyFill="1" applyBorder="1" applyAlignment="1">
      <alignment horizontal="center" vertical="center"/>
    </xf>
    <xf numFmtId="188" fontId="9" fillId="0" borderId="0" xfId="2" applyNumberFormat="1" applyFont="1" applyFill="1" applyBorder="1" applyAlignment="1">
      <alignment horizontal="center" vertical="center"/>
    </xf>
    <xf numFmtId="0" fontId="12" fillId="0" borderId="0" xfId="7" applyFont="1" applyFill="1" applyBorder="1"/>
    <xf numFmtId="0" fontId="12" fillId="0" borderId="0" xfId="14" applyFont="1" applyFill="1" applyBorder="1"/>
    <xf numFmtId="187" fontId="13" fillId="0" borderId="0" xfId="2" applyFont="1" applyFill="1" applyBorder="1" applyAlignment="1">
      <alignment horizontal="center" vertical="center"/>
    </xf>
    <xf numFmtId="187" fontId="13" fillId="0" borderId="0" xfId="2" applyFont="1" applyFill="1" applyBorder="1" applyAlignment="1">
      <alignment horizontal="center"/>
    </xf>
    <xf numFmtId="187" fontId="19" fillId="0" borderId="0" xfId="2" applyFont="1" applyFill="1" applyBorder="1" applyAlignment="1">
      <alignment horizontal="center" vertical="center"/>
    </xf>
    <xf numFmtId="187" fontId="19" fillId="0" borderId="0" xfId="2" applyFont="1" applyFill="1" applyBorder="1" applyAlignment="1">
      <alignment horizontal="center"/>
    </xf>
    <xf numFmtId="188" fontId="13" fillId="0" borderId="0" xfId="2" applyNumberFormat="1" applyFont="1" applyFill="1" applyBorder="1" applyAlignment="1">
      <alignment horizontal="center" vertical="center" wrapText="1"/>
    </xf>
    <xf numFmtId="187" fontId="13" fillId="0" borderId="0" xfId="2" applyFont="1" applyFill="1" applyBorder="1" applyAlignment="1">
      <alignment horizontal="center" vertical="center" wrapText="1"/>
    </xf>
    <xf numFmtId="0" fontId="13" fillId="0" borderId="0" xfId="8" applyFont="1" applyFill="1" applyBorder="1" applyAlignment="1">
      <alignment horizontal="center" vertical="center"/>
    </xf>
    <xf numFmtId="188" fontId="13" fillId="0" borderId="0" xfId="2" applyNumberFormat="1" applyFont="1" applyFill="1" applyBorder="1" applyAlignment="1">
      <alignment horizontal="left"/>
    </xf>
    <xf numFmtId="187" fontId="20" fillId="0" borderId="0" xfId="2" applyFont="1" applyAlignment="1">
      <alignment horizontal="center"/>
    </xf>
    <xf numFmtId="0" fontId="20" fillId="0" borderId="0" xfId="14" applyFont="1" applyFill="1" applyBorder="1" applyAlignment="1">
      <alignment horizontal="left" wrapText="1"/>
    </xf>
    <xf numFmtId="187" fontId="8" fillId="0" borderId="4" xfId="2" applyFont="1" applyFill="1" applyBorder="1" applyAlignment="1">
      <alignment horizontal="center"/>
    </xf>
    <xf numFmtId="187" fontId="8" fillId="0" borderId="0" xfId="2" applyFont="1" applyFill="1" applyBorder="1" applyAlignment="1"/>
    <xf numFmtId="2" fontId="16" fillId="0" borderId="0" xfId="2" applyNumberFormat="1" applyFont="1" applyFill="1" applyBorder="1" applyAlignment="1"/>
    <xf numFmtId="187" fontId="8" fillId="0" borderId="3" xfId="2" applyFont="1" applyFill="1" applyBorder="1" applyAlignment="1"/>
    <xf numFmtId="187" fontId="8" fillId="0" borderId="0" xfId="2" applyFont="1" applyFill="1" applyAlignment="1"/>
    <xf numFmtId="188" fontId="4" fillId="0" borderId="0" xfId="2" applyNumberFormat="1" applyFont="1" applyFill="1" applyBorder="1" applyAlignment="1">
      <alignment horizontal="left"/>
    </xf>
    <xf numFmtId="187" fontId="4" fillId="0" borderId="0" xfId="2" applyFont="1" applyFill="1" applyBorder="1" applyAlignment="1">
      <alignment horizontal="center" vertical="center"/>
    </xf>
    <xf numFmtId="187" fontId="22" fillId="0" borderId="0" xfId="2" applyFont="1" applyFill="1" applyBorder="1" applyAlignment="1">
      <alignment horizontal="center" vertical="center"/>
    </xf>
    <xf numFmtId="187" fontId="4" fillId="0" borderId="0" xfId="2" applyFont="1" applyFill="1" applyBorder="1" applyAlignment="1">
      <alignment horizontal="center"/>
    </xf>
    <xf numFmtId="0" fontId="5" fillId="0" borderId="0" xfId="7" applyFont="1" applyFill="1" applyBorder="1"/>
    <xf numFmtId="0" fontId="5" fillId="0" borderId="0" xfId="14" applyFont="1" applyFill="1" applyBorder="1"/>
    <xf numFmtId="0" fontId="4" fillId="0" borderId="0" xfId="8" applyFont="1" applyFill="1" applyBorder="1" applyAlignment="1">
      <alignment horizontal="center" vertical="center"/>
    </xf>
    <xf numFmtId="187" fontId="4" fillId="0" borderId="0" xfId="2" applyFont="1" applyFill="1" applyBorder="1" applyAlignment="1">
      <alignment horizontal="center" vertical="center" wrapText="1"/>
    </xf>
    <xf numFmtId="188" fontId="4" fillId="0" borderId="0" xfId="2" applyNumberFormat="1" applyFont="1" applyFill="1" applyBorder="1" applyAlignment="1">
      <alignment horizontal="center" vertical="center" wrapText="1"/>
    </xf>
    <xf numFmtId="187" fontId="22" fillId="0" borderId="0" xfId="2" applyFont="1" applyFill="1" applyBorder="1" applyAlignment="1">
      <alignment horizontal="center"/>
    </xf>
    <xf numFmtId="189" fontId="8" fillId="0" borderId="0" xfId="14" applyNumberFormat="1" applyFont="1" applyFill="1" applyAlignment="1">
      <alignment horizontal="left"/>
    </xf>
    <xf numFmtId="187" fontId="8" fillId="0" borderId="0" xfId="2" applyFont="1" applyFill="1" applyAlignment="1">
      <alignment horizontal="center"/>
    </xf>
    <xf numFmtId="0" fontId="9" fillId="0" borderId="0" xfId="14" applyFont="1" applyFill="1"/>
    <xf numFmtId="187" fontId="9" fillId="0" borderId="0" xfId="2" applyFont="1" applyFill="1" applyAlignment="1">
      <alignment horizontal="center"/>
    </xf>
    <xf numFmtId="188" fontId="4" fillId="0" borderId="0" xfId="2" applyNumberFormat="1" applyFont="1" applyFill="1" applyBorder="1" applyAlignment="1">
      <alignment horizontal="left"/>
    </xf>
    <xf numFmtId="187" fontId="23" fillId="0" borderId="1" xfId="2" applyFont="1" applyFill="1" applyBorder="1" applyAlignment="1">
      <alignment horizontal="right" wrapText="1"/>
    </xf>
    <xf numFmtId="187" fontId="23" fillId="0" borderId="1" xfId="2" applyFont="1" applyFill="1" applyBorder="1"/>
    <xf numFmtId="187" fontId="23" fillId="0" borderId="1" xfId="2" applyFont="1" applyFill="1" applyBorder="1" applyAlignment="1">
      <alignment horizontal="right"/>
    </xf>
    <xf numFmtId="187" fontId="23" fillId="0" borderId="1" xfId="2" applyFont="1" applyFill="1" applyBorder="1" applyAlignment="1">
      <alignment horizontal="right" vertical="center"/>
    </xf>
    <xf numFmtId="187" fontId="23" fillId="0" borderId="3" xfId="2" applyFont="1" applyFill="1" applyBorder="1" applyAlignment="1">
      <alignment wrapText="1"/>
    </xf>
    <xf numFmtId="187" fontId="23" fillId="0" borderId="3" xfId="2" applyFont="1" applyFill="1" applyBorder="1"/>
    <xf numFmtId="187" fontId="24" fillId="0" borderId="3" xfId="2" applyFont="1" applyFill="1" applyBorder="1" applyAlignment="1"/>
    <xf numFmtId="187" fontId="24" fillId="0" borderId="1" xfId="2" applyFont="1" applyFill="1" applyBorder="1" applyAlignment="1">
      <alignment horizontal="right"/>
    </xf>
    <xf numFmtId="187" fontId="24" fillId="0" borderId="1" xfId="2" applyFont="1" applyFill="1" applyBorder="1" applyAlignment="1">
      <alignment horizontal="right" wrapText="1"/>
    </xf>
    <xf numFmtId="187" fontId="24" fillId="0" borderId="1" xfId="2" quotePrefix="1" applyFont="1" applyFill="1" applyBorder="1" applyAlignment="1">
      <alignment vertical="center" wrapText="1"/>
    </xf>
    <xf numFmtId="187" fontId="8" fillId="7" borderId="3" xfId="2" applyFont="1" applyFill="1" applyBorder="1"/>
    <xf numFmtId="187" fontId="8" fillId="7" borderId="1" xfId="2" applyFont="1" applyFill="1" applyBorder="1" applyAlignment="1">
      <alignment horizontal="right" vertical="center"/>
    </xf>
    <xf numFmtId="0" fontId="8" fillId="0" borderId="1" xfId="2" applyNumberFormat="1" applyFont="1" applyFill="1" applyBorder="1" applyAlignment="1">
      <alignment horizontal="center" vertical="top" wrapText="1"/>
    </xf>
    <xf numFmtId="0" fontId="8" fillId="0" borderId="1" xfId="2" applyNumberFormat="1" applyFont="1" applyFill="1" applyBorder="1" applyAlignment="1">
      <alignment horizontal="center" vertical="top"/>
    </xf>
    <xf numFmtId="188" fontId="4" fillId="0" borderId="0" xfId="2" applyNumberFormat="1" applyFont="1" applyFill="1" applyBorder="1" applyAlignment="1">
      <alignment horizontal="left"/>
    </xf>
    <xf numFmtId="0" fontId="8" fillId="0" borderId="1" xfId="14" quotePrefix="1" applyFont="1" applyFill="1" applyBorder="1" applyAlignment="1">
      <alignment vertical="center" wrapText="1"/>
    </xf>
    <xf numFmtId="187" fontId="8" fillId="8" borderId="1" xfId="2" applyFont="1" applyFill="1" applyBorder="1" applyAlignment="1">
      <alignment horizontal="center" wrapText="1"/>
    </xf>
    <xf numFmtId="187" fontId="8" fillId="8" borderId="1" xfId="2" applyFont="1" applyFill="1" applyBorder="1" applyAlignment="1">
      <alignment horizontal="center"/>
    </xf>
    <xf numFmtId="187" fontId="8" fillId="8" borderId="1" xfId="2" applyFont="1" applyFill="1" applyBorder="1" applyAlignment="1">
      <alignment horizontal="center" vertical="center"/>
    </xf>
    <xf numFmtId="187" fontId="8" fillId="8" borderId="1" xfId="2" applyFont="1" applyFill="1" applyBorder="1" applyAlignment="1">
      <alignment horizontal="center" vertical="center" wrapText="1"/>
    </xf>
    <xf numFmtId="187" fontId="8" fillId="8" borderId="4" xfId="2" applyFont="1" applyFill="1" applyBorder="1" applyAlignment="1">
      <alignment horizontal="center"/>
    </xf>
    <xf numFmtId="187" fontId="25" fillId="0" borderId="1" xfId="2" applyFont="1" applyFill="1" applyBorder="1" applyAlignment="1">
      <alignment horizontal="right"/>
    </xf>
    <xf numFmtId="187" fontId="8" fillId="9" borderId="1" xfId="2" applyFont="1" applyFill="1" applyBorder="1" applyAlignment="1">
      <alignment horizontal="center" wrapText="1"/>
    </xf>
    <xf numFmtId="187" fontId="8" fillId="9" borderId="1" xfId="2" applyFont="1" applyFill="1" applyBorder="1" applyAlignment="1">
      <alignment horizontal="center" vertical="center" wrapText="1"/>
    </xf>
    <xf numFmtId="187" fontId="8" fillId="9" borderId="4" xfId="2" applyFont="1" applyFill="1" applyBorder="1" applyAlignment="1">
      <alignment horizontal="center"/>
    </xf>
    <xf numFmtId="0" fontId="8" fillId="0" borderId="1" xfId="14" applyFont="1" applyFill="1" applyBorder="1" applyAlignment="1">
      <alignment horizontal="left" wrapText="1"/>
    </xf>
    <xf numFmtId="0" fontId="8" fillId="0" borderId="1" xfId="14" applyFont="1" applyFill="1" applyBorder="1" applyAlignment="1">
      <alignment horizontal="left" vertical="center" wrapText="1"/>
    </xf>
    <xf numFmtId="187" fontId="8" fillId="0" borderId="4" xfId="2" applyFont="1" applyFill="1" applyBorder="1"/>
    <xf numFmtId="187" fontId="8" fillId="2" borderId="1" xfId="2" applyFont="1" applyFill="1" applyBorder="1" applyAlignment="1"/>
    <xf numFmtId="187" fontId="17" fillId="2" borderId="1" xfId="2" applyFont="1" applyFill="1" applyBorder="1" applyAlignment="1"/>
    <xf numFmtId="2" fontId="16" fillId="0" borderId="0" xfId="2" applyNumberFormat="1" applyFont="1" applyFill="1" applyAlignment="1"/>
    <xf numFmtId="187" fontId="18" fillId="2" borderId="1" xfId="2" applyFont="1" applyFill="1" applyBorder="1" applyAlignment="1">
      <alignment horizontal="right"/>
    </xf>
    <xf numFmtId="187" fontId="18" fillId="3" borderId="4" xfId="2" applyFont="1" applyFill="1" applyBorder="1" applyAlignment="1">
      <alignment horizontal="right"/>
    </xf>
    <xf numFmtId="0" fontId="9" fillId="9" borderId="0" xfId="14" applyFont="1" applyFill="1"/>
    <xf numFmtId="187" fontId="9" fillId="9" borderId="0" xfId="2" applyFont="1" applyFill="1" applyAlignment="1">
      <alignment horizontal="center"/>
    </xf>
    <xf numFmtId="0" fontId="8" fillId="7" borderId="0" xfId="14" applyFont="1" applyFill="1"/>
    <xf numFmtId="187" fontId="8" fillId="7" borderId="0" xfId="2" applyFont="1" applyFill="1" applyAlignment="1">
      <alignment horizontal="center"/>
    </xf>
    <xf numFmtId="188" fontId="4" fillId="0" borderId="0" xfId="2" applyNumberFormat="1" applyFont="1" applyFill="1" applyBorder="1" applyAlignment="1">
      <alignment horizontal="left"/>
    </xf>
    <xf numFmtId="187" fontId="21" fillId="6" borderId="6" xfId="2" applyFont="1" applyFill="1" applyBorder="1" applyAlignment="1">
      <alignment horizontal="center" vertical="center"/>
    </xf>
    <xf numFmtId="187" fontId="21" fillId="6" borderId="8" xfId="2" applyFont="1" applyFill="1" applyBorder="1" applyAlignment="1">
      <alignment horizontal="center" vertical="center"/>
    </xf>
    <xf numFmtId="187" fontId="21" fillId="6" borderId="7" xfId="2" applyFont="1" applyFill="1" applyBorder="1" applyAlignment="1">
      <alignment horizontal="center" vertical="center"/>
    </xf>
    <xf numFmtId="187" fontId="9" fillId="0" borderId="6" xfId="2" applyFont="1" applyFill="1" applyBorder="1" applyAlignment="1">
      <alignment horizontal="center" vertical="center"/>
    </xf>
    <xf numFmtId="187" fontId="9" fillId="0" borderId="8" xfId="2" applyFont="1" applyFill="1" applyBorder="1" applyAlignment="1">
      <alignment horizontal="center" vertical="center"/>
    </xf>
    <xf numFmtId="187" fontId="9" fillId="0" borderId="7" xfId="2" applyFont="1" applyFill="1" applyBorder="1" applyAlignment="1">
      <alignment horizontal="center" vertical="center"/>
    </xf>
    <xf numFmtId="2" fontId="16" fillId="2" borderId="1" xfId="14" applyNumberFormat="1" applyFont="1" applyFill="1" applyBorder="1" applyAlignment="1">
      <alignment horizontal="left"/>
    </xf>
    <xf numFmtId="2" fontId="9" fillId="3" borderId="6" xfId="2" applyNumberFormat="1" applyFont="1" applyFill="1" applyBorder="1" applyAlignment="1">
      <alignment horizontal="left" wrapText="1"/>
    </xf>
    <xf numFmtId="2" fontId="9" fillId="3" borderId="7" xfId="2" applyNumberFormat="1" applyFont="1" applyFill="1" applyBorder="1" applyAlignment="1">
      <alignment horizontal="left"/>
    </xf>
  </cellXfs>
  <cellStyles count="15">
    <cellStyle name="Comma 2" xfId="1"/>
    <cellStyle name="Comma 3" xfId="2"/>
    <cellStyle name="Comma 4" xfId="3"/>
    <cellStyle name="Currency 2" xfId="4"/>
    <cellStyle name="Normal" xfId="0" builtinId="0"/>
    <cellStyle name="Normal 2" xfId="5"/>
    <cellStyle name="Normal 2 2" xfId="6"/>
    <cellStyle name="Normal 3" xfId="7"/>
    <cellStyle name="Normal_Sheet1 2" xfId="8"/>
    <cellStyle name="เครื่องหมายจุลภาค 2" xfId="9"/>
    <cellStyle name="เครื่องหมายจุลภาค 2 2" xfId="10"/>
    <cellStyle name="ปกติ 2" xfId="11"/>
    <cellStyle name="ปกติ 2 2" xfId="12"/>
    <cellStyle name="ปกติ_BMA06 Budget plan FY05_08_11_05" xfId="13"/>
    <cellStyle name="ปกติ_BMA06 Budget plan FY05_08_11_05 2" xfId="1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3"/>
  <sheetViews>
    <sheetView zoomScale="120" zoomScaleNormal="120" workbookViewId="0">
      <pane xSplit="3" ySplit="5" topLeftCell="D75" activePane="bottomRight" state="frozen"/>
      <selection pane="topRight" activeCell="D1" sqref="D1"/>
      <selection pane="bottomLeft" activeCell="A6" sqref="A6"/>
      <selection pane="bottomRight" activeCell="F25" sqref="F25"/>
    </sheetView>
  </sheetViews>
  <sheetFormatPr defaultRowHeight="9.75"/>
  <cols>
    <col min="1" max="1" width="1.28515625" style="6" customWidth="1"/>
    <col min="2" max="2" width="32" style="1" customWidth="1"/>
    <col min="3" max="3" width="10.28515625" style="5" bestFit="1" customWidth="1"/>
    <col min="4" max="4" width="10.28515625" style="1" bestFit="1" customWidth="1"/>
    <col min="5" max="5" width="9.85546875" style="2" bestFit="1" customWidth="1"/>
    <col min="6" max="6" width="8.7109375" style="2" customWidth="1"/>
    <col min="7" max="7" width="10.7109375" style="2" bestFit="1" customWidth="1"/>
    <col min="8" max="8" width="9" style="4" customWidth="1"/>
    <col min="9" max="10" width="9.5703125" style="2" bestFit="1" customWidth="1"/>
    <col min="11" max="11" width="8.140625" style="2" customWidth="1"/>
    <col min="12" max="12" width="9.5703125" style="4" bestFit="1" customWidth="1"/>
    <col min="13" max="13" width="9.5703125" style="2" bestFit="1" customWidth="1"/>
    <col min="14" max="14" width="9.140625" style="2" bestFit="1" customWidth="1"/>
    <col min="15" max="15" width="8.42578125" style="2" bestFit="1" customWidth="1"/>
    <col min="16" max="16" width="9.5703125" style="4" bestFit="1" customWidth="1"/>
    <col min="17" max="17" width="8" style="2" customWidth="1"/>
    <col min="18" max="18" width="8.140625" style="2" customWidth="1"/>
    <col min="19" max="19" width="8.28515625" style="2" customWidth="1"/>
    <col min="20" max="20" width="8.140625" style="3" customWidth="1"/>
    <col min="21" max="21" width="10.42578125" style="2" customWidth="1"/>
    <col min="22" max="22" width="10.28515625" style="2" bestFit="1" customWidth="1"/>
    <col min="23" max="24" width="10.140625" style="1" customWidth="1"/>
    <col min="25" max="16384" width="9.140625" style="1"/>
  </cols>
  <sheetData>
    <row r="1" spans="1:30" s="96" customFormat="1" ht="18" customHeight="1">
      <c r="A1" s="144" t="s">
        <v>24</v>
      </c>
      <c r="B1" s="144"/>
      <c r="C1" s="144"/>
      <c r="D1" s="144"/>
      <c r="E1" s="144"/>
      <c r="F1" s="144"/>
      <c r="G1" s="144"/>
      <c r="H1" s="144"/>
      <c r="I1" s="93"/>
      <c r="J1" s="93"/>
      <c r="K1" s="93"/>
      <c r="L1" s="94"/>
      <c r="M1" s="93"/>
      <c r="N1" s="93"/>
      <c r="O1" s="93"/>
      <c r="P1" s="94"/>
      <c r="Q1" s="93"/>
      <c r="R1" s="93"/>
      <c r="S1" s="93"/>
      <c r="T1" s="94"/>
      <c r="U1" s="95"/>
      <c r="V1" s="93"/>
      <c r="AD1" s="97"/>
    </row>
    <row r="2" spans="1:30" s="96" customFormat="1" ht="15" customHeight="1">
      <c r="A2" s="92" t="s">
        <v>39</v>
      </c>
      <c r="B2" s="98"/>
      <c r="C2" s="99"/>
      <c r="D2" s="100"/>
      <c r="E2" s="93"/>
      <c r="F2" s="93"/>
      <c r="G2" s="93"/>
      <c r="H2" s="101"/>
      <c r="I2" s="93"/>
      <c r="J2" s="93"/>
      <c r="K2" s="93"/>
      <c r="L2" s="94"/>
      <c r="M2" s="93"/>
      <c r="N2" s="93"/>
      <c r="O2" s="93"/>
      <c r="P2" s="94"/>
      <c r="Q2" s="93"/>
      <c r="R2" s="93"/>
      <c r="S2" s="93"/>
      <c r="T2" s="94"/>
      <c r="U2" s="95"/>
      <c r="V2" s="93"/>
      <c r="AD2" s="97"/>
    </row>
    <row r="3" spans="1:30" s="75" customFormat="1" ht="6" customHeight="1">
      <c r="A3" s="84"/>
      <c r="B3" s="83"/>
      <c r="C3" s="82"/>
      <c r="D3" s="81"/>
      <c r="E3" s="77"/>
      <c r="F3" s="77"/>
      <c r="G3" s="77"/>
      <c r="H3" s="80"/>
      <c r="I3" s="77"/>
      <c r="J3" s="77"/>
      <c r="K3" s="77"/>
      <c r="L3" s="79"/>
      <c r="M3" s="77"/>
      <c r="N3" s="77"/>
      <c r="O3" s="77"/>
      <c r="P3" s="79"/>
      <c r="Q3" s="77"/>
      <c r="R3" s="77"/>
      <c r="S3" s="77"/>
      <c r="T3" s="79"/>
      <c r="U3" s="78"/>
      <c r="V3" s="77"/>
      <c r="AD3" s="76"/>
    </row>
    <row r="4" spans="1:30" s="67" customFormat="1" ht="19.5" customHeight="1">
      <c r="A4" s="74"/>
      <c r="B4" s="73"/>
      <c r="C4" s="72"/>
      <c r="D4" s="71"/>
      <c r="E4" s="145" t="s">
        <v>23</v>
      </c>
      <c r="F4" s="146"/>
      <c r="G4" s="146"/>
      <c r="H4" s="147"/>
      <c r="I4" s="148" t="s">
        <v>22</v>
      </c>
      <c r="J4" s="149"/>
      <c r="K4" s="149"/>
      <c r="L4" s="150"/>
      <c r="M4" s="145" t="s">
        <v>21</v>
      </c>
      <c r="N4" s="146"/>
      <c r="O4" s="146"/>
      <c r="P4" s="147"/>
      <c r="Q4" s="148" t="s">
        <v>20</v>
      </c>
      <c r="R4" s="149"/>
      <c r="S4" s="149"/>
      <c r="T4" s="150"/>
      <c r="U4" s="70"/>
      <c r="V4" s="69"/>
      <c r="AD4" s="68"/>
    </row>
    <row r="5" spans="1:30" s="54" customFormat="1" ht="23.25" customHeight="1">
      <c r="A5" s="66"/>
      <c r="B5" s="65" t="s">
        <v>19</v>
      </c>
      <c r="C5" s="64" t="s">
        <v>37</v>
      </c>
      <c r="D5" s="63" t="s">
        <v>18</v>
      </c>
      <c r="E5" s="62" t="s">
        <v>25</v>
      </c>
      <c r="F5" s="62" t="s">
        <v>26</v>
      </c>
      <c r="G5" s="62" t="s">
        <v>27</v>
      </c>
      <c r="H5" s="60" t="s">
        <v>17</v>
      </c>
      <c r="I5" s="62" t="s">
        <v>28</v>
      </c>
      <c r="J5" s="62" t="s">
        <v>29</v>
      </c>
      <c r="K5" s="61" t="s">
        <v>30</v>
      </c>
      <c r="L5" s="60" t="s">
        <v>16</v>
      </c>
      <c r="M5" s="61" t="s">
        <v>31</v>
      </c>
      <c r="N5" s="61" t="s">
        <v>32</v>
      </c>
      <c r="O5" s="61" t="s">
        <v>33</v>
      </c>
      <c r="P5" s="60" t="s">
        <v>15</v>
      </c>
      <c r="Q5" s="59" t="s">
        <v>34</v>
      </c>
      <c r="R5" s="56" t="s">
        <v>35</v>
      </c>
      <c r="S5" s="56" t="s">
        <v>36</v>
      </c>
      <c r="T5" s="58" t="s">
        <v>14</v>
      </c>
      <c r="U5" s="57" t="s">
        <v>13</v>
      </c>
      <c r="V5" s="56" t="s">
        <v>12</v>
      </c>
      <c r="AD5" s="55"/>
    </row>
    <row r="6" spans="1:30" s="52" customFormat="1" ht="18" customHeight="1">
      <c r="A6" s="151" t="s">
        <v>11</v>
      </c>
      <c r="B6" s="151"/>
      <c r="C6" s="53">
        <f>SUM(C7:C25)</f>
        <v>10442412</v>
      </c>
      <c r="D6" s="53">
        <f>SUM(D7:D25)</f>
        <v>10442412</v>
      </c>
      <c r="E6" s="31">
        <f>SUM(E7:E25)</f>
        <v>874383</v>
      </c>
      <c r="F6" s="31">
        <f>SUM(F7:F25)</f>
        <v>831347</v>
      </c>
      <c r="G6" s="31">
        <f>SUM(G7:G25)</f>
        <v>783757</v>
      </c>
      <c r="H6" s="29">
        <f t="shared" ref="H6:H60" si="0">SUM(E6:G6)</f>
        <v>2489487</v>
      </c>
      <c r="I6" s="31">
        <f>SUM(I7:I25)</f>
        <v>875765</v>
      </c>
      <c r="J6" s="31">
        <f>SUM(J7:J25)</f>
        <v>888357</v>
      </c>
      <c r="K6" s="31">
        <f>SUM(K7:K25)</f>
        <v>783817</v>
      </c>
      <c r="L6" s="29">
        <f t="shared" ref="L6:L60" si="1">SUM(I6:K6)</f>
        <v>2547939</v>
      </c>
      <c r="M6" s="31">
        <f>SUM(M7:M25)</f>
        <v>820497</v>
      </c>
      <c r="N6" s="31">
        <f>SUM(N7:N25)</f>
        <v>788367</v>
      </c>
      <c r="O6" s="31">
        <f>SUM(O7:O25)</f>
        <v>0</v>
      </c>
      <c r="P6" s="29">
        <f t="shared" ref="P6:P60" si="2">SUM(M6:O6)</f>
        <v>1608864</v>
      </c>
      <c r="Q6" s="30">
        <f>SUM(Q7:Q25)</f>
        <v>0</v>
      </c>
      <c r="R6" s="30">
        <f>SUM(R7:R25)</f>
        <v>0</v>
      </c>
      <c r="S6" s="30">
        <f>SUM(S7:S25)</f>
        <v>0</v>
      </c>
      <c r="T6" s="29">
        <f t="shared" ref="T6:T60" si="3">SUM(Q6:S6)</f>
        <v>0</v>
      </c>
      <c r="U6" s="29">
        <f t="shared" ref="U6:U60" si="4">H6+L6+P6+T6</f>
        <v>6646290</v>
      </c>
      <c r="V6" s="29">
        <f>SUM(V7:V25)</f>
        <v>3796122</v>
      </c>
    </row>
    <row r="7" spans="1:30" s="43" customFormat="1" ht="20.25" customHeight="1">
      <c r="A7" s="48"/>
      <c r="B7" s="51" t="s">
        <v>40</v>
      </c>
      <c r="C7" s="46">
        <v>660000</v>
      </c>
      <c r="D7" s="46">
        <v>660000</v>
      </c>
      <c r="E7" s="23">
        <v>55000</v>
      </c>
      <c r="F7" s="23">
        <v>55000</v>
      </c>
      <c r="G7" s="23">
        <v>55000</v>
      </c>
      <c r="H7" s="26">
        <f t="shared" si="0"/>
        <v>165000</v>
      </c>
      <c r="I7" s="23">
        <v>55000</v>
      </c>
      <c r="J7" s="23">
        <v>55000</v>
      </c>
      <c r="K7" s="23">
        <v>55000</v>
      </c>
      <c r="L7" s="26">
        <f t="shared" si="1"/>
        <v>165000</v>
      </c>
      <c r="M7" s="23">
        <v>55000</v>
      </c>
      <c r="N7" s="23">
        <v>55000</v>
      </c>
      <c r="O7" s="23"/>
      <c r="P7" s="26">
        <f t="shared" si="2"/>
        <v>110000</v>
      </c>
      <c r="Q7" s="23"/>
      <c r="R7" s="23"/>
      <c r="S7" s="23"/>
      <c r="T7" s="24">
        <f t="shared" si="3"/>
        <v>0</v>
      </c>
      <c r="U7" s="23">
        <f t="shared" si="4"/>
        <v>440000</v>
      </c>
      <c r="V7" s="23">
        <f>D7-U7</f>
        <v>220000</v>
      </c>
    </row>
    <row r="8" spans="1:30" s="43" customFormat="1" ht="19.5" customHeight="1">
      <c r="A8" s="48"/>
      <c r="B8" s="45" t="s">
        <v>41</v>
      </c>
      <c r="C8" s="46">
        <v>1980000</v>
      </c>
      <c r="D8" s="46">
        <v>1980000</v>
      </c>
      <c r="E8" s="23">
        <f>55000*3</f>
        <v>165000</v>
      </c>
      <c r="F8" s="23">
        <f>55000*3</f>
        <v>165000</v>
      </c>
      <c r="G8" s="23">
        <f>55000*3</f>
        <v>165000</v>
      </c>
      <c r="H8" s="26">
        <f t="shared" si="0"/>
        <v>495000</v>
      </c>
      <c r="I8" s="23">
        <f>55000*3</f>
        <v>165000</v>
      </c>
      <c r="J8" s="23">
        <f>55000*3</f>
        <v>165000</v>
      </c>
      <c r="K8" s="23">
        <v>165000</v>
      </c>
      <c r="L8" s="26">
        <f t="shared" si="1"/>
        <v>495000</v>
      </c>
      <c r="M8" s="23">
        <v>165000</v>
      </c>
      <c r="N8" s="23">
        <v>165000</v>
      </c>
      <c r="O8" s="23"/>
      <c r="P8" s="26">
        <f t="shared" si="2"/>
        <v>330000</v>
      </c>
      <c r="Q8" s="23"/>
      <c r="R8" s="23"/>
      <c r="S8" s="23"/>
      <c r="T8" s="24">
        <f t="shared" si="3"/>
        <v>0</v>
      </c>
      <c r="U8" s="23">
        <f t="shared" si="4"/>
        <v>1320000</v>
      </c>
      <c r="V8" s="23">
        <f t="shared" ref="V8:V59" si="5">D8-U8</f>
        <v>660000</v>
      </c>
    </row>
    <row r="9" spans="1:30" s="43" customFormat="1" ht="29.25">
      <c r="A9" s="48"/>
      <c r="B9" s="45" t="s">
        <v>42</v>
      </c>
      <c r="C9" s="46">
        <v>2010060</v>
      </c>
      <c r="D9" s="46">
        <v>2010060</v>
      </c>
      <c r="E9" s="23">
        <f>31906*5</f>
        <v>159530</v>
      </c>
      <c r="F9" s="23">
        <f>33501*5</f>
        <v>167505</v>
      </c>
      <c r="G9" s="23">
        <f>33501*5</f>
        <v>167505</v>
      </c>
      <c r="H9" s="26">
        <f t="shared" si="0"/>
        <v>494540</v>
      </c>
      <c r="I9" s="23">
        <f>35096*5</f>
        <v>175480</v>
      </c>
      <c r="J9" s="23">
        <f>33501*5</f>
        <v>167505</v>
      </c>
      <c r="K9" s="23">
        <v>167505</v>
      </c>
      <c r="L9" s="26">
        <f t="shared" si="1"/>
        <v>510490</v>
      </c>
      <c r="M9" s="23">
        <v>167505</v>
      </c>
      <c r="N9" s="23">
        <v>167505</v>
      </c>
      <c r="O9" s="23"/>
      <c r="P9" s="26">
        <f t="shared" si="2"/>
        <v>335010</v>
      </c>
      <c r="Q9" s="23"/>
      <c r="R9" s="23"/>
      <c r="S9" s="23"/>
      <c r="T9" s="24">
        <f t="shared" si="3"/>
        <v>0</v>
      </c>
      <c r="U9" s="23">
        <f t="shared" si="4"/>
        <v>1340040</v>
      </c>
      <c r="V9" s="23">
        <f t="shared" si="5"/>
        <v>670020</v>
      </c>
    </row>
    <row r="10" spans="1:30" s="43" customFormat="1" ht="17.25" customHeight="1">
      <c r="A10" s="48"/>
      <c r="B10" s="45" t="s">
        <v>43</v>
      </c>
      <c r="C10" s="46">
        <v>611064</v>
      </c>
      <c r="D10" s="46">
        <v>611064</v>
      </c>
      <c r="E10" s="23">
        <f>24249*2</f>
        <v>48498</v>
      </c>
      <c r="F10" s="23">
        <f>25461*2</f>
        <v>50922</v>
      </c>
      <c r="G10" s="23">
        <f>25461*2</f>
        <v>50922</v>
      </c>
      <c r="H10" s="26">
        <f t="shared" si="0"/>
        <v>150342</v>
      </c>
      <c r="I10" s="23">
        <f>26673*2</f>
        <v>53346</v>
      </c>
      <c r="J10" s="23">
        <f>25461*2</f>
        <v>50922</v>
      </c>
      <c r="K10" s="23">
        <v>50922</v>
      </c>
      <c r="L10" s="26">
        <f t="shared" si="1"/>
        <v>155190</v>
      </c>
      <c r="M10" s="23">
        <v>50922</v>
      </c>
      <c r="N10" s="23">
        <v>50922</v>
      </c>
      <c r="O10" s="23"/>
      <c r="P10" s="26">
        <f t="shared" si="2"/>
        <v>101844</v>
      </c>
      <c r="Q10" s="23"/>
      <c r="R10" s="23"/>
      <c r="S10" s="23"/>
      <c r="T10" s="24">
        <f t="shared" si="3"/>
        <v>0</v>
      </c>
      <c r="U10" s="23">
        <f t="shared" si="4"/>
        <v>407376</v>
      </c>
      <c r="V10" s="23">
        <f t="shared" si="5"/>
        <v>203688</v>
      </c>
    </row>
    <row r="11" spans="1:30" s="43" customFormat="1" ht="18" customHeight="1">
      <c r="A11" s="48"/>
      <c r="B11" s="45" t="s">
        <v>44</v>
      </c>
      <c r="C11" s="46">
        <v>402012</v>
      </c>
      <c r="D11" s="46">
        <v>402012</v>
      </c>
      <c r="E11" s="23">
        <v>31906</v>
      </c>
      <c r="F11" s="23">
        <v>33501</v>
      </c>
      <c r="G11" s="23">
        <v>33501</v>
      </c>
      <c r="H11" s="26">
        <f t="shared" si="0"/>
        <v>98908</v>
      </c>
      <c r="I11" s="23">
        <v>35096</v>
      </c>
      <c r="J11" s="23">
        <v>33501</v>
      </c>
      <c r="K11" s="23">
        <v>33501</v>
      </c>
      <c r="L11" s="26">
        <f t="shared" si="1"/>
        <v>102098</v>
      </c>
      <c r="M11" s="23">
        <v>33501</v>
      </c>
      <c r="N11" s="23">
        <v>33501</v>
      </c>
      <c r="O11" s="23"/>
      <c r="P11" s="26">
        <f t="shared" si="2"/>
        <v>67002</v>
      </c>
      <c r="Q11" s="23"/>
      <c r="R11" s="23"/>
      <c r="S11" s="23"/>
      <c r="T11" s="24">
        <f t="shared" si="3"/>
        <v>0</v>
      </c>
      <c r="U11" s="23">
        <f t="shared" si="4"/>
        <v>268008</v>
      </c>
      <c r="V11" s="23">
        <f t="shared" si="5"/>
        <v>134004</v>
      </c>
    </row>
    <row r="12" spans="1:30" s="43" customFormat="1" ht="15" customHeight="1">
      <c r="A12" s="48"/>
      <c r="B12" s="45" t="s">
        <v>45</v>
      </c>
      <c r="C12" s="46">
        <v>437580</v>
      </c>
      <c r="D12" s="46">
        <v>437580</v>
      </c>
      <c r="E12" s="23">
        <v>34729</v>
      </c>
      <c r="F12" s="23">
        <v>36465</v>
      </c>
      <c r="G12" s="23">
        <v>36465</v>
      </c>
      <c r="H12" s="26">
        <f t="shared" si="0"/>
        <v>107659</v>
      </c>
      <c r="I12" s="23">
        <v>38201</v>
      </c>
      <c r="J12" s="23">
        <v>36465</v>
      </c>
      <c r="K12" s="23">
        <v>36465</v>
      </c>
      <c r="L12" s="26">
        <f t="shared" si="1"/>
        <v>111131</v>
      </c>
      <c r="M12" s="23">
        <v>36465</v>
      </c>
      <c r="N12" s="23">
        <v>36465</v>
      </c>
      <c r="O12" s="23"/>
      <c r="P12" s="26">
        <f t="shared" si="2"/>
        <v>72930</v>
      </c>
      <c r="Q12" s="23"/>
      <c r="R12" s="23"/>
      <c r="S12" s="23"/>
      <c r="T12" s="24">
        <f t="shared" si="3"/>
        <v>0</v>
      </c>
      <c r="U12" s="23">
        <f t="shared" si="4"/>
        <v>291720</v>
      </c>
      <c r="V12" s="23">
        <f t="shared" si="5"/>
        <v>145860</v>
      </c>
    </row>
    <row r="13" spans="1:30" s="43" customFormat="1" ht="15.75" customHeight="1">
      <c r="A13" s="48"/>
      <c r="B13" s="45" t="s">
        <v>46</v>
      </c>
      <c r="C13" s="46">
        <v>218784</v>
      </c>
      <c r="D13" s="46">
        <v>218784</v>
      </c>
      <c r="E13" s="23">
        <v>17364</v>
      </c>
      <c r="F13" s="23">
        <v>18232</v>
      </c>
      <c r="G13" s="23">
        <v>18232</v>
      </c>
      <c r="H13" s="26">
        <f t="shared" si="0"/>
        <v>53828</v>
      </c>
      <c r="I13" s="23">
        <v>19100</v>
      </c>
      <c r="J13" s="23">
        <v>18232</v>
      </c>
      <c r="K13" s="23">
        <v>18232</v>
      </c>
      <c r="L13" s="26">
        <f t="shared" si="1"/>
        <v>55564</v>
      </c>
      <c r="M13" s="23">
        <v>18232</v>
      </c>
      <c r="N13" s="23">
        <v>18232</v>
      </c>
      <c r="O13" s="23"/>
      <c r="P13" s="26">
        <f t="shared" si="2"/>
        <v>36464</v>
      </c>
      <c r="Q13" s="23"/>
      <c r="R13" s="23"/>
      <c r="S13" s="23"/>
      <c r="T13" s="24">
        <f t="shared" si="3"/>
        <v>0</v>
      </c>
      <c r="U13" s="23">
        <f t="shared" si="4"/>
        <v>145856</v>
      </c>
      <c r="V13" s="23">
        <f t="shared" si="5"/>
        <v>72928</v>
      </c>
    </row>
    <row r="14" spans="1:30" s="43" customFormat="1" ht="18.75" customHeight="1">
      <c r="A14" s="48"/>
      <c r="B14" s="45" t="s">
        <v>47</v>
      </c>
      <c r="C14" s="46">
        <v>216000</v>
      </c>
      <c r="D14" s="46">
        <v>216000</v>
      </c>
      <c r="E14" s="23">
        <v>18000</v>
      </c>
      <c r="F14" s="23">
        <v>18000</v>
      </c>
      <c r="G14" s="23">
        <v>18000</v>
      </c>
      <c r="H14" s="26">
        <f t="shared" si="0"/>
        <v>54000</v>
      </c>
      <c r="I14" s="23">
        <v>18000</v>
      </c>
      <c r="J14" s="23">
        <v>18000</v>
      </c>
      <c r="K14" s="23">
        <v>18000</v>
      </c>
      <c r="L14" s="26">
        <f t="shared" si="1"/>
        <v>54000</v>
      </c>
      <c r="M14" s="23">
        <v>18000</v>
      </c>
      <c r="N14" s="23">
        <v>18000</v>
      </c>
      <c r="O14" s="23"/>
      <c r="P14" s="26">
        <f t="shared" si="2"/>
        <v>36000</v>
      </c>
      <c r="Q14" s="23"/>
      <c r="R14" s="23"/>
      <c r="S14" s="23"/>
      <c r="T14" s="24">
        <f t="shared" si="3"/>
        <v>0</v>
      </c>
      <c r="U14" s="23">
        <f t="shared" si="4"/>
        <v>144000</v>
      </c>
      <c r="V14" s="23">
        <f t="shared" si="5"/>
        <v>72000</v>
      </c>
    </row>
    <row r="15" spans="1:30" s="43" customFormat="1" ht="32.25" customHeight="1">
      <c r="A15" s="48"/>
      <c r="B15" s="45" t="s">
        <v>48</v>
      </c>
      <c r="C15" s="46">
        <v>840000</v>
      </c>
      <c r="D15" s="46">
        <v>840000</v>
      </c>
      <c r="E15" s="23">
        <v>70000</v>
      </c>
      <c r="F15" s="23">
        <v>20000</v>
      </c>
      <c r="G15" s="23">
        <v>20000</v>
      </c>
      <c r="H15" s="26">
        <f t="shared" si="0"/>
        <v>110000</v>
      </c>
      <c r="I15" s="23">
        <v>20000</v>
      </c>
      <c r="J15" s="23">
        <v>20000</v>
      </c>
      <c r="K15" s="23">
        <v>20000</v>
      </c>
      <c r="L15" s="26">
        <f t="shared" si="1"/>
        <v>60000</v>
      </c>
      <c r="M15" s="23">
        <v>20000</v>
      </c>
      <c r="N15" s="23">
        <v>20000</v>
      </c>
      <c r="O15" s="23"/>
      <c r="P15" s="26">
        <f t="shared" si="2"/>
        <v>40000</v>
      </c>
      <c r="Q15" s="23"/>
      <c r="R15" s="23"/>
      <c r="S15" s="23"/>
      <c r="T15" s="24">
        <f t="shared" si="3"/>
        <v>0</v>
      </c>
      <c r="U15" s="23">
        <f t="shared" si="4"/>
        <v>210000</v>
      </c>
      <c r="V15" s="23">
        <f t="shared" si="5"/>
        <v>630000</v>
      </c>
    </row>
    <row r="16" spans="1:30" s="43" customFormat="1" ht="39">
      <c r="A16" s="48"/>
      <c r="B16" s="45" t="s">
        <v>49</v>
      </c>
      <c r="C16" s="46">
        <v>253440</v>
      </c>
      <c r="D16" s="46">
        <v>253440</v>
      </c>
      <c r="E16" s="23">
        <f>4480+3840+3840+7680+8320+7680+3520</f>
        <v>39360</v>
      </c>
      <c r="F16" s="23">
        <f>6720+6720+7680+3360</f>
        <v>24480</v>
      </c>
      <c r="G16" s="23">
        <f>5760+6720+6080+3360</f>
        <v>21920</v>
      </c>
      <c r="H16" s="26">
        <f t="shared" ref="H16:H24" si="6">SUM(E16:G16)</f>
        <v>85760</v>
      </c>
      <c r="I16" s="23">
        <f>6720+5760+7360+2560+3200</f>
        <v>25600</v>
      </c>
      <c r="J16" s="23">
        <f>6080+5760+6080+2560+3200</f>
        <v>23680</v>
      </c>
      <c r="K16" s="23">
        <f>6720+5440+6080+2560+3200</f>
        <v>24000</v>
      </c>
      <c r="L16" s="26">
        <f t="shared" ref="L16:L24" si="7">SUM(I16:K16)</f>
        <v>73280</v>
      </c>
      <c r="M16" s="23">
        <f>7040+6720+6080+2560+3680</f>
        <v>26080</v>
      </c>
      <c r="N16" s="23"/>
      <c r="O16" s="23"/>
      <c r="P16" s="26">
        <f t="shared" ref="P16:P24" si="8">SUM(M16:O16)</f>
        <v>26080</v>
      </c>
      <c r="Q16" s="23"/>
      <c r="R16" s="23"/>
      <c r="S16" s="23"/>
      <c r="T16" s="24">
        <f t="shared" ref="T16:T24" si="9">SUM(Q16:S16)</f>
        <v>0</v>
      </c>
      <c r="U16" s="23">
        <f t="shared" ref="U16:U24" si="10">H16+L16+P16+T16</f>
        <v>185120</v>
      </c>
      <c r="V16" s="23">
        <f t="shared" si="5"/>
        <v>68320</v>
      </c>
    </row>
    <row r="17" spans="1:22" s="43" customFormat="1" ht="39">
      <c r="A17" s="48"/>
      <c r="B17" s="45" t="s">
        <v>50</v>
      </c>
      <c r="C17" s="46">
        <v>286920</v>
      </c>
      <c r="D17" s="46">
        <v>286920</v>
      </c>
      <c r="E17" s="23">
        <f>960+1210+1450+1210+1940+1210+1940+2160+2160+720+1680+720+1920</f>
        <v>19280</v>
      </c>
      <c r="F17" s="23">
        <f>5560+6290+600+6040+1080+6050</f>
        <v>25620</v>
      </c>
      <c r="G17" s="23">
        <f>5060+5320+720+4830+1200+5550</f>
        <v>22680</v>
      </c>
      <c r="H17" s="26">
        <f t="shared" si="6"/>
        <v>67580</v>
      </c>
      <c r="I17" s="23">
        <f>5320+4090+4350+2890+5800+4830+5310</f>
        <v>32590</v>
      </c>
      <c r="J17" s="23">
        <f>5080+4330+4950+3750+4340+3370+4590</f>
        <v>30410</v>
      </c>
      <c r="K17" s="23">
        <f>3600+4590+4590+3870+4830+5190+4340</f>
        <v>31010</v>
      </c>
      <c r="L17" s="26">
        <f t="shared" si="7"/>
        <v>94010</v>
      </c>
      <c r="M17" s="23">
        <f>4080+4320+4820+4720+6040+5920+5300</f>
        <v>35200</v>
      </c>
      <c r="N17" s="23"/>
      <c r="O17" s="23"/>
      <c r="P17" s="26">
        <f t="shared" si="8"/>
        <v>35200</v>
      </c>
      <c r="Q17" s="23"/>
      <c r="R17" s="23"/>
      <c r="S17" s="23"/>
      <c r="T17" s="24">
        <f t="shared" si="9"/>
        <v>0</v>
      </c>
      <c r="U17" s="23">
        <f t="shared" si="10"/>
        <v>196790</v>
      </c>
      <c r="V17" s="23">
        <f t="shared" si="5"/>
        <v>90130</v>
      </c>
    </row>
    <row r="18" spans="1:22" s="43" customFormat="1" ht="39">
      <c r="A18" s="48"/>
      <c r="B18" s="45" t="s">
        <v>51</v>
      </c>
      <c r="C18" s="46">
        <v>121680</v>
      </c>
      <c r="D18" s="46">
        <v>121680</v>
      </c>
      <c r="E18" s="23">
        <f>4100+4590</f>
        <v>8690</v>
      </c>
      <c r="F18" s="23">
        <f>4600+5080</f>
        <v>9680</v>
      </c>
      <c r="G18" s="23">
        <f>3390+5080</f>
        <v>8470</v>
      </c>
      <c r="H18" s="26">
        <f t="shared" si="6"/>
        <v>26840</v>
      </c>
      <c r="I18" s="23">
        <f>4100+4350</f>
        <v>8450</v>
      </c>
      <c r="J18" s="23">
        <f>3630+4350</f>
        <v>7980</v>
      </c>
      <c r="K18" s="23">
        <f>3380+3620</f>
        <v>7000</v>
      </c>
      <c r="L18" s="26">
        <f t="shared" si="7"/>
        <v>23430</v>
      </c>
      <c r="M18" s="23">
        <f>3380+4350</f>
        <v>7730</v>
      </c>
      <c r="N18" s="23"/>
      <c r="O18" s="23"/>
      <c r="P18" s="26">
        <f t="shared" si="8"/>
        <v>7730</v>
      </c>
      <c r="Q18" s="23"/>
      <c r="R18" s="23"/>
      <c r="S18" s="23"/>
      <c r="T18" s="24">
        <f t="shared" si="9"/>
        <v>0</v>
      </c>
      <c r="U18" s="23">
        <f t="shared" si="10"/>
        <v>58000</v>
      </c>
      <c r="V18" s="23">
        <f t="shared" si="5"/>
        <v>63680</v>
      </c>
    </row>
    <row r="19" spans="1:22" s="43" customFormat="1" ht="19.5">
      <c r="A19" s="48"/>
      <c r="B19" s="45" t="s">
        <v>52</v>
      </c>
      <c r="C19" s="46">
        <v>360000</v>
      </c>
      <c r="D19" s="46">
        <v>360000</v>
      </c>
      <c r="E19" s="23">
        <v>30000</v>
      </c>
      <c r="F19" s="23">
        <v>30000</v>
      </c>
      <c r="G19" s="23">
        <v>30000</v>
      </c>
      <c r="H19" s="26">
        <f t="shared" si="6"/>
        <v>90000</v>
      </c>
      <c r="I19" s="23">
        <v>30000</v>
      </c>
      <c r="J19" s="23">
        <v>30000</v>
      </c>
      <c r="K19" s="23">
        <v>30000</v>
      </c>
      <c r="L19" s="26">
        <f t="shared" si="7"/>
        <v>90000</v>
      </c>
      <c r="M19" s="23">
        <v>30000</v>
      </c>
      <c r="N19" s="23">
        <v>30000</v>
      </c>
      <c r="O19" s="23"/>
      <c r="P19" s="26">
        <f t="shared" si="8"/>
        <v>60000</v>
      </c>
      <c r="Q19" s="23"/>
      <c r="R19" s="23"/>
      <c r="S19" s="23"/>
      <c r="T19" s="24">
        <f t="shared" si="9"/>
        <v>0</v>
      </c>
      <c r="U19" s="23">
        <f t="shared" si="10"/>
        <v>240000</v>
      </c>
      <c r="V19" s="23">
        <f t="shared" si="5"/>
        <v>120000</v>
      </c>
    </row>
    <row r="20" spans="1:22" s="43" customFormat="1" ht="19.5">
      <c r="A20" s="48"/>
      <c r="B20" s="45" t="s">
        <v>53</v>
      </c>
      <c r="C20" s="46">
        <v>205200</v>
      </c>
      <c r="D20" s="46">
        <v>205200</v>
      </c>
      <c r="E20" s="23">
        <v>17100</v>
      </c>
      <c r="F20" s="23">
        <v>17100</v>
      </c>
      <c r="G20" s="23">
        <v>17100</v>
      </c>
      <c r="H20" s="26">
        <f t="shared" si="6"/>
        <v>51300</v>
      </c>
      <c r="I20" s="23">
        <v>17100</v>
      </c>
      <c r="J20" s="23">
        <v>17100</v>
      </c>
      <c r="K20" s="23">
        <v>17100</v>
      </c>
      <c r="L20" s="26">
        <f t="shared" si="7"/>
        <v>51300</v>
      </c>
      <c r="M20" s="23">
        <v>17100</v>
      </c>
      <c r="N20" s="23">
        <v>17100</v>
      </c>
      <c r="O20" s="23"/>
      <c r="P20" s="26">
        <f t="shared" si="8"/>
        <v>34200</v>
      </c>
      <c r="Q20" s="23"/>
      <c r="R20" s="23"/>
      <c r="S20" s="23"/>
      <c r="T20" s="24">
        <f t="shared" si="9"/>
        <v>0</v>
      </c>
      <c r="U20" s="23">
        <f t="shared" si="10"/>
        <v>136800</v>
      </c>
      <c r="V20" s="23">
        <f t="shared" si="5"/>
        <v>68400</v>
      </c>
    </row>
    <row r="21" spans="1:22" s="43" customFormat="1" ht="19.5">
      <c r="A21" s="48"/>
      <c r="B21" s="45" t="s">
        <v>54</v>
      </c>
      <c r="C21" s="46">
        <v>120264</v>
      </c>
      <c r="D21" s="46">
        <v>120264</v>
      </c>
      <c r="E21" s="23">
        <v>10022</v>
      </c>
      <c r="F21" s="23">
        <v>10022</v>
      </c>
      <c r="G21" s="23">
        <v>10022</v>
      </c>
      <c r="H21" s="26">
        <f t="shared" si="6"/>
        <v>30066</v>
      </c>
      <c r="I21" s="23">
        <v>10022</v>
      </c>
      <c r="J21" s="23">
        <v>10022</v>
      </c>
      <c r="K21" s="23">
        <v>10022</v>
      </c>
      <c r="L21" s="26">
        <f t="shared" si="7"/>
        <v>30066</v>
      </c>
      <c r="M21" s="23">
        <v>10022</v>
      </c>
      <c r="N21" s="23">
        <v>10022</v>
      </c>
      <c r="O21" s="23"/>
      <c r="P21" s="26">
        <f t="shared" si="8"/>
        <v>20044</v>
      </c>
      <c r="Q21" s="23"/>
      <c r="R21" s="23"/>
      <c r="S21" s="23"/>
      <c r="T21" s="24">
        <f t="shared" si="9"/>
        <v>0</v>
      </c>
      <c r="U21" s="23">
        <f t="shared" si="10"/>
        <v>80176</v>
      </c>
      <c r="V21" s="23">
        <f t="shared" si="5"/>
        <v>40088</v>
      </c>
    </row>
    <row r="22" spans="1:22" s="43" customFormat="1" ht="19.5">
      <c r="A22" s="48"/>
      <c r="B22" s="45" t="s">
        <v>55</v>
      </c>
      <c r="C22" s="46">
        <v>149808</v>
      </c>
      <c r="D22" s="46">
        <v>149808</v>
      </c>
      <c r="E22" s="23">
        <v>12484</v>
      </c>
      <c r="F22" s="23"/>
      <c r="G22" s="23"/>
      <c r="H22" s="26">
        <f t="shared" si="6"/>
        <v>12484</v>
      </c>
      <c r="I22" s="23"/>
      <c r="J22" s="23"/>
      <c r="K22" s="23"/>
      <c r="L22" s="26">
        <f t="shared" si="7"/>
        <v>0</v>
      </c>
      <c r="M22" s="23"/>
      <c r="N22" s="23"/>
      <c r="O22" s="23"/>
      <c r="P22" s="26">
        <f t="shared" si="8"/>
        <v>0</v>
      </c>
      <c r="Q22" s="23"/>
      <c r="R22" s="23"/>
      <c r="S22" s="23"/>
      <c r="T22" s="24">
        <f t="shared" si="9"/>
        <v>0</v>
      </c>
      <c r="U22" s="23">
        <f t="shared" si="10"/>
        <v>12484</v>
      </c>
      <c r="V22" s="23">
        <f t="shared" si="5"/>
        <v>137324</v>
      </c>
    </row>
    <row r="23" spans="1:22" s="43" customFormat="1" ht="29.25">
      <c r="A23" s="48"/>
      <c r="B23" s="45" t="s">
        <v>56</v>
      </c>
      <c r="C23" s="46">
        <v>480000</v>
      </c>
      <c r="D23" s="46">
        <v>480000</v>
      </c>
      <c r="E23" s="23">
        <v>40000</v>
      </c>
      <c r="F23" s="23">
        <v>40000</v>
      </c>
      <c r="G23" s="23">
        <v>40000</v>
      </c>
      <c r="H23" s="26">
        <f t="shared" si="6"/>
        <v>120000</v>
      </c>
      <c r="I23" s="23">
        <v>40000</v>
      </c>
      <c r="J23" s="23">
        <v>40000</v>
      </c>
      <c r="K23" s="23">
        <v>40000</v>
      </c>
      <c r="L23" s="26">
        <f t="shared" si="7"/>
        <v>120000</v>
      </c>
      <c r="M23" s="23">
        <v>40000</v>
      </c>
      <c r="N23" s="23">
        <v>40000</v>
      </c>
      <c r="O23" s="23"/>
      <c r="P23" s="26">
        <f t="shared" si="8"/>
        <v>80000</v>
      </c>
      <c r="Q23" s="23"/>
      <c r="R23" s="23"/>
      <c r="S23" s="23"/>
      <c r="T23" s="24">
        <f t="shared" si="9"/>
        <v>0</v>
      </c>
      <c r="U23" s="23">
        <f t="shared" si="10"/>
        <v>320000</v>
      </c>
      <c r="V23" s="23">
        <f t="shared" si="5"/>
        <v>160000</v>
      </c>
    </row>
    <row r="24" spans="1:22" s="43" customFormat="1" ht="15" customHeight="1">
      <c r="A24" s="48"/>
      <c r="B24" s="45" t="s">
        <v>57</v>
      </c>
      <c r="C24" s="46">
        <v>360000</v>
      </c>
      <c r="D24" s="46">
        <v>360000</v>
      </c>
      <c r="E24" s="23">
        <v>30000</v>
      </c>
      <c r="F24" s="23">
        <v>30000</v>
      </c>
      <c r="G24" s="23">
        <v>30000</v>
      </c>
      <c r="H24" s="26">
        <f t="shared" si="6"/>
        <v>90000</v>
      </c>
      <c r="I24" s="23">
        <v>30000</v>
      </c>
      <c r="J24" s="23">
        <v>30000</v>
      </c>
      <c r="K24" s="23">
        <v>30000</v>
      </c>
      <c r="L24" s="26">
        <f t="shared" si="7"/>
        <v>90000</v>
      </c>
      <c r="M24" s="23">
        <v>30000</v>
      </c>
      <c r="N24" s="23">
        <v>30000</v>
      </c>
      <c r="O24" s="23"/>
      <c r="P24" s="26">
        <f t="shared" si="8"/>
        <v>60000</v>
      </c>
      <c r="Q24" s="23"/>
      <c r="R24" s="23"/>
      <c r="S24" s="23"/>
      <c r="T24" s="24">
        <f t="shared" si="9"/>
        <v>0</v>
      </c>
      <c r="U24" s="23">
        <f t="shared" si="10"/>
        <v>240000</v>
      </c>
      <c r="V24" s="23">
        <f t="shared" si="5"/>
        <v>120000</v>
      </c>
    </row>
    <row r="25" spans="1:22" s="43" customFormat="1" ht="19.5">
      <c r="A25" s="48"/>
      <c r="B25" s="45" t="s">
        <v>58</v>
      </c>
      <c r="C25" s="46">
        <v>729600</v>
      </c>
      <c r="D25" s="46">
        <v>729600</v>
      </c>
      <c r="E25" s="23">
        <f>13360+11760+30240+12060</f>
        <v>67420</v>
      </c>
      <c r="F25" s="23">
        <f>30240+12060+11200+1920+24400</f>
        <v>79820</v>
      </c>
      <c r="G25" s="23">
        <f>1680+5040*5+12060</f>
        <v>38940</v>
      </c>
      <c r="H25" s="26">
        <f t="shared" si="0"/>
        <v>186180</v>
      </c>
      <c r="I25" s="23">
        <f>24400+11200+9520+30240+12060+15360</f>
        <v>102780</v>
      </c>
      <c r="J25" s="23">
        <f>36400+33600+3360+30240+8960+12460+9520</f>
        <v>134540</v>
      </c>
      <c r="K25" s="23">
        <f>8960+10460+10640</f>
        <v>30060</v>
      </c>
      <c r="L25" s="26">
        <f t="shared" si="1"/>
        <v>267380</v>
      </c>
      <c r="M25" s="23">
        <f>30240+10080+8960+10460</f>
        <v>59740</v>
      </c>
      <c r="N25" s="23">
        <f>30240+6400+10460+7280+42240</f>
        <v>96620</v>
      </c>
      <c r="O25" s="23"/>
      <c r="P25" s="26">
        <f t="shared" si="2"/>
        <v>156360</v>
      </c>
      <c r="Q25" s="23"/>
      <c r="R25" s="23"/>
      <c r="S25" s="23"/>
      <c r="T25" s="24">
        <f t="shared" si="3"/>
        <v>0</v>
      </c>
      <c r="U25" s="23">
        <f t="shared" si="4"/>
        <v>609920</v>
      </c>
      <c r="V25" s="23">
        <f t="shared" si="5"/>
        <v>119680</v>
      </c>
    </row>
    <row r="26" spans="1:22" s="89" customFormat="1" ht="18" customHeight="1">
      <c r="A26" s="151" t="s">
        <v>10</v>
      </c>
      <c r="B26" s="151"/>
      <c r="C26" s="53">
        <f>SUM(C27:C36)</f>
        <v>157500</v>
      </c>
      <c r="D26" s="53">
        <f>SUM(D27:D36)</f>
        <v>157500</v>
      </c>
      <c r="E26" s="38">
        <f>SUM(E27:E36)</f>
        <v>10500</v>
      </c>
      <c r="F26" s="38">
        <f>SUM(F27:F36)</f>
        <v>10500</v>
      </c>
      <c r="G26" s="38">
        <f>SUM(G27:G36)</f>
        <v>10500</v>
      </c>
      <c r="H26" s="29">
        <f t="shared" si="0"/>
        <v>31500</v>
      </c>
      <c r="I26" s="38">
        <f>SUM(I27:I36)</f>
        <v>10500</v>
      </c>
      <c r="J26" s="38">
        <f>SUM(J27:J36)</f>
        <v>10500</v>
      </c>
      <c r="K26" s="38">
        <f>SUM(K27:K36)</f>
        <v>10500</v>
      </c>
      <c r="L26" s="29">
        <f t="shared" si="1"/>
        <v>31500</v>
      </c>
      <c r="M26" s="38">
        <f>SUM(M27:M36)</f>
        <v>10500</v>
      </c>
      <c r="N26" s="38">
        <f>SUM(N27:N36)</f>
        <v>10500</v>
      </c>
      <c r="O26" s="38">
        <f>SUM(O27:O36)</f>
        <v>0</v>
      </c>
      <c r="P26" s="29">
        <f t="shared" si="2"/>
        <v>21000</v>
      </c>
      <c r="Q26" s="50">
        <f>SUM(Q27:Q36)</f>
        <v>0</v>
      </c>
      <c r="R26" s="50">
        <f>SUM(R27:R36)</f>
        <v>0</v>
      </c>
      <c r="S26" s="50">
        <f>SUM(S27:S36)</f>
        <v>0</v>
      </c>
      <c r="T26" s="29">
        <f t="shared" si="3"/>
        <v>0</v>
      </c>
      <c r="U26" s="29">
        <f t="shared" si="4"/>
        <v>84000</v>
      </c>
      <c r="V26" s="29">
        <f>SUM(V27:V36)</f>
        <v>73500</v>
      </c>
    </row>
    <row r="27" spans="1:22" s="42" customFormat="1" ht="15.75" customHeight="1">
      <c r="A27" s="49"/>
      <c r="B27" s="51" t="s">
        <v>40</v>
      </c>
      <c r="C27" s="40">
        <v>9000</v>
      </c>
      <c r="D27" s="40">
        <v>9000</v>
      </c>
      <c r="E27" s="39">
        <v>750</v>
      </c>
      <c r="F27" s="39">
        <v>750</v>
      </c>
      <c r="G27" s="39">
        <v>750</v>
      </c>
      <c r="H27" s="17">
        <f t="shared" si="0"/>
        <v>2250</v>
      </c>
      <c r="I27" s="39">
        <v>750</v>
      </c>
      <c r="J27" s="39">
        <v>750</v>
      </c>
      <c r="K27" s="39">
        <v>750</v>
      </c>
      <c r="L27" s="17">
        <f t="shared" si="1"/>
        <v>2250</v>
      </c>
      <c r="M27" s="39">
        <v>750</v>
      </c>
      <c r="N27" s="39">
        <v>750</v>
      </c>
      <c r="O27" s="39"/>
      <c r="P27" s="17">
        <f t="shared" si="2"/>
        <v>1500</v>
      </c>
      <c r="Q27" s="39"/>
      <c r="R27" s="39"/>
      <c r="S27" s="39"/>
      <c r="T27" s="15">
        <f t="shared" si="3"/>
        <v>0</v>
      </c>
      <c r="U27" s="14">
        <f t="shared" si="4"/>
        <v>6000</v>
      </c>
      <c r="V27" s="23">
        <f t="shared" si="5"/>
        <v>3000</v>
      </c>
    </row>
    <row r="28" spans="1:22" s="42" customFormat="1" ht="19.5">
      <c r="A28" s="49"/>
      <c r="B28" s="45" t="s">
        <v>41</v>
      </c>
      <c r="C28" s="40">
        <v>27000</v>
      </c>
      <c r="D28" s="40">
        <v>27000</v>
      </c>
      <c r="E28" s="39">
        <f>750*3</f>
        <v>2250</v>
      </c>
      <c r="F28" s="39">
        <f>750*3</f>
        <v>2250</v>
      </c>
      <c r="G28" s="39">
        <f>750*3</f>
        <v>2250</v>
      </c>
      <c r="H28" s="17">
        <f t="shared" si="0"/>
        <v>6750</v>
      </c>
      <c r="I28" s="39">
        <f>750*3</f>
        <v>2250</v>
      </c>
      <c r="J28" s="39">
        <f>750*3</f>
        <v>2250</v>
      </c>
      <c r="K28" s="39">
        <v>2250</v>
      </c>
      <c r="L28" s="17">
        <f t="shared" si="1"/>
        <v>6750</v>
      </c>
      <c r="M28" s="39">
        <v>2250</v>
      </c>
      <c r="N28" s="39">
        <v>2250</v>
      </c>
      <c r="O28" s="39"/>
      <c r="P28" s="17">
        <f t="shared" si="2"/>
        <v>4500</v>
      </c>
      <c r="Q28" s="39"/>
      <c r="R28" s="39"/>
      <c r="S28" s="39"/>
      <c r="T28" s="15">
        <f t="shared" si="3"/>
        <v>0</v>
      </c>
      <c r="U28" s="14">
        <f t="shared" si="4"/>
        <v>18000</v>
      </c>
      <c r="V28" s="23">
        <f t="shared" si="5"/>
        <v>9000</v>
      </c>
    </row>
    <row r="29" spans="1:22" s="42" customFormat="1" ht="29.25">
      <c r="A29" s="49"/>
      <c r="B29" s="45" t="s">
        <v>42</v>
      </c>
      <c r="C29" s="46">
        <v>45000</v>
      </c>
      <c r="D29" s="46">
        <v>45000</v>
      </c>
      <c r="E29" s="39">
        <f>750*5</f>
        <v>3750</v>
      </c>
      <c r="F29" s="39">
        <f>750*5</f>
        <v>3750</v>
      </c>
      <c r="G29" s="39">
        <f>750*5</f>
        <v>3750</v>
      </c>
      <c r="H29" s="17">
        <f t="shared" ref="H29:H35" si="11">SUM(E29:G29)</f>
        <v>11250</v>
      </c>
      <c r="I29" s="39">
        <f>750*5</f>
        <v>3750</v>
      </c>
      <c r="J29" s="39">
        <f>750*5</f>
        <v>3750</v>
      </c>
      <c r="K29" s="39">
        <v>3750</v>
      </c>
      <c r="L29" s="17">
        <f t="shared" ref="L29:L35" si="12">SUM(I29:K29)</f>
        <v>11250</v>
      </c>
      <c r="M29" s="39">
        <v>3750</v>
      </c>
      <c r="N29" s="39">
        <v>3750</v>
      </c>
      <c r="O29" s="39"/>
      <c r="P29" s="17">
        <f t="shared" ref="P29:P35" si="13">SUM(M29:O29)</f>
        <v>7500</v>
      </c>
      <c r="Q29" s="39"/>
      <c r="R29" s="39"/>
      <c r="S29" s="39"/>
      <c r="T29" s="15">
        <f t="shared" ref="T29:T35" si="14">SUM(Q29:S29)</f>
        <v>0</v>
      </c>
      <c r="U29" s="14">
        <f t="shared" ref="U29:U35" si="15">H29+L29+P29+T29</f>
        <v>30000</v>
      </c>
      <c r="V29" s="23">
        <f t="shared" si="5"/>
        <v>15000</v>
      </c>
    </row>
    <row r="30" spans="1:22" s="42" customFormat="1" ht="17.25" customHeight="1">
      <c r="A30" s="49"/>
      <c r="B30" s="45" t="s">
        <v>43</v>
      </c>
      <c r="C30" s="46">
        <v>18000</v>
      </c>
      <c r="D30" s="46">
        <v>18000</v>
      </c>
      <c r="E30" s="39">
        <f>750*2</f>
        <v>1500</v>
      </c>
      <c r="F30" s="39">
        <f>750*2</f>
        <v>1500</v>
      </c>
      <c r="G30" s="39">
        <f>750*2</f>
        <v>1500</v>
      </c>
      <c r="H30" s="17">
        <f t="shared" si="11"/>
        <v>4500</v>
      </c>
      <c r="I30" s="39">
        <f>750*2</f>
        <v>1500</v>
      </c>
      <c r="J30" s="39">
        <f>750*2</f>
        <v>1500</v>
      </c>
      <c r="K30" s="39">
        <v>1500</v>
      </c>
      <c r="L30" s="17">
        <f t="shared" si="12"/>
        <v>4500</v>
      </c>
      <c r="M30" s="39">
        <v>1500</v>
      </c>
      <c r="N30" s="39">
        <v>1500</v>
      </c>
      <c r="O30" s="39"/>
      <c r="P30" s="17">
        <f t="shared" si="13"/>
        <v>3000</v>
      </c>
      <c r="Q30" s="39"/>
      <c r="R30" s="39"/>
      <c r="S30" s="39"/>
      <c r="T30" s="15">
        <f t="shared" si="14"/>
        <v>0</v>
      </c>
      <c r="U30" s="14">
        <f t="shared" si="15"/>
        <v>12000</v>
      </c>
      <c r="V30" s="23">
        <f t="shared" si="5"/>
        <v>6000</v>
      </c>
    </row>
    <row r="31" spans="1:22" s="42" customFormat="1" ht="17.25" customHeight="1">
      <c r="A31" s="49"/>
      <c r="B31" s="45" t="s">
        <v>44</v>
      </c>
      <c r="C31" s="46">
        <v>9000</v>
      </c>
      <c r="D31" s="46">
        <v>9000</v>
      </c>
      <c r="E31" s="39">
        <v>750</v>
      </c>
      <c r="F31" s="39">
        <v>750</v>
      </c>
      <c r="G31" s="39">
        <v>750</v>
      </c>
      <c r="H31" s="17">
        <f t="shared" si="11"/>
        <v>2250</v>
      </c>
      <c r="I31" s="39">
        <v>750</v>
      </c>
      <c r="J31" s="39">
        <v>750</v>
      </c>
      <c r="K31" s="39">
        <v>750</v>
      </c>
      <c r="L31" s="17">
        <f t="shared" si="12"/>
        <v>2250</v>
      </c>
      <c r="M31" s="39">
        <v>750</v>
      </c>
      <c r="N31" s="39">
        <v>750</v>
      </c>
      <c r="O31" s="39"/>
      <c r="P31" s="17">
        <f t="shared" si="13"/>
        <v>1500</v>
      </c>
      <c r="Q31" s="39"/>
      <c r="R31" s="39"/>
      <c r="S31" s="39"/>
      <c r="T31" s="15">
        <f t="shared" si="14"/>
        <v>0</v>
      </c>
      <c r="U31" s="14">
        <f t="shared" si="15"/>
        <v>6000</v>
      </c>
      <c r="V31" s="23">
        <f t="shared" si="5"/>
        <v>3000</v>
      </c>
    </row>
    <row r="32" spans="1:22" s="42" customFormat="1" ht="17.25" customHeight="1">
      <c r="A32" s="49"/>
      <c r="B32" s="45" t="s">
        <v>45</v>
      </c>
      <c r="C32" s="46">
        <v>9000</v>
      </c>
      <c r="D32" s="46">
        <v>9000</v>
      </c>
      <c r="E32" s="39">
        <v>750</v>
      </c>
      <c r="F32" s="39">
        <v>750</v>
      </c>
      <c r="G32" s="39">
        <v>750</v>
      </c>
      <c r="H32" s="17">
        <f t="shared" si="11"/>
        <v>2250</v>
      </c>
      <c r="I32" s="39">
        <v>750</v>
      </c>
      <c r="J32" s="39">
        <v>750</v>
      </c>
      <c r="K32" s="39">
        <v>750</v>
      </c>
      <c r="L32" s="17">
        <f t="shared" si="12"/>
        <v>2250</v>
      </c>
      <c r="M32" s="39">
        <v>750</v>
      </c>
      <c r="N32" s="39">
        <v>750</v>
      </c>
      <c r="O32" s="39"/>
      <c r="P32" s="17">
        <f t="shared" si="13"/>
        <v>1500</v>
      </c>
      <c r="Q32" s="39"/>
      <c r="R32" s="39"/>
      <c r="S32" s="39"/>
      <c r="T32" s="15">
        <f t="shared" si="14"/>
        <v>0</v>
      </c>
      <c r="U32" s="14">
        <f t="shared" si="15"/>
        <v>6000</v>
      </c>
      <c r="V32" s="23">
        <f t="shared" si="5"/>
        <v>3000</v>
      </c>
    </row>
    <row r="33" spans="1:22" s="42" customFormat="1" ht="17.25" customHeight="1">
      <c r="A33" s="49"/>
      <c r="B33" s="45" t="s">
        <v>46</v>
      </c>
      <c r="C33" s="46">
        <v>9000</v>
      </c>
      <c r="D33" s="46">
        <v>9000</v>
      </c>
      <c r="E33" s="39">
        <v>750</v>
      </c>
      <c r="F33" s="39">
        <v>750</v>
      </c>
      <c r="G33" s="39">
        <v>750</v>
      </c>
      <c r="H33" s="17">
        <f t="shared" si="11"/>
        <v>2250</v>
      </c>
      <c r="I33" s="39">
        <v>750</v>
      </c>
      <c r="J33" s="39">
        <v>750</v>
      </c>
      <c r="K33" s="39">
        <v>750</v>
      </c>
      <c r="L33" s="17">
        <f t="shared" si="12"/>
        <v>2250</v>
      </c>
      <c r="M33" s="39">
        <v>750</v>
      </c>
      <c r="N33" s="39">
        <v>750</v>
      </c>
      <c r="O33" s="39"/>
      <c r="P33" s="17">
        <f t="shared" si="13"/>
        <v>1500</v>
      </c>
      <c r="Q33" s="39"/>
      <c r="R33" s="39"/>
      <c r="S33" s="39"/>
      <c r="T33" s="15">
        <f t="shared" si="14"/>
        <v>0</v>
      </c>
      <c r="U33" s="14">
        <f t="shared" si="15"/>
        <v>6000</v>
      </c>
      <c r="V33" s="23">
        <f t="shared" si="5"/>
        <v>3000</v>
      </c>
    </row>
    <row r="34" spans="1:22" s="42" customFormat="1" ht="17.25" customHeight="1">
      <c r="A34" s="49"/>
      <c r="B34" s="45" t="s">
        <v>59</v>
      </c>
      <c r="C34" s="46">
        <v>21000</v>
      </c>
      <c r="D34" s="46">
        <v>21000</v>
      </c>
      <c r="E34" s="39"/>
      <c r="F34" s="39"/>
      <c r="G34" s="39"/>
      <c r="H34" s="17">
        <f t="shared" si="11"/>
        <v>0</v>
      </c>
      <c r="I34" s="39"/>
      <c r="J34" s="39"/>
      <c r="K34" s="39"/>
      <c r="L34" s="17">
        <f t="shared" si="12"/>
        <v>0</v>
      </c>
      <c r="M34" s="39"/>
      <c r="N34" s="39"/>
      <c r="O34" s="39"/>
      <c r="P34" s="17">
        <f t="shared" si="13"/>
        <v>0</v>
      </c>
      <c r="Q34" s="39"/>
      <c r="R34" s="39"/>
      <c r="S34" s="39"/>
      <c r="T34" s="15">
        <f t="shared" si="14"/>
        <v>0</v>
      </c>
      <c r="U34" s="14">
        <f t="shared" si="15"/>
        <v>0</v>
      </c>
      <c r="V34" s="23">
        <f t="shared" si="5"/>
        <v>21000</v>
      </c>
    </row>
    <row r="35" spans="1:22" s="42" customFormat="1" ht="17.25" customHeight="1">
      <c r="A35" s="49"/>
      <c r="B35" s="45" t="s">
        <v>60</v>
      </c>
      <c r="C35" s="46">
        <v>9000</v>
      </c>
      <c r="D35" s="46">
        <v>9000</v>
      </c>
      <c r="E35" s="39"/>
      <c r="F35" s="39"/>
      <c r="G35" s="39"/>
      <c r="H35" s="17">
        <f t="shared" si="11"/>
        <v>0</v>
      </c>
      <c r="I35" s="39"/>
      <c r="J35" s="39"/>
      <c r="K35" s="39"/>
      <c r="L35" s="17">
        <f t="shared" si="12"/>
        <v>0</v>
      </c>
      <c r="M35" s="39"/>
      <c r="N35" s="39"/>
      <c r="O35" s="39"/>
      <c r="P35" s="17">
        <f t="shared" si="13"/>
        <v>0</v>
      </c>
      <c r="Q35" s="39"/>
      <c r="R35" s="39"/>
      <c r="S35" s="39"/>
      <c r="T35" s="15">
        <f t="shared" si="14"/>
        <v>0</v>
      </c>
      <c r="U35" s="14">
        <f t="shared" si="15"/>
        <v>0</v>
      </c>
      <c r="V35" s="23">
        <f t="shared" si="5"/>
        <v>9000</v>
      </c>
    </row>
    <row r="36" spans="1:22" s="42" customFormat="1" ht="17.25" customHeight="1">
      <c r="A36" s="49"/>
      <c r="B36" s="45" t="s">
        <v>61</v>
      </c>
      <c r="C36" s="46">
        <v>1500</v>
      </c>
      <c r="D36" s="46">
        <v>1500</v>
      </c>
      <c r="E36" s="39"/>
      <c r="F36" s="39"/>
      <c r="G36" s="39"/>
      <c r="H36" s="17">
        <f t="shared" si="0"/>
        <v>0</v>
      </c>
      <c r="I36" s="39"/>
      <c r="J36" s="39"/>
      <c r="K36" s="39"/>
      <c r="L36" s="17">
        <f t="shared" si="1"/>
        <v>0</v>
      </c>
      <c r="M36" s="39"/>
      <c r="N36" s="39"/>
      <c r="O36" s="39"/>
      <c r="P36" s="17">
        <f t="shared" si="2"/>
        <v>0</v>
      </c>
      <c r="Q36" s="39"/>
      <c r="R36" s="39"/>
      <c r="S36" s="39"/>
      <c r="T36" s="15">
        <f t="shared" si="3"/>
        <v>0</v>
      </c>
      <c r="U36" s="14">
        <f t="shared" si="4"/>
        <v>0</v>
      </c>
      <c r="V36" s="23">
        <f t="shared" si="5"/>
        <v>1500</v>
      </c>
    </row>
    <row r="37" spans="1:22" s="47" customFormat="1" ht="18.75" customHeight="1">
      <c r="A37" s="151" t="s">
        <v>9</v>
      </c>
      <c r="B37" s="151"/>
      <c r="C37" s="32">
        <f>SUM(C38:C40)</f>
        <v>1443500</v>
      </c>
      <c r="D37" s="32">
        <f>SUM(D38:D40)</f>
        <v>1443500</v>
      </c>
      <c r="E37" s="31">
        <f>SUM(E40:E40)</f>
        <v>800</v>
      </c>
      <c r="F37" s="31">
        <f>SUM(F40:F40)</f>
        <v>800</v>
      </c>
      <c r="G37" s="31">
        <f>SUM(G38:G40)</f>
        <v>127510</v>
      </c>
      <c r="H37" s="29">
        <f t="shared" si="0"/>
        <v>129110</v>
      </c>
      <c r="I37" s="31">
        <f>SUM(I40:I40)</f>
        <v>800</v>
      </c>
      <c r="J37" s="31">
        <f>SUM(J40:J40)</f>
        <v>0</v>
      </c>
      <c r="K37" s="31">
        <f>SUM(K40:K40)</f>
        <v>400</v>
      </c>
      <c r="L37" s="29">
        <f t="shared" si="1"/>
        <v>1200</v>
      </c>
      <c r="M37" s="31">
        <f>SUM(M40:M40)</f>
        <v>1600</v>
      </c>
      <c r="N37" s="31">
        <f>SUM(N40:N40)</f>
        <v>0</v>
      </c>
      <c r="O37" s="31">
        <f>SUM(O40:O40)</f>
        <v>0</v>
      </c>
      <c r="P37" s="29">
        <f t="shared" si="2"/>
        <v>1600</v>
      </c>
      <c r="Q37" s="30">
        <f>SUM(Q40:Q40)</f>
        <v>0</v>
      </c>
      <c r="R37" s="30">
        <f>SUM(R40:R40)</f>
        <v>0</v>
      </c>
      <c r="S37" s="30">
        <f>SUM(S40:S40)</f>
        <v>0</v>
      </c>
      <c r="T37" s="29">
        <f t="shared" si="3"/>
        <v>0</v>
      </c>
      <c r="U37" s="29">
        <f t="shared" si="4"/>
        <v>131910</v>
      </c>
      <c r="V37" s="29">
        <f>SUM(V38:V40)</f>
        <v>1167590</v>
      </c>
    </row>
    <row r="38" spans="1:22" s="88" customFormat="1" ht="18.75" customHeight="1">
      <c r="A38" s="49"/>
      <c r="B38" s="45" t="s">
        <v>38</v>
      </c>
      <c r="C38" s="40">
        <v>467500</v>
      </c>
      <c r="D38" s="40">
        <v>467500</v>
      </c>
      <c r="E38" s="14"/>
      <c r="F38" s="14"/>
      <c r="G38" s="14"/>
      <c r="H38" s="17">
        <f t="shared" ref="H38:H39" si="16">SUM(E38:G38)</f>
        <v>0</v>
      </c>
      <c r="I38" s="14"/>
      <c r="J38" s="14">
        <f>90000+53460+540</f>
        <v>144000</v>
      </c>
      <c r="K38" s="14"/>
      <c r="L38" s="17">
        <f t="shared" ref="L38:L39" si="17">SUM(I38:K38)</f>
        <v>144000</v>
      </c>
      <c r="M38" s="14"/>
      <c r="N38" s="14"/>
      <c r="O38" s="14"/>
      <c r="P38" s="17">
        <f t="shared" ref="P38:P39" si="18">SUM(M38:O38)</f>
        <v>0</v>
      </c>
      <c r="Q38" s="14"/>
      <c r="R38" s="14"/>
      <c r="S38" s="14"/>
      <c r="T38" s="17">
        <f t="shared" ref="T38:T39" si="19">SUM(Q38:S38)</f>
        <v>0</v>
      </c>
      <c r="U38" s="14">
        <f t="shared" ref="U38:U39" si="20">H38+L38+P38+T38</f>
        <v>144000</v>
      </c>
      <c r="V38" s="23">
        <f t="shared" si="5"/>
        <v>323500</v>
      </c>
    </row>
    <row r="39" spans="1:22" s="88" customFormat="1" ht="18.75" customHeight="1">
      <c r="A39" s="49"/>
      <c r="B39" s="45" t="s">
        <v>62</v>
      </c>
      <c r="C39" s="40">
        <v>960000</v>
      </c>
      <c r="D39" s="40">
        <v>960000</v>
      </c>
      <c r="E39" s="14"/>
      <c r="F39" s="14"/>
      <c r="G39" s="14">
        <f>65708+61802</f>
        <v>127510</v>
      </c>
      <c r="H39" s="17">
        <f t="shared" si="16"/>
        <v>127510</v>
      </c>
      <c r="I39" s="14"/>
      <c r="J39" s="14"/>
      <c r="K39" s="14"/>
      <c r="L39" s="17">
        <f t="shared" si="17"/>
        <v>0</v>
      </c>
      <c r="M39" s="14"/>
      <c r="N39" s="14"/>
      <c r="O39" s="14"/>
      <c r="P39" s="17">
        <f t="shared" si="18"/>
        <v>0</v>
      </c>
      <c r="Q39" s="14"/>
      <c r="R39" s="14"/>
      <c r="S39" s="14"/>
      <c r="T39" s="17">
        <f t="shared" si="19"/>
        <v>0</v>
      </c>
      <c r="U39" s="14">
        <f t="shared" si="20"/>
        <v>127510</v>
      </c>
      <c r="V39" s="23">
        <f t="shared" si="5"/>
        <v>832490</v>
      </c>
    </row>
    <row r="40" spans="1:22" s="88" customFormat="1" ht="18.75" customHeight="1">
      <c r="A40" s="49"/>
      <c r="B40" s="45" t="s">
        <v>63</v>
      </c>
      <c r="C40" s="40">
        <v>16000</v>
      </c>
      <c r="D40" s="40">
        <v>16000</v>
      </c>
      <c r="E40" s="14">
        <f>400+400</f>
        <v>800</v>
      </c>
      <c r="F40" s="14">
        <f>400+400</f>
        <v>800</v>
      </c>
      <c r="G40" s="14"/>
      <c r="H40" s="17">
        <f t="shared" si="0"/>
        <v>1600</v>
      </c>
      <c r="I40" s="14">
        <f>400+400</f>
        <v>800</v>
      </c>
      <c r="J40" s="14"/>
      <c r="K40" s="14">
        <f>400</f>
        <v>400</v>
      </c>
      <c r="L40" s="17">
        <f t="shared" si="1"/>
        <v>1200</v>
      </c>
      <c r="M40" s="14">
        <f>400+400+800</f>
        <v>1600</v>
      </c>
      <c r="N40" s="14"/>
      <c r="O40" s="14"/>
      <c r="P40" s="17">
        <f t="shared" si="2"/>
        <v>1600</v>
      </c>
      <c r="Q40" s="14"/>
      <c r="R40" s="14"/>
      <c r="S40" s="14"/>
      <c r="T40" s="17">
        <f t="shared" si="3"/>
        <v>0</v>
      </c>
      <c r="U40" s="14">
        <f t="shared" si="4"/>
        <v>4400</v>
      </c>
      <c r="V40" s="23">
        <f t="shared" si="5"/>
        <v>11600</v>
      </c>
    </row>
    <row r="41" spans="1:22" s="47" customFormat="1" ht="15" customHeight="1">
      <c r="A41" s="151" t="s">
        <v>8</v>
      </c>
      <c r="B41" s="151"/>
      <c r="C41" s="32">
        <f>SUM(C42:C50)</f>
        <v>1278633.1099999999</v>
      </c>
      <c r="D41" s="32">
        <f>SUM(D42:D50)</f>
        <v>1278633.1099999999</v>
      </c>
      <c r="E41" s="31"/>
      <c r="F41" s="31"/>
      <c r="G41" s="31"/>
      <c r="H41" s="29">
        <f t="shared" si="0"/>
        <v>0</v>
      </c>
      <c r="I41" s="31">
        <f t="shared" ref="I41:K41" si="21">SUM(I42:I50)</f>
        <v>0</v>
      </c>
      <c r="J41" s="31">
        <f t="shared" si="21"/>
        <v>0</v>
      </c>
      <c r="K41" s="31">
        <f t="shared" si="21"/>
        <v>0</v>
      </c>
      <c r="L41" s="29">
        <f t="shared" si="1"/>
        <v>0</v>
      </c>
      <c r="M41" s="31">
        <f t="shared" ref="M41:O41" si="22">SUM(M42:M50)</f>
        <v>0</v>
      </c>
      <c r="N41" s="31">
        <f t="shared" si="22"/>
        <v>0</v>
      </c>
      <c r="O41" s="31">
        <f t="shared" si="22"/>
        <v>0</v>
      </c>
      <c r="P41" s="29">
        <f t="shared" si="2"/>
        <v>0</v>
      </c>
      <c r="Q41" s="31">
        <f t="shared" ref="Q41:S41" si="23">SUM(Q42:Q50)</f>
        <v>0</v>
      </c>
      <c r="R41" s="31">
        <f t="shared" si="23"/>
        <v>0</v>
      </c>
      <c r="S41" s="31">
        <f t="shared" si="23"/>
        <v>0</v>
      </c>
      <c r="T41" s="29">
        <f t="shared" si="3"/>
        <v>0</v>
      </c>
      <c r="U41" s="29">
        <f t="shared" si="4"/>
        <v>0</v>
      </c>
      <c r="V41" s="29">
        <f>SUM(V42:V50)</f>
        <v>1278633.1099999999</v>
      </c>
    </row>
    <row r="42" spans="1:22" s="43" customFormat="1" ht="12.75" customHeight="1">
      <c r="A42" s="48"/>
      <c r="B42" s="45" t="s">
        <v>64</v>
      </c>
      <c r="C42" s="46">
        <v>400000</v>
      </c>
      <c r="D42" s="46">
        <v>400000</v>
      </c>
      <c r="E42" s="23"/>
      <c r="F42" s="23"/>
      <c r="G42" s="23"/>
      <c r="H42" s="26">
        <f t="shared" ref="H42:H49" si="24">SUM(E42:G42)</f>
        <v>0</v>
      </c>
      <c r="I42" s="23"/>
      <c r="J42" s="23"/>
      <c r="K42" s="23"/>
      <c r="L42" s="26">
        <f t="shared" ref="L42:L49" si="25">SUM(I42:K42)</f>
        <v>0</v>
      </c>
      <c r="M42" s="23"/>
      <c r="N42" s="23"/>
      <c r="O42" s="23"/>
      <c r="P42" s="26">
        <f t="shared" ref="P42:P49" si="26">SUM(M42:O42)</f>
        <v>0</v>
      </c>
      <c r="Q42" s="23"/>
      <c r="R42" s="23"/>
      <c r="S42" s="23"/>
      <c r="T42" s="24">
        <f t="shared" ref="T42:T49" si="27">SUM(Q42:S42)</f>
        <v>0</v>
      </c>
      <c r="U42" s="23">
        <f t="shared" ref="U42:U49" si="28">H42+L42+P42+T42</f>
        <v>0</v>
      </c>
      <c r="V42" s="23">
        <f t="shared" si="5"/>
        <v>400000</v>
      </c>
    </row>
    <row r="43" spans="1:22" s="43" customFormat="1" ht="12.75" customHeight="1">
      <c r="A43" s="48"/>
      <c r="B43" s="45" t="s">
        <v>65</v>
      </c>
      <c r="C43" s="46">
        <v>80000</v>
      </c>
      <c r="D43" s="46">
        <v>80000</v>
      </c>
      <c r="E43" s="23"/>
      <c r="F43" s="23"/>
      <c r="G43" s="23"/>
      <c r="H43" s="26">
        <f t="shared" si="24"/>
        <v>0</v>
      </c>
      <c r="I43" s="23"/>
      <c r="J43" s="23"/>
      <c r="K43" s="23"/>
      <c r="L43" s="26">
        <f t="shared" si="25"/>
        <v>0</v>
      </c>
      <c r="M43" s="23"/>
      <c r="N43" s="23"/>
      <c r="O43" s="23"/>
      <c r="P43" s="26">
        <f t="shared" si="26"/>
        <v>0</v>
      </c>
      <c r="Q43" s="23"/>
      <c r="R43" s="23"/>
      <c r="S43" s="23"/>
      <c r="T43" s="24">
        <f t="shared" si="27"/>
        <v>0</v>
      </c>
      <c r="U43" s="23">
        <f t="shared" si="28"/>
        <v>0</v>
      </c>
      <c r="V43" s="23">
        <f t="shared" si="5"/>
        <v>80000</v>
      </c>
    </row>
    <row r="44" spans="1:22" s="43" customFormat="1" ht="12.75" customHeight="1">
      <c r="A44" s="48"/>
      <c r="B44" s="45" t="s">
        <v>66</v>
      </c>
      <c r="C44" s="46">
        <v>24000</v>
      </c>
      <c r="D44" s="46">
        <v>24000</v>
      </c>
      <c r="E44" s="23"/>
      <c r="F44" s="23"/>
      <c r="G44" s="23"/>
      <c r="H44" s="26">
        <f t="shared" si="24"/>
        <v>0</v>
      </c>
      <c r="I44" s="23"/>
      <c r="J44" s="23"/>
      <c r="K44" s="23"/>
      <c r="L44" s="26">
        <f t="shared" si="25"/>
        <v>0</v>
      </c>
      <c r="M44" s="23"/>
      <c r="N44" s="23"/>
      <c r="O44" s="23"/>
      <c r="P44" s="26">
        <f t="shared" si="26"/>
        <v>0</v>
      </c>
      <c r="Q44" s="23"/>
      <c r="R44" s="23"/>
      <c r="S44" s="23"/>
      <c r="T44" s="24">
        <f t="shared" si="27"/>
        <v>0</v>
      </c>
      <c r="U44" s="23">
        <f t="shared" si="28"/>
        <v>0</v>
      </c>
      <c r="V44" s="23">
        <f t="shared" si="5"/>
        <v>24000</v>
      </c>
    </row>
    <row r="45" spans="1:22" s="43" customFormat="1" ht="12.75" customHeight="1">
      <c r="A45" s="48"/>
      <c r="B45" s="45" t="s">
        <v>67</v>
      </c>
      <c r="C45" s="46">
        <v>100000</v>
      </c>
      <c r="D45" s="46">
        <v>100000</v>
      </c>
      <c r="E45" s="23"/>
      <c r="F45" s="23"/>
      <c r="G45" s="23"/>
      <c r="H45" s="26">
        <f t="shared" si="24"/>
        <v>0</v>
      </c>
      <c r="I45" s="23"/>
      <c r="J45" s="23"/>
      <c r="K45" s="23"/>
      <c r="L45" s="26">
        <f t="shared" si="25"/>
        <v>0</v>
      </c>
      <c r="M45" s="23"/>
      <c r="N45" s="23"/>
      <c r="O45" s="23"/>
      <c r="P45" s="26">
        <f t="shared" si="26"/>
        <v>0</v>
      </c>
      <c r="Q45" s="23"/>
      <c r="R45" s="23"/>
      <c r="S45" s="23"/>
      <c r="T45" s="24">
        <f t="shared" si="27"/>
        <v>0</v>
      </c>
      <c r="U45" s="23">
        <f t="shared" si="28"/>
        <v>0</v>
      </c>
      <c r="V45" s="23">
        <f t="shared" si="5"/>
        <v>100000</v>
      </c>
    </row>
    <row r="46" spans="1:22" s="43" customFormat="1" ht="12.75" customHeight="1">
      <c r="A46" s="48"/>
      <c r="B46" s="45" t="s">
        <v>68</v>
      </c>
      <c r="C46" s="46">
        <v>30000</v>
      </c>
      <c r="D46" s="46">
        <v>30000</v>
      </c>
      <c r="E46" s="23"/>
      <c r="F46" s="23"/>
      <c r="G46" s="23"/>
      <c r="H46" s="26">
        <f t="shared" si="24"/>
        <v>0</v>
      </c>
      <c r="I46" s="23"/>
      <c r="J46" s="23"/>
      <c r="K46" s="23"/>
      <c r="L46" s="26">
        <f t="shared" si="25"/>
        <v>0</v>
      </c>
      <c r="M46" s="23"/>
      <c r="N46" s="23"/>
      <c r="O46" s="23"/>
      <c r="P46" s="26">
        <f t="shared" si="26"/>
        <v>0</v>
      </c>
      <c r="Q46" s="23"/>
      <c r="R46" s="23"/>
      <c r="S46" s="23"/>
      <c r="T46" s="24">
        <f t="shared" si="27"/>
        <v>0</v>
      </c>
      <c r="U46" s="23">
        <f t="shared" si="28"/>
        <v>0</v>
      </c>
      <c r="V46" s="23">
        <f t="shared" si="5"/>
        <v>30000</v>
      </c>
    </row>
    <row r="47" spans="1:22" s="43" customFormat="1" ht="12.75" customHeight="1">
      <c r="A47" s="48"/>
      <c r="B47" s="45" t="s">
        <v>69</v>
      </c>
      <c r="C47" s="46">
        <v>100000</v>
      </c>
      <c r="D47" s="46">
        <v>100000</v>
      </c>
      <c r="E47" s="23"/>
      <c r="F47" s="23"/>
      <c r="G47" s="23"/>
      <c r="H47" s="26">
        <f t="shared" si="24"/>
        <v>0</v>
      </c>
      <c r="I47" s="23"/>
      <c r="J47" s="23"/>
      <c r="K47" s="23"/>
      <c r="L47" s="26">
        <f t="shared" si="25"/>
        <v>0</v>
      </c>
      <c r="M47" s="23"/>
      <c r="N47" s="23"/>
      <c r="O47" s="23"/>
      <c r="P47" s="26">
        <f t="shared" si="26"/>
        <v>0</v>
      </c>
      <c r="Q47" s="23"/>
      <c r="R47" s="23"/>
      <c r="S47" s="23"/>
      <c r="T47" s="24">
        <f t="shared" si="27"/>
        <v>0</v>
      </c>
      <c r="U47" s="23">
        <f t="shared" si="28"/>
        <v>0</v>
      </c>
      <c r="V47" s="23">
        <f t="shared" si="5"/>
        <v>100000</v>
      </c>
    </row>
    <row r="48" spans="1:22" s="43" customFormat="1" ht="19.5">
      <c r="A48" s="48"/>
      <c r="B48" s="45" t="s">
        <v>70</v>
      </c>
      <c r="C48" s="46">
        <v>150000</v>
      </c>
      <c r="D48" s="46">
        <v>150000</v>
      </c>
      <c r="E48" s="23"/>
      <c r="F48" s="23"/>
      <c r="G48" s="23"/>
      <c r="H48" s="26">
        <f t="shared" si="24"/>
        <v>0</v>
      </c>
      <c r="I48" s="23"/>
      <c r="J48" s="23"/>
      <c r="K48" s="23"/>
      <c r="L48" s="26">
        <f t="shared" si="25"/>
        <v>0</v>
      </c>
      <c r="M48" s="23"/>
      <c r="N48" s="23"/>
      <c r="O48" s="23"/>
      <c r="P48" s="26">
        <f t="shared" si="26"/>
        <v>0</v>
      </c>
      <c r="Q48" s="23"/>
      <c r="R48" s="23"/>
      <c r="S48" s="23"/>
      <c r="T48" s="24">
        <f t="shared" si="27"/>
        <v>0</v>
      </c>
      <c r="U48" s="23">
        <f t="shared" si="28"/>
        <v>0</v>
      </c>
      <c r="V48" s="23">
        <f t="shared" si="5"/>
        <v>150000</v>
      </c>
    </row>
    <row r="49" spans="1:23" s="43" customFormat="1" ht="15" customHeight="1">
      <c r="A49" s="48"/>
      <c r="B49" s="45" t="s">
        <v>71</v>
      </c>
      <c r="C49" s="46">
        <v>94633.11</v>
      </c>
      <c r="D49" s="46">
        <v>94633.11</v>
      </c>
      <c r="E49" s="23"/>
      <c r="F49" s="23"/>
      <c r="G49" s="23"/>
      <c r="H49" s="26">
        <f t="shared" si="24"/>
        <v>0</v>
      </c>
      <c r="I49" s="23"/>
      <c r="J49" s="23"/>
      <c r="K49" s="23"/>
      <c r="L49" s="26">
        <f t="shared" si="25"/>
        <v>0</v>
      </c>
      <c r="M49" s="23"/>
      <c r="N49" s="23"/>
      <c r="O49" s="23"/>
      <c r="P49" s="26">
        <f t="shared" si="26"/>
        <v>0</v>
      </c>
      <c r="Q49" s="23"/>
      <c r="R49" s="23"/>
      <c r="S49" s="23"/>
      <c r="T49" s="24">
        <f t="shared" si="27"/>
        <v>0</v>
      </c>
      <c r="U49" s="23">
        <f t="shared" si="28"/>
        <v>0</v>
      </c>
      <c r="V49" s="23">
        <f t="shared" si="5"/>
        <v>94633.11</v>
      </c>
    </row>
    <row r="50" spans="1:23" s="43" customFormat="1" ht="15" customHeight="1">
      <c r="A50" s="48"/>
      <c r="B50" s="45" t="s">
        <v>72</v>
      </c>
      <c r="C50" s="46">
        <v>300000</v>
      </c>
      <c r="D50" s="46">
        <v>300000</v>
      </c>
      <c r="E50" s="23"/>
      <c r="F50" s="23"/>
      <c r="G50" s="23"/>
      <c r="H50" s="26">
        <f t="shared" si="0"/>
        <v>0</v>
      </c>
      <c r="I50" s="23"/>
      <c r="J50" s="23"/>
      <c r="K50" s="23"/>
      <c r="L50" s="26">
        <f t="shared" si="1"/>
        <v>0</v>
      </c>
      <c r="M50" s="23"/>
      <c r="N50" s="23"/>
      <c r="O50" s="23"/>
      <c r="P50" s="26">
        <f t="shared" si="2"/>
        <v>0</v>
      </c>
      <c r="Q50" s="23"/>
      <c r="R50" s="23"/>
      <c r="S50" s="23"/>
      <c r="T50" s="24">
        <f t="shared" si="3"/>
        <v>0</v>
      </c>
      <c r="U50" s="23">
        <f t="shared" si="4"/>
        <v>0</v>
      </c>
      <c r="V50" s="23">
        <f t="shared" si="5"/>
        <v>300000</v>
      </c>
    </row>
    <row r="51" spans="1:23" s="47" customFormat="1" ht="13.5" customHeight="1">
      <c r="A51" s="151" t="s">
        <v>7</v>
      </c>
      <c r="B51" s="151"/>
      <c r="C51" s="32">
        <f>SUM(C52:C59)</f>
        <v>665000</v>
      </c>
      <c r="D51" s="32">
        <f>SUM(D52:D59)</f>
        <v>2465400</v>
      </c>
      <c r="E51" s="31">
        <f>SUM(E52:E59)</f>
        <v>0</v>
      </c>
      <c r="F51" s="31">
        <f>SUM(F52:F59)</f>
        <v>0</v>
      </c>
      <c r="G51" s="31">
        <f>SUM(G52:G59)</f>
        <v>0</v>
      </c>
      <c r="H51" s="29">
        <f t="shared" si="0"/>
        <v>0</v>
      </c>
      <c r="I51" s="31">
        <f>SUM(I52:I59)</f>
        <v>12733</v>
      </c>
      <c r="J51" s="31">
        <f>SUM(J52:J59)</f>
        <v>49217.69</v>
      </c>
      <c r="K51" s="31">
        <f>SUM(K52:K59)</f>
        <v>2340.8000000000002</v>
      </c>
      <c r="L51" s="29">
        <f t="shared" si="1"/>
        <v>64291.490000000005</v>
      </c>
      <c r="M51" s="31">
        <f>SUM(M52:M59)</f>
        <v>0</v>
      </c>
      <c r="N51" s="31">
        <f>SUM(N52:N59)</f>
        <v>54060</v>
      </c>
      <c r="O51" s="31">
        <f>SUM(O52:O59)</f>
        <v>510</v>
      </c>
      <c r="P51" s="29">
        <f t="shared" si="2"/>
        <v>54570</v>
      </c>
      <c r="Q51" s="30">
        <f>SUM(Q52:Q59)</f>
        <v>0</v>
      </c>
      <c r="R51" s="30">
        <f>SUM(R52:R59)</f>
        <v>0</v>
      </c>
      <c r="S51" s="30">
        <f>SUM(S52:S59)</f>
        <v>0</v>
      </c>
      <c r="T51" s="29">
        <f t="shared" si="3"/>
        <v>0</v>
      </c>
      <c r="U51" s="29">
        <f t="shared" si="4"/>
        <v>118861.49</v>
      </c>
      <c r="V51" s="29">
        <f>SUM(V52:V59)</f>
        <v>2346538.5099999998</v>
      </c>
    </row>
    <row r="52" spans="1:23" s="42" customFormat="1" ht="17.25" customHeight="1">
      <c r="A52" s="40"/>
      <c r="B52" s="45" t="s">
        <v>73</v>
      </c>
      <c r="C52" s="34">
        <v>160000</v>
      </c>
      <c r="D52" s="34">
        <v>441214</v>
      </c>
      <c r="E52" s="20"/>
      <c r="F52" s="20"/>
      <c r="G52" s="20"/>
      <c r="H52" s="17">
        <f t="shared" si="0"/>
        <v>0</v>
      </c>
      <c r="I52" s="20"/>
      <c r="J52" s="20">
        <f>11236+106+28670.71+270.48+1165.23+11.77+7685+72.5</f>
        <v>49217.69</v>
      </c>
      <c r="K52" s="20"/>
      <c r="L52" s="15">
        <f t="shared" si="1"/>
        <v>49217.69</v>
      </c>
      <c r="M52" s="20"/>
      <c r="N52" s="20"/>
      <c r="O52" s="20"/>
      <c r="P52" s="15">
        <f t="shared" si="2"/>
        <v>0</v>
      </c>
      <c r="Q52" s="20"/>
      <c r="R52" s="20"/>
      <c r="S52" s="20"/>
      <c r="T52" s="15">
        <f t="shared" si="3"/>
        <v>0</v>
      </c>
      <c r="U52" s="14">
        <f t="shared" si="4"/>
        <v>49217.69</v>
      </c>
      <c r="V52" s="23">
        <f t="shared" si="5"/>
        <v>391996.31</v>
      </c>
    </row>
    <row r="53" spans="1:23" s="42" customFormat="1" ht="19.5">
      <c r="A53" s="40"/>
      <c r="B53" s="45" t="s">
        <v>74</v>
      </c>
      <c r="C53" s="44">
        <v>60000</v>
      </c>
      <c r="D53" s="44">
        <v>205430</v>
      </c>
      <c r="E53" s="20"/>
      <c r="F53" s="20"/>
      <c r="G53" s="20"/>
      <c r="H53" s="17">
        <f t="shared" si="0"/>
        <v>0</v>
      </c>
      <c r="I53" s="20"/>
      <c r="J53" s="20"/>
      <c r="K53" s="20">
        <f>792.52+1526.4+7.48+14.4</f>
        <v>2340.8000000000002</v>
      </c>
      <c r="L53" s="17">
        <f t="shared" si="1"/>
        <v>2340.8000000000002</v>
      </c>
      <c r="M53" s="20"/>
      <c r="N53" s="20"/>
      <c r="O53" s="20"/>
      <c r="P53" s="17">
        <f t="shared" si="2"/>
        <v>0</v>
      </c>
      <c r="Q53" s="20"/>
      <c r="R53" s="20"/>
      <c r="S53" s="20"/>
      <c r="T53" s="17">
        <f t="shared" si="3"/>
        <v>0</v>
      </c>
      <c r="U53" s="14">
        <f t="shared" si="4"/>
        <v>2340.8000000000002</v>
      </c>
      <c r="V53" s="23">
        <f t="shared" si="5"/>
        <v>203089.2</v>
      </c>
    </row>
    <row r="54" spans="1:23" s="42" customFormat="1" ht="19.5">
      <c r="A54" s="40"/>
      <c r="B54" s="45" t="s">
        <v>75</v>
      </c>
      <c r="C54" s="44">
        <v>80000</v>
      </c>
      <c r="D54" s="44">
        <v>80000</v>
      </c>
      <c r="E54" s="20"/>
      <c r="F54" s="20"/>
      <c r="G54" s="20"/>
      <c r="H54" s="17">
        <f t="shared" si="0"/>
        <v>0</v>
      </c>
      <c r="I54" s="20"/>
      <c r="J54" s="20"/>
      <c r="K54" s="20"/>
      <c r="L54" s="17">
        <f t="shared" si="1"/>
        <v>0</v>
      </c>
      <c r="M54" s="20"/>
      <c r="N54" s="20"/>
      <c r="O54" s="20"/>
      <c r="P54" s="17">
        <f t="shared" si="2"/>
        <v>0</v>
      </c>
      <c r="Q54" s="20"/>
      <c r="R54" s="20"/>
      <c r="S54" s="20"/>
      <c r="T54" s="17">
        <f t="shared" si="3"/>
        <v>0</v>
      </c>
      <c r="U54" s="14">
        <f t="shared" si="4"/>
        <v>0</v>
      </c>
      <c r="V54" s="23">
        <f t="shared" si="5"/>
        <v>80000</v>
      </c>
    </row>
    <row r="55" spans="1:23" s="42" customFormat="1" ht="19.5">
      <c r="A55" s="40"/>
      <c r="B55" s="45" t="s">
        <v>76</v>
      </c>
      <c r="C55" s="44">
        <v>50000</v>
      </c>
      <c r="D55" s="44">
        <v>50000</v>
      </c>
      <c r="E55" s="20"/>
      <c r="F55" s="20"/>
      <c r="G55" s="20"/>
      <c r="H55" s="17">
        <f t="shared" si="0"/>
        <v>0</v>
      </c>
      <c r="I55" s="20"/>
      <c r="J55" s="20"/>
      <c r="K55" s="20"/>
      <c r="L55" s="17">
        <f t="shared" si="1"/>
        <v>0</v>
      </c>
      <c r="M55" s="20"/>
      <c r="N55" s="20"/>
      <c r="O55" s="20"/>
      <c r="P55" s="17">
        <f t="shared" si="2"/>
        <v>0</v>
      </c>
      <c r="Q55" s="20"/>
      <c r="R55" s="20"/>
      <c r="S55" s="20"/>
      <c r="T55" s="17">
        <f t="shared" si="3"/>
        <v>0</v>
      </c>
      <c r="U55" s="14">
        <f t="shared" si="4"/>
        <v>0</v>
      </c>
      <c r="V55" s="23">
        <f t="shared" si="5"/>
        <v>50000</v>
      </c>
    </row>
    <row r="56" spans="1:23" s="42" customFormat="1" ht="18" customHeight="1">
      <c r="A56" s="40"/>
      <c r="B56" s="45" t="s">
        <v>77</v>
      </c>
      <c r="C56" s="44">
        <v>200000</v>
      </c>
      <c r="D56" s="44">
        <v>54570</v>
      </c>
      <c r="E56" s="20"/>
      <c r="F56" s="20"/>
      <c r="G56" s="20"/>
      <c r="H56" s="17">
        <f t="shared" si="0"/>
        <v>0</v>
      </c>
      <c r="I56" s="20"/>
      <c r="J56" s="20"/>
      <c r="K56" s="20"/>
      <c r="L56" s="17">
        <f t="shared" si="1"/>
        <v>0</v>
      </c>
      <c r="M56" s="20"/>
      <c r="N56" s="20">
        <f>54060</f>
        <v>54060</v>
      </c>
      <c r="O56" s="20">
        <v>510</v>
      </c>
      <c r="P56" s="17">
        <f t="shared" si="2"/>
        <v>54570</v>
      </c>
      <c r="Q56" s="20"/>
      <c r="R56" s="20"/>
      <c r="S56" s="20"/>
      <c r="T56" s="17">
        <f t="shared" si="3"/>
        <v>0</v>
      </c>
      <c r="U56" s="14">
        <f t="shared" si="4"/>
        <v>54570</v>
      </c>
      <c r="V56" s="23">
        <f t="shared" si="5"/>
        <v>0</v>
      </c>
    </row>
    <row r="57" spans="1:23" s="42" customFormat="1" ht="18" customHeight="1">
      <c r="A57" s="40"/>
      <c r="B57" s="45" t="s">
        <v>79</v>
      </c>
      <c r="C57" s="44">
        <v>80000</v>
      </c>
      <c r="D57" s="44">
        <v>80000</v>
      </c>
      <c r="E57" s="20"/>
      <c r="F57" s="20"/>
      <c r="G57" s="20"/>
      <c r="H57" s="17">
        <f t="shared" si="0"/>
        <v>0</v>
      </c>
      <c r="I57" s="20"/>
      <c r="J57" s="20"/>
      <c r="K57" s="20"/>
      <c r="L57" s="17">
        <f t="shared" si="1"/>
        <v>0</v>
      </c>
      <c r="M57" s="20"/>
      <c r="N57" s="20"/>
      <c r="O57" s="20"/>
      <c r="P57" s="17">
        <f t="shared" si="2"/>
        <v>0</v>
      </c>
      <c r="Q57" s="20"/>
      <c r="R57" s="20"/>
      <c r="S57" s="20"/>
      <c r="T57" s="17">
        <f t="shared" si="3"/>
        <v>0</v>
      </c>
      <c r="U57" s="14">
        <f t="shared" si="4"/>
        <v>0</v>
      </c>
      <c r="V57" s="23">
        <f t="shared" si="5"/>
        <v>80000</v>
      </c>
    </row>
    <row r="58" spans="1:23" s="42" customFormat="1" ht="18" customHeight="1">
      <c r="A58" s="40"/>
      <c r="B58" s="45" t="s">
        <v>78</v>
      </c>
      <c r="C58" s="44">
        <v>35000</v>
      </c>
      <c r="D58" s="44">
        <v>35000</v>
      </c>
      <c r="E58" s="20"/>
      <c r="F58" s="20"/>
      <c r="G58" s="20"/>
      <c r="H58" s="17">
        <f t="shared" si="0"/>
        <v>0</v>
      </c>
      <c r="I58" s="20">
        <f>12614+119</f>
        <v>12733</v>
      </c>
      <c r="J58" s="20"/>
      <c r="K58" s="20"/>
      <c r="L58" s="17">
        <f t="shared" si="1"/>
        <v>12733</v>
      </c>
      <c r="M58" s="20"/>
      <c r="N58" s="20"/>
      <c r="O58" s="20"/>
      <c r="P58" s="17">
        <f t="shared" si="2"/>
        <v>0</v>
      </c>
      <c r="Q58" s="20"/>
      <c r="R58" s="20"/>
      <c r="S58" s="20"/>
      <c r="T58" s="17">
        <f t="shared" si="3"/>
        <v>0</v>
      </c>
      <c r="U58" s="14">
        <f t="shared" si="4"/>
        <v>12733</v>
      </c>
      <c r="V58" s="23">
        <f t="shared" si="5"/>
        <v>22267</v>
      </c>
    </row>
    <row r="59" spans="1:23" s="42" customFormat="1" ht="18" customHeight="1">
      <c r="A59" s="40"/>
      <c r="B59" s="45" t="s">
        <v>97</v>
      </c>
      <c r="C59" s="44">
        <v>0</v>
      </c>
      <c r="D59" s="44">
        <v>1519186</v>
      </c>
      <c r="E59" s="20"/>
      <c r="F59" s="20"/>
      <c r="G59" s="20"/>
      <c r="H59" s="17">
        <f t="shared" si="0"/>
        <v>0</v>
      </c>
      <c r="I59" s="20"/>
      <c r="J59" s="20"/>
      <c r="K59" s="20"/>
      <c r="L59" s="17">
        <f t="shared" si="1"/>
        <v>0</v>
      </c>
      <c r="M59" s="20"/>
      <c r="N59" s="20"/>
      <c r="O59" s="20"/>
      <c r="P59" s="17">
        <f t="shared" si="2"/>
        <v>0</v>
      </c>
      <c r="Q59" s="20"/>
      <c r="R59" s="20"/>
      <c r="S59" s="20"/>
      <c r="T59" s="17">
        <f t="shared" si="3"/>
        <v>0</v>
      </c>
      <c r="U59" s="14">
        <f t="shared" si="4"/>
        <v>0</v>
      </c>
      <c r="V59" s="23">
        <f t="shared" si="5"/>
        <v>1519186</v>
      </c>
    </row>
    <row r="60" spans="1:23" s="28" customFormat="1" ht="16.5" customHeight="1">
      <c r="A60" s="151" t="s">
        <v>6</v>
      </c>
      <c r="B60" s="151"/>
      <c r="C60" s="32">
        <f>SUM(C61:C61)</f>
        <v>0</v>
      </c>
      <c r="D60" s="32">
        <f>SUM(D61:D61)</f>
        <v>0</v>
      </c>
      <c r="E60" s="31">
        <f>SUM(E61:E61)</f>
        <v>0</v>
      </c>
      <c r="F60" s="31">
        <f>SUM(F61:F61)</f>
        <v>0</v>
      </c>
      <c r="G60" s="31">
        <f>SUM(G61:G61)</f>
        <v>0</v>
      </c>
      <c r="H60" s="29">
        <f t="shared" si="0"/>
        <v>0</v>
      </c>
      <c r="I60" s="31">
        <f>SUM(I61:I61)</f>
        <v>0</v>
      </c>
      <c r="J60" s="31">
        <f>SUM(J61:J61)</f>
        <v>0</v>
      </c>
      <c r="K60" s="31">
        <f>SUM(K61:K61)</f>
        <v>0</v>
      </c>
      <c r="L60" s="29">
        <f t="shared" si="1"/>
        <v>0</v>
      </c>
      <c r="M60" s="31">
        <f>SUM(M61:M61)</f>
        <v>0</v>
      </c>
      <c r="N60" s="31">
        <f>SUM(N61:N61)</f>
        <v>0</v>
      </c>
      <c r="O60" s="31">
        <f>SUM(O61:O61)</f>
        <v>0</v>
      </c>
      <c r="P60" s="29">
        <f t="shared" si="2"/>
        <v>0</v>
      </c>
      <c r="Q60" s="30">
        <f>SUM(Q61:Q61)</f>
        <v>0</v>
      </c>
      <c r="R60" s="30">
        <f>SUM(R61:R61)</f>
        <v>0</v>
      </c>
      <c r="S60" s="30">
        <f>SUM(S61:S61)</f>
        <v>0</v>
      </c>
      <c r="T60" s="29">
        <f t="shared" si="3"/>
        <v>0</v>
      </c>
      <c r="U60" s="29">
        <f t="shared" si="4"/>
        <v>0</v>
      </c>
      <c r="V60" s="29">
        <f>SUM(V61:V61)</f>
        <v>0</v>
      </c>
    </row>
    <row r="61" spans="1:23" s="13" customFormat="1" ht="15" customHeight="1">
      <c r="A61" s="36"/>
      <c r="B61" s="41" t="s">
        <v>4</v>
      </c>
      <c r="C61" s="40"/>
      <c r="D61" s="40"/>
      <c r="E61" s="39"/>
      <c r="F61" s="39"/>
      <c r="G61" s="39"/>
      <c r="H61" s="17"/>
      <c r="I61" s="39"/>
      <c r="J61" s="39"/>
      <c r="K61" s="39"/>
      <c r="L61" s="15"/>
      <c r="M61" s="39"/>
      <c r="N61" s="39"/>
      <c r="O61" s="39"/>
      <c r="P61" s="15"/>
      <c r="Q61" s="39"/>
      <c r="R61" s="39"/>
      <c r="S61" s="39"/>
      <c r="T61" s="15"/>
      <c r="U61" s="14"/>
      <c r="V61" s="14"/>
    </row>
    <row r="62" spans="1:23" s="28" customFormat="1" ht="14.25" customHeight="1">
      <c r="A62" s="151" t="s">
        <v>5</v>
      </c>
      <c r="B62" s="151"/>
      <c r="C62" s="32">
        <f>SUM(C63:C63)</f>
        <v>0</v>
      </c>
      <c r="D62" s="32">
        <f>SUM(D63:D63)</f>
        <v>0</v>
      </c>
      <c r="E62" s="38">
        <f>SUM(E63)</f>
        <v>0</v>
      </c>
      <c r="F62" s="38">
        <f>SUM(F63)</f>
        <v>0</v>
      </c>
      <c r="G62" s="38">
        <f>SUM(G63)</f>
        <v>0</v>
      </c>
      <c r="H62" s="29">
        <f t="shared" ref="H62:H70" si="29">SUM(E62:G62)</f>
        <v>0</v>
      </c>
      <c r="I62" s="38">
        <f>SUM(I63)</f>
        <v>0</v>
      </c>
      <c r="J62" s="38">
        <f>SUM(J63)</f>
        <v>0</v>
      </c>
      <c r="K62" s="38">
        <f>SUM(K63)</f>
        <v>0</v>
      </c>
      <c r="L62" s="29">
        <f t="shared" ref="L62:L70" si="30">SUM(I62:K62)</f>
        <v>0</v>
      </c>
      <c r="M62" s="38">
        <f>SUM(M63)</f>
        <v>0</v>
      </c>
      <c r="N62" s="38">
        <f>SUM(N63)</f>
        <v>0</v>
      </c>
      <c r="O62" s="38">
        <f>SUM(O63)</f>
        <v>0</v>
      </c>
      <c r="P62" s="29">
        <f t="shared" ref="P62:P70" si="31">SUM(M62:O62)</f>
        <v>0</v>
      </c>
      <c r="Q62" s="37">
        <f>SUM(Q63)</f>
        <v>0</v>
      </c>
      <c r="R62" s="37">
        <f>SUM(R63)</f>
        <v>0</v>
      </c>
      <c r="S62" s="37">
        <f>SUM(S63)</f>
        <v>0</v>
      </c>
      <c r="T62" s="29">
        <f t="shared" ref="T62:T70" si="32">SUM(Q62:S62)</f>
        <v>0</v>
      </c>
      <c r="U62" s="29">
        <f t="shared" ref="U62:U70" si="33">H62+L62+P62+T62</f>
        <v>0</v>
      </c>
      <c r="V62" s="29">
        <f>SUM(V63)</f>
        <v>0</v>
      </c>
    </row>
    <row r="63" spans="1:23" s="33" customFormat="1" ht="16.5" customHeight="1">
      <c r="A63" s="36"/>
      <c r="B63" s="35" t="s">
        <v>4</v>
      </c>
      <c r="C63" s="34"/>
      <c r="D63" s="34"/>
      <c r="E63" s="14"/>
      <c r="F63" s="14"/>
      <c r="G63" s="14"/>
      <c r="H63" s="17">
        <f t="shared" si="29"/>
        <v>0</v>
      </c>
      <c r="I63" s="14"/>
      <c r="J63" s="14"/>
      <c r="K63" s="14"/>
      <c r="L63" s="15">
        <f t="shared" si="30"/>
        <v>0</v>
      </c>
      <c r="M63" s="14"/>
      <c r="N63" s="14"/>
      <c r="O63" s="14"/>
      <c r="P63" s="15">
        <f t="shared" si="31"/>
        <v>0</v>
      </c>
      <c r="Q63" s="14"/>
      <c r="R63" s="14"/>
      <c r="S63" s="14"/>
      <c r="T63" s="15">
        <f t="shared" si="32"/>
        <v>0</v>
      </c>
      <c r="U63" s="14">
        <f t="shared" si="33"/>
        <v>0</v>
      </c>
      <c r="V63" s="14">
        <f>C63-U63</f>
        <v>0</v>
      </c>
      <c r="W63" s="13"/>
    </row>
    <row r="64" spans="1:23" s="28" customFormat="1" ht="16.5" customHeight="1">
      <c r="A64" s="151" t="s">
        <v>3</v>
      </c>
      <c r="B64" s="151"/>
      <c r="C64" s="32">
        <f>SUM(C65:C81)</f>
        <v>4326000</v>
      </c>
      <c r="D64" s="32">
        <f>SUM(D65:D81)</f>
        <v>2525600</v>
      </c>
      <c r="E64" s="31">
        <f>SUM(E65:E81)</f>
        <v>117750.93</v>
      </c>
      <c r="F64" s="31">
        <f>SUM(F65:F81)</f>
        <v>148689.64000000001</v>
      </c>
      <c r="G64" s="31">
        <f>SUM(G65:G81)</f>
        <v>135126.39000000001</v>
      </c>
      <c r="H64" s="29">
        <f t="shared" si="29"/>
        <v>401566.96</v>
      </c>
      <c r="I64" s="31">
        <f>SUM(I65:I81)</f>
        <v>115119.73</v>
      </c>
      <c r="J64" s="31">
        <f>SUM(J65:J81)</f>
        <v>142929.72999999998</v>
      </c>
      <c r="K64" s="31">
        <f>SUM(K65:K81)</f>
        <v>115771.73</v>
      </c>
      <c r="L64" s="29">
        <f t="shared" si="30"/>
        <v>373821.18999999994</v>
      </c>
      <c r="M64" s="31">
        <f>SUM(M65:M81)</f>
        <v>202399.14</v>
      </c>
      <c r="N64" s="31">
        <f>SUM(N65:N81)</f>
        <v>60200</v>
      </c>
      <c r="O64" s="31">
        <f>SUM(O65:O81)</f>
        <v>771.1</v>
      </c>
      <c r="P64" s="29">
        <f t="shared" si="31"/>
        <v>263370.23999999999</v>
      </c>
      <c r="Q64" s="30">
        <f>SUM(Q65:Q81)</f>
        <v>0</v>
      </c>
      <c r="R64" s="30">
        <f>SUM(R65:R81)</f>
        <v>0</v>
      </c>
      <c r="S64" s="30">
        <f>SUM(S65:S81)</f>
        <v>0</v>
      </c>
      <c r="T64" s="29">
        <f t="shared" si="32"/>
        <v>0</v>
      </c>
      <c r="U64" s="29">
        <f t="shared" si="33"/>
        <v>1038758.3899999999</v>
      </c>
      <c r="V64" s="29">
        <f>SUM(V65:V81)</f>
        <v>1486841.61</v>
      </c>
    </row>
    <row r="65" spans="1:22" s="91" customFormat="1" ht="17.25" customHeight="1">
      <c r="A65" s="19"/>
      <c r="B65" s="21" t="s">
        <v>80</v>
      </c>
      <c r="C65" s="87">
        <v>160000</v>
      </c>
      <c r="D65" s="87">
        <v>160000</v>
      </c>
      <c r="E65" s="90"/>
      <c r="F65" s="90"/>
      <c r="G65" s="90"/>
      <c r="H65" s="17">
        <f t="shared" si="29"/>
        <v>0</v>
      </c>
      <c r="I65" s="90"/>
      <c r="J65" s="90"/>
      <c r="K65" s="90"/>
      <c r="L65" s="17">
        <f t="shared" si="30"/>
        <v>0</v>
      </c>
      <c r="M65" s="90"/>
      <c r="N65" s="90"/>
      <c r="O65" s="90"/>
      <c r="P65" s="17">
        <f t="shared" si="31"/>
        <v>0</v>
      </c>
      <c r="Q65" s="90"/>
      <c r="R65" s="90"/>
      <c r="S65" s="90"/>
      <c r="T65" s="17">
        <f t="shared" si="32"/>
        <v>0</v>
      </c>
      <c r="U65" s="14">
        <f t="shared" si="33"/>
        <v>0</v>
      </c>
      <c r="V65" s="14">
        <f>D65-U65</f>
        <v>160000</v>
      </c>
    </row>
    <row r="66" spans="1:22" s="91" customFormat="1" ht="15.75" customHeight="1">
      <c r="A66" s="19"/>
      <c r="B66" s="18" t="s">
        <v>81</v>
      </c>
      <c r="C66" s="87">
        <v>240000</v>
      </c>
      <c r="D66" s="87">
        <v>240000</v>
      </c>
      <c r="E66" s="90">
        <v>10000</v>
      </c>
      <c r="F66" s="90"/>
      <c r="G66" s="90">
        <v>10000</v>
      </c>
      <c r="H66" s="17">
        <f t="shared" si="29"/>
        <v>20000</v>
      </c>
      <c r="I66" s="90"/>
      <c r="J66" s="90">
        <v>16000</v>
      </c>
      <c r="K66" s="90">
        <f>4000+2000+12000</f>
        <v>18000</v>
      </c>
      <c r="L66" s="17">
        <f t="shared" si="30"/>
        <v>34000</v>
      </c>
      <c r="M66" s="90">
        <f>3500+2000</f>
        <v>5500</v>
      </c>
      <c r="N66" s="90"/>
      <c r="O66" s="90"/>
      <c r="P66" s="17">
        <f t="shared" si="31"/>
        <v>5500</v>
      </c>
      <c r="Q66" s="90"/>
      <c r="R66" s="90"/>
      <c r="S66" s="90"/>
      <c r="T66" s="17">
        <f t="shared" si="32"/>
        <v>0</v>
      </c>
      <c r="U66" s="14">
        <f t="shared" si="33"/>
        <v>59500</v>
      </c>
      <c r="V66" s="14">
        <f t="shared" ref="V66:V81" si="34">D66-U66</f>
        <v>180500</v>
      </c>
    </row>
    <row r="67" spans="1:22" s="22" customFormat="1" ht="18" customHeight="1">
      <c r="A67" s="27"/>
      <c r="B67" s="21" t="s">
        <v>82</v>
      </c>
      <c r="C67" s="87">
        <v>90000</v>
      </c>
      <c r="D67" s="87">
        <v>90000</v>
      </c>
      <c r="E67" s="25">
        <f>650.93</f>
        <v>650.92999999999995</v>
      </c>
      <c r="F67" s="25">
        <f>1500.59+1373.92+715.13</f>
        <v>3589.6400000000003</v>
      </c>
      <c r="G67" s="25">
        <f>2366.71+259.68</f>
        <v>2626.39</v>
      </c>
      <c r="H67" s="26">
        <f t="shared" si="29"/>
        <v>6866.9600000000009</v>
      </c>
      <c r="I67" s="25">
        <f>884.93+3379.8</f>
        <v>4264.7300000000005</v>
      </c>
      <c r="J67" s="25">
        <f>117+2674.3+1473.43</f>
        <v>4264.7300000000005</v>
      </c>
      <c r="K67" s="25">
        <f>991.93+3379.8</f>
        <v>4371.7300000000005</v>
      </c>
      <c r="L67" s="24">
        <f t="shared" si="30"/>
        <v>12901.190000000002</v>
      </c>
      <c r="M67" s="25">
        <f>3508.04+705.5</f>
        <v>4213.54</v>
      </c>
      <c r="N67" s="25"/>
      <c r="O67" s="25"/>
      <c r="P67" s="24">
        <f t="shared" si="31"/>
        <v>4213.54</v>
      </c>
      <c r="Q67" s="25"/>
      <c r="R67" s="25"/>
      <c r="S67" s="25"/>
      <c r="T67" s="24">
        <f t="shared" si="32"/>
        <v>0</v>
      </c>
      <c r="U67" s="23">
        <f t="shared" si="33"/>
        <v>23981.690000000002</v>
      </c>
      <c r="V67" s="14">
        <f t="shared" si="34"/>
        <v>66018.31</v>
      </c>
    </row>
    <row r="68" spans="1:22" s="13" customFormat="1" ht="15.75" customHeight="1">
      <c r="A68" s="19"/>
      <c r="B68" s="21" t="s">
        <v>83</v>
      </c>
      <c r="C68" s="87">
        <v>54000</v>
      </c>
      <c r="D68" s="87">
        <v>54000</v>
      </c>
      <c r="E68" s="16">
        <f>4455+45</f>
        <v>4500</v>
      </c>
      <c r="F68" s="16">
        <f>4455+45</f>
        <v>4500</v>
      </c>
      <c r="G68" s="16">
        <f>4455+45</f>
        <v>4500</v>
      </c>
      <c r="H68" s="17">
        <f t="shared" si="29"/>
        <v>13500</v>
      </c>
      <c r="I68" s="16">
        <f>4455</f>
        <v>4455</v>
      </c>
      <c r="J68" s="16">
        <f>4455</f>
        <v>4455</v>
      </c>
      <c r="K68" s="16"/>
      <c r="L68" s="15">
        <f t="shared" si="30"/>
        <v>8910</v>
      </c>
      <c r="M68" s="16"/>
      <c r="N68" s="16"/>
      <c r="O68" s="16"/>
      <c r="P68" s="15">
        <f t="shared" si="31"/>
        <v>0</v>
      </c>
      <c r="Q68" s="16"/>
      <c r="R68" s="16"/>
      <c r="S68" s="16"/>
      <c r="T68" s="15">
        <f t="shared" si="32"/>
        <v>0</v>
      </c>
      <c r="U68" s="14">
        <f t="shared" si="33"/>
        <v>22410</v>
      </c>
      <c r="V68" s="14">
        <f t="shared" si="34"/>
        <v>31590</v>
      </c>
    </row>
    <row r="69" spans="1:22" s="13" customFormat="1" ht="13.5" customHeight="1">
      <c r="A69" s="19"/>
      <c r="B69" s="18" t="s">
        <v>84</v>
      </c>
      <c r="C69" s="87">
        <v>24000</v>
      </c>
      <c r="D69" s="87">
        <v>24000</v>
      </c>
      <c r="E69" s="16">
        <v>1600</v>
      </c>
      <c r="F69" s="16">
        <v>1600</v>
      </c>
      <c r="G69" s="16">
        <v>1600</v>
      </c>
      <c r="H69" s="17">
        <f t="shared" si="29"/>
        <v>4800</v>
      </c>
      <c r="I69" s="16">
        <v>1600</v>
      </c>
      <c r="J69" s="16">
        <v>3600</v>
      </c>
      <c r="K69" s="16">
        <v>2000</v>
      </c>
      <c r="L69" s="15">
        <f t="shared" si="30"/>
        <v>7200</v>
      </c>
      <c r="M69" s="16">
        <v>2000</v>
      </c>
      <c r="N69" s="16">
        <v>2000</v>
      </c>
      <c r="O69" s="16"/>
      <c r="P69" s="15">
        <f t="shared" si="31"/>
        <v>4000</v>
      </c>
      <c r="Q69" s="16"/>
      <c r="R69" s="16"/>
      <c r="S69" s="16"/>
      <c r="T69" s="15">
        <f t="shared" si="32"/>
        <v>0</v>
      </c>
      <c r="U69" s="14">
        <f t="shared" si="33"/>
        <v>16000</v>
      </c>
      <c r="V69" s="14">
        <f t="shared" si="34"/>
        <v>8000</v>
      </c>
    </row>
    <row r="70" spans="1:22" s="91" customFormat="1" ht="15.75" customHeight="1">
      <c r="A70" s="19"/>
      <c r="B70" s="18" t="s">
        <v>85</v>
      </c>
      <c r="C70" s="87">
        <v>3600</v>
      </c>
      <c r="D70" s="87">
        <v>3600</v>
      </c>
      <c r="E70" s="90">
        <v>3600</v>
      </c>
      <c r="F70" s="90"/>
      <c r="G70" s="90"/>
      <c r="H70" s="17">
        <f t="shared" si="29"/>
        <v>3600</v>
      </c>
      <c r="I70" s="90"/>
      <c r="J70" s="90"/>
      <c r="K70" s="90"/>
      <c r="L70" s="17">
        <f t="shared" si="30"/>
        <v>0</v>
      </c>
      <c r="M70" s="90"/>
      <c r="N70" s="90"/>
      <c r="O70" s="90"/>
      <c r="P70" s="17">
        <f t="shared" si="31"/>
        <v>0</v>
      </c>
      <c r="Q70" s="90"/>
      <c r="R70" s="90"/>
      <c r="S70" s="90"/>
      <c r="T70" s="17">
        <f t="shared" si="32"/>
        <v>0</v>
      </c>
      <c r="U70" s="14">
        <f t="shared" si="33"/>
        <v>3600</v>
      </c>
      <c r="V70" s="14">
        <f t="shared" si="34"/>
        <v>0</v>
      </c>
    </row>
    <row r="71" spans="1:22" s="13" customFormat="1" ht="16.5" customHeight="1">
      <c r="A71" s="19"/>
      <c r="B71" s="18" t="s">
        <v>86</v>
      </c>
      <c r="C71" s="87">
        <v>2400</v>
      </c>
      <c r="D71" s="87">
        <v>2400</v>
      </c>
      <c r="E71" s="16">
        <v>2400</v>
      </c>
      <c r="F71" s="16"/>
      <c r="G71" s="16"/>
      <c r="H71" s="17">
        <f t="shared" ref="H71:H81" si="35">SUM(E71:G71)</f>
        <v>2400</v>
      </c>
      <c r="I71" s="16"/>
      <c r="J71" s="16"/>
      <c r="K71" s="16"/>
      <c r="L71" s="15">
        <f t="shared" ref="L71:L81" si="36">SUM(I71:K71)</f>
        <v>0</v>
      </c>
      <c r="M71" s="16"/>
      <c r="N71" s="16"/>
      <c r="O71" s="16"/>
      <c r="P71" s="15">
        <f t="shared" ref="P71:P81" si="37">SUM(M71:O71)</f>
        <v>0</v>
      </c>
      <c r="Q71" s="16"/>
      <c r="R71" s="16"/>
      <c r="S71" s="16"/>
      <c r="T71" s="15">
        <f t="shared" ref="T71:T81" si="38">SUM(Q71:S71)</f>
        <v>0</v>
      </c>
      <c r="U71" s="14">
        <f t="shared" ref="U71:U81" si="39">H71+L71+P71+T71</f>
        <v>2400</v>
      </c>
      <c r="V71" s="14">
        <f t="shared" si="34"/>
        <v>0</v>
      </c>
    </row>
    <row r="72" spans="1:22" s="13" customFormat="1" ht="29.25">
      <c r="A72" s="19"/>
      <c r="B72" s="18" t="s">
        <v>87</v>
      </c>
      <c r="C72" s="87">
        <v>30000</v>
      </c>
      <c r="D72" s="87">
        <v>30000</v>
      </c>
      <c r="E72" s="16"/>
      <c r="F72" s="16"/>
      <c r="G72" s="16"/>
      <c r="H72" s="17">
        <f t="shared" si="35"/>
        <v>0</v>
      </c>
      <c r="I72" s="16"/>
      <c r="J72" s="16">
        <f>3180+30</f>
        <v>3210</v>
      </c>
      <c r="K72" s="16"/>
      <c r="L72" s="15">
        <f t="shared" si="36"/>
        <v>3210</v>
      </c>
      <c r="M72" s="16"/>
      <c r="N72" s="16"/>
      <c r="O72" s="16"/>
      <c r="P72" s="15">
        <f t="shared" si="37"/>
        <v>0</v>
      </c>
      <c r="Q72" s="16"/>
      <c r="R72" s="16"/>
      <c r="S72" s="16"/>
      <c r="T72" s="15">
        <f t="shared" si="38"/>
        <v>0</v>
      </c>
      <c r="U72" s="14">
        <f t="shared" si="39"/>
        <v>3210</v>
      </c>
      <c r="V72" s="14">
        <f t="shared" si="34"/>
        <v>26790</v>
      </c>
    </row>
    <row r="73" spans="1:22" s="13" customFormat="1" ht="31.5" customHeight="1">
      <c r="A73" s="19"/>
      <c r="B73" s="18" t="s">
        <v>88</v>
      </c>
      <c r="C73" s="87">
        <v>30000</v>
      </c>
      <c r="D73" s="87">
        <v>30000</v>
      </c>
      <c r="E73" s="16"/>
      <c r="F73" s="16"/>
      <c r="G73" s="16"/>
      <c r="H73" s="17">
        <f t="shared" si="35"/>
        <v>0</v>
      </c>
      <c r="I73" s="16"/>
      <c r="J73" s="16"/>
      <c r="K73" s="16"/>
      <c r="L73" s="15">
        <f t="shared" si="36"/>
        <v>0</v>
      </c>
      <c r="M73" s="16"/>
      <c r="N73" s="16"/>
      <c r="O73" s="16"/>
      <c r="P73" s="15">
        <f t="shared" si="37"/>
        <v>0</v>
      </c>
      <c r="Q73" s="16"/>
      <c r="R73" s="16"/>
      <c r="S73" s="16"/>
      <c r="T73" s="15">
        <f t="shared" si="38"/>
        <v>0</v>
      </c>
      <c r="U73" s="14">
        <f t="shared" si="39"/>
        <v>0</v>
      </c>
      <c r="V73" s="14">
        <f t="shared" si="34"/>
        <v>30000</v>
      </c>
    </row>
    <row r="74" spans="1:22" s="13" customFormat="1" ht="16.5" customHeight="1">
      <c r="A74" s="19"/>
      <c r="B74" s="18" t="s">
        <v>89</v>
      </c>
      <c r="C74" s="87">
        <v>80000</v>
      </c>
      <c r="D74" s="87">
        <v>80000</v>
      </c>
      <c r="E74" s="16"/>
      <c r="F74" s="16"/>
      <c r="G74" s="16"/>
      <c r="H74" s="17">
        <f t="shared" si="35"/>
        <v>0</v>
      </c>
      <c r="I74" s="16"/>
      <c r="J74" s="16"/>
      <c r="K74" s="16"/>
      <c r="L74" s="15">
        <f t="shared" si="36"/>
        <v>0</v>
      </c>
      <c r="M74" s="16"/>
      <c r="N74" s="16"/>
      <c r="O74" s="16"/>
      <c r="P74" s="15">
        <f t="shared" si="37"/>
        <v>0</v>
      </c>
      <c r="Q74" s="16"/>
      <c r="R74" s="16"/>
      <c r="S74" s="16"/>
      <c r="T74" s="15">
        <f t="shared" si="38"/>
        <v>0</v>
      </c>
      <c r="U74" s="14">
        <f t="shared" si="39"/>
        <v>0</v>
      </c>
      <c r="V74" s="14">
        <f t="shared" si="34"/>
        <v>80000</v>
      </c>
    </row>
    <row r="75" spans="1:22" s="13" customFormat="1" ht="16.5" customHeight="1">
      <c r="A75" s="19"/>
      <c r="B75" s="18" t="s">
        <v>90</v>
      </c>
      <c r="C75" s="87">
        <v>544000</v>
      </c>
      <c r="D75" s="87">
        <v>544000</v>
      </c>
      <c r="E75" s="16"/>
      <c r="F75" s="16"/>
      <c r="G75" s="16"/>
      <c r="H75" s="17">
        <f t="shared" si="35"/>
        <v>0</v>
      </c>
      <c r="I75" s="16">
        <v>1600</v>
      </c>
      <c r="J75" s="16">
        <v>400</v>
      </c>
      <c r="K75" s="16">
        <v>1400</v>
      </c>
      <c r="L75" s="15">
        <f t="shared" si="36"/>
        <v>3400</v>
      </c>
      <c r="M75" s="16">
        <v>1800</v>
      </c>
      <c r="N75" s="16">
        <v>1000</v>
      </c>
      <c r="O75" s="16"/>
      <c r="P75" s="15">
        <f t="shared" si="37"/>
        <v>2800</v>
      </c>
      <c r="Q75" s="16"/>
      <c r="R75" s="16"/>
      <c r="S75" s="16"/>
      <c r="T75" s="15">
        <f t="shared" si="38"/>
        <v>0</v>
      </c>
      <c r="U75" s="14">
        <f t="shared" si="39"/>
        <v>6200</v>
      </c>
      <c r="V75" s="14">
        <f t="shared" si="34"/>
        <v>537800</v>
      </c>
    </row>
    <row r="76" spans="1:22" s="13" customFormat="1" ht="16.5" customHeight="1">
      <c r="A76" s="19"/>
      <c r="B76" s="18" t="s">
        <v>91</v>
      </c>
      <c r="C76" s="87">
        <v>272000</v>
      </c>
      <c r="D76" s="87">
        <v>272000</v>
      </c>
      <c r="E76" s="16">
        <v>15400</v>
      </c>
      <c r="F76" s="16">
        <v>23000</v>
      </c>
      <c r="G76" s="16">
        <v>21200</v>
      </c>
      <c r="H76" s="17">
        <f t="shared" si="35"/>
        <v>59600</v>
      </c>
      <c r="I76" s="16">
        <v>21600</v>
      </c>
      <c r="J76" s="16">
        <v>23200</v>
      </c>
      <c r="K76" s="16">
        <v>17000</v>
      </c>
      <c r="L76" s="15">
        <f t="shared" si="36"/>
        <v>61800</v>
      </c>
      <c r="M76" s="16">
        <v>21800</v>
      </c>
      <c r="N76" s="16">
        <v>14800</v>
      </c>
      <c r="O76" s="16"/>
      <c r="P76" s="15">
        <f t="shared" si="37"/>
        <v>36600</v>
      </c>
      <c r="Q76" s="16"/>
      <c r="R76" s="16"/>
      <c r="S76" s="16"/>
      <c r="T76" s="15">
        <f t="shared" si="38"/>
        <v>0</v>
      </c>
      <c r="U76" s="14">
        <f t="shared" si="39"/>
        <v>158000</v>
      </c>
      <c r="V76" s="14">
        <f t="shared" si="34"/>
        <v>114000</v>
      </c>
    </row>
    <row r="77" spans="1:22" s="13" customFormat="1" ht="16.5" customHeight="1">
      <c r="A77" s="19"/>
      <c r="B77" s="18" t="s">
        <v>92</v>
      </c>
      <c r="C77" s="87">
        <v>544000</v>
      </c>
      <c r="D77" s="87">
        <v>494000</v>
      </c>
      <c r="E77" s="16">
        <v>32800</v>
      </c>
      <c r="F77" s="16">
        <v>43600</v>
      </c>
      <c r="G77" s="16">
        <v>42800</v>
      </c>
      <c r="H77" s="17">
        <f t="shared" si="35"/>
        <v>119200</v>
      </c>
      <c r="I77" s="16">
        <v>42800</v>
      </c>
      <c r="J77" s="16">
        <v>46400</v>
      </c>
      <c r="K77" s="16">
        <v>33600</v>
      </c>
      <c r="L77" s="15">
        <f t="shared" si="36"/>
        <v>122800</v>
      </c>
      <c r="M77" s="16">
        <v>43600</v>
      </c>
      <c r="N77" s="16">
        <v>30400</v>
      </c>
      <c r="O77" s="16"/>
      <c r="P77" s="15">
        <f t="shared" si="37"/>
        <v>74000</v>
      </c>
      <c r="Q77" s="16"/>
      <c r="R77" s="16"/>
      <c r="S77" s="16"/>
      <c r="T77" s="15">
        <f t="shared" si="38"/>
        <v>0</v>
      </c>
      <c r="U77" s="14">
        <f t="shared" si="39"/>
        <v>316000</v>
      </c>
      <c r="V77" s="14">
        <f t="shared" si="34"/>
        <v>178000</v>
      </c>
    </row>
    <row r="78" spans="1:22" s="13" customFormat="1" ht="19.5">
      <c r="A78" s="19"/>
      <c r="B78" s="18" t="s">
        <v>93</v>
      </c>
      <c r="C78" s="87">
        <v>440000</v>
      </c>
      <c r="D78" s="87">
        <v>290000</v>
      </c>
      <c r="E78" s="16">
        <v>46800</v>
      </c>
      <c r="F78" s="16">
        <v>72400</v>
      </c>
      <c r="G78" s="16">
        <v>52400</v>
      </c>
      <c r="H78" s="17">
        <f t="shared" si="35"/>
        <v>171600</v>
      </c>
      <c r="I78" s="16">
        <f>32800</f>
        <v>32800</v>
      </c>
      <c r="J78" s="16">
        <v>39600</v>
      </c>
      <c r="K78" s="16">
        <v>31600</v>
      </c>
      <c r="L78" s="15">
        <f t="shared" si="36"/>
        <v>104000</v>
      </c>
      <c r="M78" s="16">
        <v>41200</v>
      </c>
      <c r="N78" s="16"/>
      <c r="O78" s="16"/>
      <c r="P78" s="15">
        <f t="shared" si="37"/>
        <v>41200</v>
      </c>
      <c r="Q78" s="16"/>
      <c r="R78" s="16"/>
      <c r="S78" s="16"/>
      <c r="T78" s="15">
        <f t="shared" si="38"/>
        <v>0</v>
      </c>
      <c r="U78" s="14">
        <f t="shared" si="39"/>
        <v>316800</v>
      </c>
      <c r="V78" s="14">
        <f t="shared" si="34"/>
        <v>-26800</v>
      </c>
    </row>
    <row r="79" spans="1:22" s="13" customFormat="1" ht="15" customHeight="1">
      <c r="A79" s="19"/>
      <c r="B79" s="18" t="s">
        <v>94</v>
      </c>
      <c r="C79" s="87">
        <v>1632000</v>
      </c>
      <c r="D79" s="87">
        <v>111600</v>
      </c>
      <c r="E79" s="16"/>
      <c r="F79" s="16"/>
      <c r="G79" s="16"/>
      <c r="H79" s="17">
        <f t="shared" si="35"/>
        <v>0</v>
      </c>
      <c r="I79" s="16">
        <v>6000</v>
      </c>
      <c r="J79" s="16">
        <v>1800</v>
      </c>
      <c r="K79" s="16">
        <v>7800</v>
      </c>
      <c r="L79" s="15">
        <f t="shared" si="36"/>
        <v>15600</v>
      </c>
      <c r="M79" s="16">
        <v>3000</v>
      </c>
      <c r="N79" s="16">
        <v>12000</v>
      </c>
      <c r="O79" s="16"/>
      <c r="P79" s="15">
        <f t="shared" si="37"/>
        <v>15000</v>
      </c>
      <c r="Q79" s="16"/>
      <c r="R79" s="16"/>
      <c r="S79" s="16"/>
      <c r="T79" s="15">
        <f t="shared" si="38"/>
        <v>0</v>
      </c>
      <c r="U79" s="14">
        <f t="shared" si="39"/>
        <v>30600</v>
      </c>
      <c r="V79" s="14">
        <f t="shared" si="34"/>
        <v>81000</v>
      </c>
    </row>
    <row r="80" spans="1:22" s="13" customFormat="1" ht="15" customHeight="1">
      <c r="A80" s="19"/>
      <c r="B80" s="18" t="s">
        <v>95</v>
      </c>
      <c r="C80" s="87">
        <v>80000</v>
      </c>
      <c r="D80" s="87">
        <v>80000</v>
      </c>
      <c r="E80" s="16"/>
      <c r="F80" s="16"/>
      <c r="G80" s="16"/>
      <c r="H80" s="17">
        <f t="shared" si="35"/>
        <v>0</v>
      </c>
      <c r="I80" s="16"/>
      <c r="J80" s="16"/>
      <c r="K80" s="16"/>
      <c r="L80" s="15">
        <f t="shared" si="36"/>
        <v>0</v>
      </c>
      <c r="M80" s="16">
        <f>48807+29478.6</f>
        <v>78285.600000000006</v>
      </c>
      <c r="N80" s="16"/>
      <c r="O80" s="16">
        <f>493+278.1</f>
        <v>771.1</v>
      </c>
      <c r="P80" s="15">
        <f t="shared" si="37"/>
        <v>79056.700000000012</v>
      </c>
      <c r="Q80" s="16"/>
      <c r="R80" s="16"/>
      <c r="S80" s="16"/>
      <c r="T80" s="15">
        <f t="shared" si="38"/>
        <v>0</v>
      </c>
      <c r="U80" s="14">
        <f t="shared" si="39"/>
        <v>79056.700000000012</v>
      </c>
      <c r="V80" s="14">
        <f t="shared" si="34"/>
        <v>943.29999999998836</v>
      </c>
    </row>
    <row r="81" spans="1:22" s="13" customFormat="1" ht="15" customHeight="1">
      <c r="A81" s="19"/>
      <c r="B81" s="18" t="s">
        <v>96</v>
      </c>
      <c r="C81" s="87">
        <v>100000</v>
      </c>
      <c r="D81" s="87">
        <v>20000</v>
      </c>
      <c r="E81" s="16"/>
      <c r="F81" s="16"/>
      <c r="G81" s="16"/>
      <c r="H81" s="17">
        <f t="shared" si="35"/>
        <v>0</v>
      </c>
      <c r="I81" s="16"/>
      <c r="J81" s="16"/>
      <c r="K81" s="16"/>
      <c r="L81" s="15">
        <f t="shared" si="36"/>
        <v>0</v>
      </c>
      <c r="M81" s="16">
        <v>1000</v>
      </c>
      <c r="N81" s="16"/>
      <c r="O81" s="16"/>
      <c r="P81" s="15">
        <f t="shared" si="37"/>
        <v>1000</v>
      </c>
      <c r="Q81" s="16"/>
      <c r="R81" s="16"/>
      <c r="S81" s="16"/>
      <c r="T81" s="15">
        <f t="shared" si="38"/>
        <v>0</v>
      </c>
      <c r="U81" s="14">
        <f t="shared" si="39"/>
        <v>1000</v>
      </c>
      <c r="V81" s="14">
        <f t="shared" si="34"/>
        <v>19000</v>
      </c>
    </row>
    <row r="82" spans="1:22" s="8" customFormat="1" ht="18" customHeight="1">
      <c r="A82" s="152" t="s">
        <v>2</v>
      </c>
      <c r="B82" s="153"/>
      <c r="C82" s="12">
        <f>C6+C26+C37+C41+C51+C60+C62+C64</f>
        <v>18313045.109999999</v>
      </c>
      <c r="D82" s="12">
        <f t="shared" ref="D82" si="40">D6+D26+D37+D41+D51+D60+D62+D64</f>
        <v>18313045.109999999</v>
      </c>
      <c r="E82" s="11">
        <f t="shared" ref="E82:T82" si="41">E6+E26+E37+E41+E51+E60+E62+E64</f>
        <v>1003433.9299999999</v>
      </c>
      <c r="F82" s="11">
        <f t="shared" si="41"/>
        <v>991336.64</v>
      </c>
      <c r="G82" s="11">
        <f t="shared" si="41"/>
        <v>1056893.3900000001</v>
      </c>
      <c r="H82" s="9">
        <f t="shared" si="41"/>
        <v>3051663.96</v>
      </c>
      <c r="I82" s="11">
        <f t="shared" si="41"/>
        <v>1014917.73</v>
      </c>
      <c r="J82" s="11">
        <f t="shared" si="41"/>
        <v>1091004.42</v>
      </c>
      <c r="K82" s="11">
        <f t="shared" si="41"/>
        <v>912829.53</v>
      </c>
      <c r="L82" s="9">
        <f t="shared" si="41"/>
        <v>3018751.68</v>
      </c>
      <c r="M82" s="11">
        <f t="shared" si="41"/>
        <v>1034996.14</v>
      </c>
      <c r="N82" s="11">
        <f t="shared" si="41"/>
        <v>913127</v>
      </c>
      <c r="O82" s="11">
        <f t="shared" si="41"/>
        <v>1281.0999999999999</v>
      </c>
      <c r="P82" s="9">
        <f t="shared" si="41"/>
        <v>1949404.24</v>
      </c>
      <c r="Q82" s="11">
        <f t="shared" si="41"/>
        <v>0</v>
      </c>
      <c r="R82" s="11">
        <f t="shared" si="41"/>
        <v>0</v>
      </c>
      <c r="S82" s="11">
        <f t="shared" si="41"/>
        <v>0</v>
      </c>
      <c r="T82" s="9">
        <f t="shared" si="41"/>
        <v>0</v>
      </c>
      <c r="U82" s="10">
        <f>U6+U26+U37+U41+U51+U60+U62+U64</f>
        <v>8019819.8799999999</v>
      </c>
      <c r="V82" s="9">
        <f>V6+V26+V37+V41+V51+V60+V62+V64</f>
        <v>10149225.229999999</v>
      </c>
    </row>
    <row r="83" spans="1:22" ht="17.25" customHeight="1">
      <c r="B83" s="102"/>
      <c r="C83" s="103"/>
      <c r="G83" s="7"/>
      <c r="H83" s="7"/>
      <c r="I83" s="13"/>
      <c r="J83" s="13"/>
    </row>
    <row r="84" spans="1:22" ht="18" customHeight="1">
      <c r="B84" s="68"/>
      <c r="C84" s="103"/>
      <c r="E84" s="7"/>
      <c r="F84" s="7"/>
    </row>
    <row r="85" spans="1:22" ht="17.25" customHeight="1">
      <c r="B85" s="104"/>
      <c r="C85" s="105"/>
    </row>
    <row r="86" spans="1:22" ht="24.95" customHeight="1"/>
    <row r="87" spans="1:22" ht="24.95" customHeight="1"/>
    <row r="92" spans="1:22" ht="68.25">
      <c r="G92" s="86" t="s">
        <v>0</v>
      </c>
      <c r="H92" s="85">
        <v>50000</v>
      </c>
    </row>
    <row r="93" spans="1:22" ht="68.25">
      <c r="G93" s="86" t="s">
        <v>1</v>
      </c>
      <c r="H93" s="85">
        <v>18000</v>
      </c>
    </row>
  </sheetData>
  <mergeCells count="14">
    <mergeCell ref="A6:B6"/>
    <mergeCell ref="A26:B26"/>
    <mergeCell ref="A82:B82"/>
    <mergeCell ref="A37:B37"/>
    <mergeCell ref="A41:B41"/>
    <mergeCell ref="A51:B51"/>
    <mergeCell ref="A60:B60"/>
    <mergeCell ref="A62:B62"/>
    <mergeCell ref="A64:B64"/>
    <mergeCell ref="A1:H1"/>
    <mergeCell ref="E4:H4"/>
    <mergeCell ref="I4:L4"/>
    <mergeCell ref="M4:P4"/>
    <mergeCell ref="Q4:T4"/>
  </mergeCells>
  <printOptions horizontalCentered="1"/>
  <pageMargins left="0" right="0" top="0.39370078740157483" bottom="0.31496062992125984" header="0.31496062992125984" footer="0.31496062992125984"/>
  <pageSetup paperSize="9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93"/>
  <sheetViews>
    <sheetView zoomScale="110" zoomScaleNormal="110"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D7" sqref="D7:D25"/>
    </sheetView>
  </sheetViews>
  <sheetFormatPr defaultRowHeight="9.75"/>
  <cols>
    <col min="1" max="1" width="1.28515625" style="6" customWidth="1"/>
    <col min="2" max="2" width="32" style="1" customWidth="1"/>
    <col min="3" max="3" width="10.7109375" style="5" bestFit="1" customWidth="1"/>
    <col min="4" max="4" width="10.7109375" style="1" bestFit="1" customWidth="1"/>
    <col min="5" max="5" width="9.85546875" style="2" bestFit="1" customWidth="1"/>
    <col min="6" max="6" width="9.5703125" style="2" bestFit="1" customWidth="1"/>
    <col min="7" max="7" width="12.85546875" style="2" bestFit="1" customWidth="1"/>
    <col min="8" max="8" width="9.85546875" style="4" bestFit="1" customWidth="1"/>
    <col min="9" max="11" width="9.5703125" style="2" bestFit="1" customWidth="1"/>
    <col min="12" max="12" width="9.5703125" style="4" bestFit="1" customWidth="1"/>
    <col min="13" max="13" width="9.5703125" style="2" bestFit="1" customWidth="1"/>
    <col min="14" max="14" width="9.140625" style="2" bestFit="1" customWidth="1"/>
    <col min="15" max="15" width="9.85546875" style="2" bestFit="1" customWidth="1"/>
    <col min="16" max="16" width="9.5703125" style="4" bestFit="1" customWidth="1"/>
    <col min="17" max="19" width="9.85546875" style="2" bestFit="1" customWidth="1"/>
    <col min="20" max="20" width="9.5703125" style="3" bestFit="1" customWidth="1"/>
    <col min="21" max="21" width="10.42578125" style="2" customWidth="1"/>
    <col min="22" max="22" width="10.28515625" style="2" bestFit="1" customWidth="1"/>
    <col min="23" max="24" width="10.140625" style="1" customWidth="1"/>
    <col min="25" max="16384" width="9.140625" style="1"/>
  </cols>
  <sheetData>
    <row r="1" spans="1:30" s="96" customFormat="1" ht="18" customHeight="1">
      <c r="A1" s="144" t="s">
        <v>24</v>
      </c>
      <c r="B1" s="144"/>
      <c r="C1" s="144"/>
      <c r="D1" s="144"/>
      <c r="E1" s="144"/>
      <c r="F1" s="144"/>
      <c r="G1" s="144"/>
      <c r="H1" s="144"/>
      <c r="I1" s="93"/>
      <c r="J1" s="93"/>
      <c r="K1" s="93"/>
      <c r="L1" s="94"/>
      <c r="M1" s="93"/>
      <c r="N1" s="93"/>
      <c r="O1" s="93"/>
      <c r="P1" s="94"/>
      <c r="Q1" s="93"/>
      <c r="R1" s="93"/>
      <c r="S1" s="93"/>
      <c r="T1" s="94"/>
      <c r="U1" s="95"/>
      <c r="V1" s="93"/>
      <c r="AD1" s="97"/>
    </row>
    <row r="2" spans="1:30" s="96" customFormat="1" ht="15" customHeight="1">
      <c r="A2" s="106" t="s">
        <v>39</v>
      </c>
      <c r="B2" s="98"/>
      <c r="C2" s="99"/>
      <c r="D2" s="100"/>
      <c r="E2" s="93"/>
      <c r="F2" s="93"/>
      <c r="G2" s="93"/>
      <c r="H2" s="101"/>
      <c r="I2" s="93"/>
      <c r="J2" s="93"/>
      <c r="K2" s="93"/>
      <c r="L2" s="94"/>
      <c r="M2" s="93"/>
      <c r="N2" s="93"/>
      <c r="O2" s="93"/>
      <c r="P2" s="94"/>
      <c r="Q2" s="93"/>
      <c r="R2" s="93"/>
      <c r="S2" s="93"/>
      <c r="T2" s="94"/>
      <c r="U2" s="95"/>
      <c r="V2" s="93"/>
      <c r="AD2" s="97"/>
    </row>
    <row r="3" spans="1:30" s="75" customFormat="1" ht="6" customHeight="1">
      <c r="A3" s="84"/>
      <c r="B3" s="83"/>
      <c r="C3" s="82"/>
      <c r="D3" s="81"/>
      <c r="E3" s="77"/>
      <c r="F3" s="77"/>
      <c r="G3" s="77"/>
      <c r="H3" s="80"/>
      <c r="I3" s="77"/>
      <c r="J3" s="77"/>
      <c r="K3" s="77"/>
      <c r="L3" s="79"/>
      <c r="M3" s="77"/>
      <c r="N3" s="77"/>
      <c r="O3" s="77"/>
      <c r="P3" s="79"/>
      <c r="Q3" s="77"/>
      <c r="R3" s="77"/>
      <c r="S3" s="77"/>
      <c r="T3" s="79"/>
      <c r="U3" s="78"/>
      <c r="V3" s="77"/>
      <c r="AD3" s="76"/>
    </row>
    <row r="4" spans="1:30" s="67" customFormat="1" ht="19.5" customHeight="1">
      <c r="A4" s="74"/>
      <c r="B4" s="73"/>
      <c r="C4" s="72"/>
      <c r="D4" s="71"/>
      <c r="E4" s="145" t="s">
        <v>23</v>
      </c>
      <c r="F4" s="146"/>
      <c r="G4" s="146"/>
      <c r="H4" s="147"/>
      <c r="I4" s="148" t="s">
        <v>22</v>
      </c>
      <c r="J4" s="149"/>
      <c r="K4" s="149"/>
      <c r="L4" s="150"/>
      <c r="M4" s="145" t="s">
        <v>21</v>
      </c>
      <c r="N4" s="146"/>
      <c r="O4" s="146"/>
      <c r="P4" s="147"/>
      <c r="Q4" s="148" t="s">
        <v>20</v>
      </c>
      <c r="R4" s="149"/>
      <c r="S4" s="149"/>
      <c r="T4" s="150"/>
      <c r="U4" s="70"/>
      <c r="V4" s="69"/>
      <c r="AD4" s="68"/>
    </row>
    <row r="5" spans="1:30" s="54" customFormat="1" ht="23.25" customHeight="1">
      <c r="A5" s="66"/>
      <c r="B5" s="65" t="s">
        <v>19</v>
      </c>
      <c r="C5" s="64" t="s">
        <v>37</v>
      </c>
      <c r="D5" s="63" t="s">
        <v>18</v>
      </c>
      <c r="E5" s="62" t="s">
        <v>25</v>
      </c>
      <c r="F5" s="62" t="s">
        <v>26</v>
      </c>
      <c r="G5" s="62" t="s">
        <v>27</v>
      </c>
      <c r="H5" s="60" t="s">
        <v>17</v>
      </c>
      <c r="I5" s="62" t="s">
        <v>28</v>
      </c>
      <c r="J5" s="62" t="s">
        <v>29</v>
      </c>
      <c r="K5" s="61" t="s">
        <v>30</v>
      </c>
      <c r="L5" s="60" t="s">
        <v>16</v>
      </c>
      <c r="M5" s="61" t="s">
        <v>31</v>
      </c>
      <c r="N5" s="61" t="s">
        <v>32</v>
      </c>
      <c r="O5" s="61" t="s">
        <v>33</v>
      </c>
      <c r="P5" s="60" t="s">
        <v>15</v>
      </c>
      <c r="Q5" s="59" t="s">
        <v>34</v>
      </c>
      <c r="R5" s="56" t="s">
        <v>35</v>
      </c>
      <c r="S5" s="56" t="s">
        <v>36</v>
      </c>
      <c r="T5" s="58" t="s">
        <v>14</v>
      </c>
      <c r="U5" s="57" t="s">
        <v>13</v>
      </c>
      <c r="V5" s="56" t="s">
        <v>12</v>
      </c>
      <c r="AD5" s="55"/>
    </row>
    <row r="6" spans="1:30" s="52" customFormat="1" ht="18" customHeight="1">
      <c r="A6" s="151" t="s">
        <v>11</v>
      </c>
      <c r="B6" s="151"/>
      <c r="C6" s="53">
        <f>SUM(C7:C25)</f>
        <v>10442412</v>
      </c>
      <c r="D6" s="53">
        <f>SUM(D7:D25)</f>
        <v>10442412</v>
      </c>
      <c r="E6" s="31">
        <f>SUM(E7:E25)</f>
        <v>874383</v>
      </c>
      <c r="F6" s="31">
        <f>SUM(F7:F25)</f>
        <v>833027</v>
      </c>
      <c r="G6" s="31">
        <f>SUM(G7:G25)</f>
        <v>822717</v>
      </c>
      <c r="H6" s="29">
        <f t="shared" ref="H6:H60" si="0">SUM(E6:G6)</f>
        <v>2530127</v>
      </c>
      <c r="I6" s="31">
        <f>SUM(I7:I25)</f>
        <v>840165</v>
      </c>
      <c r="J6" s="31">
        <f>SUM(J7:J25)</f>
        <v>886357</v>
      </c>
      <c r="K6" s="31">
        <f>SUM(K7:K25)</f>
        <v>814057</v>
      </c>
      <c r="L6" s="29">
        <f t="shared" ref="L6:L60" si="1">SUM(I6:K6)</f>
        <v>2540579</v>
      </c>
      <c r="M6" s="31">
        <f>SUM(M7:M25)</f>
        <v>820497</v>
      </c>
      <c r="N6" s="31">
        <f>SUM(N7:N25)</f>
        <v>842367</v>
      </c>
      <c r="O6" s="31">
        <f>SUM(O7:O25)</f>
        <v>815747</v>
      </c>
      <c r="P6" s="29">
        <f t="shared" ref="P6:P60" si="2">SUM(M6:O6)</f>
        <v>2478611</v>
      </c>
      <c r="Q6" s="30">
        <f>SUM(Q7:Q25)</f>
        <v>815747</v>
      </c>
      <c r="R6" s="30">
        <f>SUM(R7:R25)</f>
        <v>815747</v>
      </c>
      <c r="S6" s="30">
        <f>SUM(S7:S25)</f>
        <v>815747</v>
      </c>
      <c r="T6" s="29">
        <f t="shared" ref="T6:T60" si="3">SUM(Q6:S6)</f>
        <v>2447241</v>
      </c>
      <c r="U6" s="29">
        <f t="shared" ref="U6:U60" si="4">H6+L6+P6+T6</f>
        <v>9996558</v>
      </c>
      <c r="V6" s="29">
        <f>SUM(V7:V25)</f>
        <v>445854</v>
      </c>
    </row>
    <row r="7" spans="1:30" s="43" customFormat="1" ht="20.25" customHeight="1">
      <c r="A7" s="48"/>
      <c r="B7" s="51" t="s">
        <v>40</v>
      </c>
      <c r="C7" s="46">
        <v>660000</v>
      </c>
      <c r="D7" s="46">
        <v>660000</v>
      </c>
      <c r="E7" s="23">
        <v>55000</v>
      </c>
      <c r="F7" s="23">
        <v>55000</v>
      </c>
      <c r="G7" s="23">
        <v>55000</v>
      </c>
      <c r="H7" s="26">
        <f t="shared" si="0"/>
        <v>165000</v>
      </c>
      <c r="I7" s="23">
        <v>55000</v>
      </c>
      <c r="J7" s="23">
        <v>55000</v>
      </c>
      <c r="K7" s="23">
        <v>55000</v>
      </c>
      <c r="L7" s="26">
        <f t="shared" si="1"/>
        <v>165000</v>
      </c>
      <c r="M7" s="23">
        <v>55000</v>
      </c>
      <c r="N7" s="23">
        <v>55000</v>
      </c>
      <c r="O7" s="107">
        <v>55000</v>
      </c>
      <c r="P7" s="26">
        <f t="shared" si="2"/>
        <v>165000</v>
      </c>
      <c r="Q7" s="107">
        <v>55000</v>
      </c>
      <c r="R7" s="107">
        <v>55000</v>
      </c>
      <c r="S7" s="107">
        <v>55000</v>
      </c>
      <c r="T7" s="24">
        <f t="shared" si="3"/>
        <v>165000</v>
      </c>
      <c r="U7" s="23">
        <f t="shared" si="4"/>
        <v>660000</v>
      </c>
      <c r="V7" s="23">
        <f>D7-U7</f>
        <v>0</v>
      </c>
    </row>
    <row r="8" spans="1:30" s="43" customFormat="1" ht="19.5" customHeight="1">
      <c r="A8" s="48"/>
      <c r="B8" s="45" t="s">
        <v>41</v>
      </c>
      <c r="C8" s="46">
        <v>1980000</v>
      </c>
      <c r="D8" s="46">
        <v>1980000</v>
      </c>
      <c r="E8" s="23">
        <v>165000</v>
      </c>
      <c r="F8" s="23">
        <v>165000</v>
      </c>
      <c r="G8" s="23">
        <v>165000</v>
      </c>
      <c r="H8" s="26">
        <f t="shared" si="0"/>
        <v>495000</v>
      </c>
      <c r="I8" s="23">
        <v>165000</v>
      </c>
      <c r="J8" s="23">
        <v>165000</v>
      </c>
      <c r="K8" s="23">
        <v>165000</v>
      </c>
      <c r="L8" s="26">
        <f t="shared" si="1"/>
        <v>495000</v>
      </c>
      <c r="M8" s="23">
        <v>165000</v>
      </c>
      <c r="N8" s="23">
        <v>165000</v>
      </c>
      <c r="O8" s="107">
        <v>165000</v>
      </c>
      <c r="P8" s="26">
        <f t="shared" si="2"/>
        <v>495000</v>
      </c>
      <c r="Q8" s="107">
        <v>165000</v>
      </c>
      <c r="R8" s="107">
        <v>165000</v>
      </c>
      <c r="S8" s="107">
        <v>165000</v>
      </c>
      <c r="T8" s="24">
        <f t="shared" si="3"/>
        <v>495000</v>
      </c>
      <c r="U8" s="23">
        <f t="shared" si="4"/>
        <v>1980000</v>
      </c>
      <c r="V8" s="23">
        <f t="shared" ref="V8:V59" si="5">D8-U8</f>
        <v>0</v>
      </c>
    </row>
    <row r="9" spans="1:30" s="43" customFormat="1" ht="29.25">
      <c r="A9" s="48"/>
      <c r="B9" s="45" t="s">
        <v>42</v>
      </c>
      <c r="C9" s="46">
        <v>2010060</v>
      </c>
      <c r="D9" s="46">
        <v>2010060</v>
      </c>
      <c r="E9" s="23">
        <v>159530</v>
      </c>
      <c r="F9" s="23">
        <v>167505</v>
      </c>
      <c r="G9" s="23">
        <v>167505</v>
      </c>
      <c r="H9" s="26">
        <f t="shared" si="0"/>
        <v>494540</v>
      </c>
      <c r="I9" s="23">
        <v>175480</v>
      </c>
      <c r="J9" s="23">
        <v>167505</v>
      </c>
      <c r="K9" s="23">
        <v>167505</v>
      </c>
      <c r="L9" s="26">
        <f t="shared" si="1"/>
        <v>510490</v>
      </c>
      <c r="M9" s="23">
        <v>167505</v>
      </c>
      <c r="N9" s="23">
        <v>167505</v>
      </c>
      <c r="O9" s="107">
        <v>167505</v>
      </c>
      <c r="P9" s="26">
        <f t="shared" si="2"/>
        <v>502515</v>
      </c>
      <c r="Q9" s="107">
        <v>167505</v>
      </c>
      <c r="R9" s="107">
        <v>167505</v>
      </c>
      <c r="S9" s="107">
        <v>167505</v>
      </c>
      <c r="T9" s="24">
        <f t="shared" si="3"/>
        <v>502515</v>
      </c>
      <c r="U9" s="23">
        <f t="shared" si="4"/>
        <v>2010060</v>
      </c>
      <c r="V9" s="23">
        <f t="shared" si="5"/>
        <v>0</v>
      </c>
    </row>
    <row r="10" spans="1:30" s="43" customFormat="1" ht="17.25" customHeight="1">
      <c r="A10" s="48"/>
      <c r="B10" s="45" t="s">
        <v>43</v>
      </c>
      <c r="C10" s="46">
        <v>611064</v>
      </c>
      <c r="D10" s="46">
        <v>611064</v>
      </c>
      <c r="E10" s="23">
        <v>48498</v>
      </c>
      <c r="F10" s="23">
        <v>50922</v>
      </c>
      <c r="G10" s="23">
        <v>50922</v>
      </c>
      <c r="H10" s="26">
        <f t="shared" si="0"/>
        <v>150342</v>
      </c>
      <c r="I10" s="23">
        <v>53346</v>
      </c>
      <c r="J10" s="23">
        <v>50922</v>
      </c>
      <c r="K10" s="23">
        <v>50922</v>
      </c>
      <c r="L10" s="26">
        <f t="shared" si="1"/>
        <v>155190</v>
      </c>
      <c r="M10" s="23">
        <v>50922</v>
      </c>
      <c r="N10" s="23">
        <v>50922</v>
      </c>
      <c r="O10" s="107">
        <v>50922</v>
      </c>
      <c r="P10" s="26">
        <f t="shared" si="2"/>
        <v>152766</v>
      </c>
      <c r="Q10" s="107">
        <v>50922</v>
      </c>
      <c r="R10" s="107">
        <v>50922</v>
      </c>
      <c r="S10" s="107">
        <v>50922</v>
      </c>
      <c r="T10" s="24">
        <f t="shared" si="3"/>
        <v>152766</v>
      </c>
      <c r="U10" s="23">
        <f t="shared" si="4"/>
        <v>611064</v>
      </c>
      <c r="V10" s="23">
        <f t="shared" si="5"/>
        <v>0</v>
      </c>
    </row>
    <row r="11" spans="1:30" s="43" customFormat="1" ht="18" customHeight="1">
      <c r="A11" s="48"/>
      <c r="B11" s="45" t="s">
        <v>44</v>
      </c>
      <c r="C11" s="46">
        <v>402012</v>
      </c>
      <c r="D11" s="46">
        <v>402012</v>
      </c>
      <c r="E11" s="23">
        <v>31906</v>
      </c>
      <c r="F11" s="23">
        <v>33501</v>
      </c>
      <c r="G11" s="23">
        <v>33501</v>
      </c>
      <c r="H11" s="26">
        <f t="shared" si="0"/>
        <v>98908</v>
      </c>
      <c r="I11" s="23">
        <v>35096</v>
      </c>
      <c r="J11" s="23">
        <v>33501</v>
      </c>
      <c r="K11" s="23">
        <v>33501</v>
      </c>
      <c r="L11" s="26">
        <f t="shared" si="1"/>
        <v>102098</v>
      </c>
      <c r="M11" s="23">
        <v>33501</v>
      </c>
      <c r="N11" s="23">
        <v>33501</v>
      </c>
      <c r="O11" s="107">
        <v>33501</v>
      </c>
      <c r="P11" s="26">
        <f t="shared" si="2"/>
        <v>100503</v>
      </c>
      <c r="Q11" s="107">
        <v>33501</v>
      </c>
      <c r="R11" s="107">
        <v>33501</v>
      </c>
      <c r="S11" s="107">
        <v>33501</v>
      </c>
      <c r="T11" s="24">
        <f t="shared" si="3"/>
        <v>100503</v>
      </c>
      <c r="U11" s="23">
        <f t="shared" si="4"/>
        <v>402012</v>
      </c>
      <c r="V11" s="23">
        <f t="shared" si="5"/>
        <v>0</v>
      </c>
    </row>
    <row r="12" spans="1:30" s="43" customFormat="1" ht="15" customHeight="1">
      <c r="A12" s="48"/>
      <c r="B12" s="45" t="s">
        <v>45</v>
      </c>
      <c r="C12" s="46">
        <v>437580</v>
      </c>
      <c r="D12" s="46">
        <v>437580</v>
      </c>
      <c r="E12" s="23">
        <v>34729</v>
      </c>
      <c r="F12" s="23">
        <v>36465</v>
      </c>
      <c r="G12" s="23">
        <v>36465</v>
      </c>
      <c r="H12" s="26">
        <f t="shared" si="0"/>
        <v>107659</v>
      </c>
      <c r="I12" s="23">
        <v>38201</v>
      </c>
      <c r="J12" s="23">
        <v>36465</v>
      </c>
      <c r="K12" s="23">
        <v>36465</v>
      </c>
      <c r="L12" s="26">
        <f t="shared" si="1"/>
        <v>111131</v>
      </c>
      <c r="M12" s="23">
        <v>36465</v>
      </c>
      <c r="N12" s="23">
        <v>36465</v>
      </c>
      <c r="O12" s="107">
        <v>36465</v>
      </c>
      <c r="P12" s="26">
        <f t="shared" si="2"/>
        <v>109395</v>
      </c>
      <c r="Q12" s="107">
        <v>36465</v>
      </c>
      <c r="R12" s="107">
        <v>36465</v>
      </c>
      <c r="S12" s="107">
        <v>36465</v>
      </c>
      <c r="T12" s="24">
        <f t="shared" si="3"/>
        <v>109395</v>
      </c>
      <c r="U12" s="23">
        <f t="shared" si="4"/>
        <v>437580</v>
      </c>
      <c r="V12" s="23">
        <f t="shared" si="5"/>
        <v>0</v>
      </c>
    </row>
    <row r="13" spans="1:30" s="43" customFormat="1" ht="15.75" customHeight="1">
      <c r="A13" s="48"/>
      <c r="B13" s="45" t="s">
        <v>46</v>
      </c>
      <c r="C13" s="46">
        <v>218784</v>
      </c>
      <c r="D13" s="46">
        <v>218784</v>
      </c>
      <c r="E13" s="23">
        <v>17364</v>
      </c>
      <c r="F13" s="23">
        <v>18232</v>
      </c>
      <c r="G13" s="23">
        <v>18232</v>
      </c>
      <c r="H13" s="26">
        <f t="shared" si="0"/>
        <v>53828</v>
      </c>
      <c r="I13" s="23">
        <v>19100</v>
      </c>
      <c r="J13" s="23">
        <v>18232</v>
      </c>
      <c r="K13" s="23">
        <v>18232</v>
      </c>
      <c r="L13" s="26">
        <f t="shared" si="1"/>
        <v>55564</v>
      </c>
      <c r="M13" s="23">
        <v>18232</v>
      </c>
      <c r="N13" s="23">
        <v>18232</v>
      </c>
      <c r="O13" s="107">
        <v>18232</v>
      </c>
      <c r="P13" s="26">
        <f t="shared" si="2"/>
        <v>54696</v>
      </c>
      <c r="Q13" s="107">
        <v>18232</v>
      </c>
      <c r="R13" s="107">
        <v>18232</v>
      </c>
      <c r="S13" s="107">
        <v>18232</v>
      </c>
      <c r="T13" s="24">
        <f t="shared" si="3"/>
        <v>54696</v>
      </c>
      <c r="U13" s="23">
        <f t="shared" si="4"/>
        <v>218784</v>
      </c>
      <c r="V13" s="23">
        <f t="shared" si="5"/>
        <v>0</v>
      </c>
    </row>
    <row r="14" spans="1:30" s="43" customFormat="1" ht="18.75" customHeight="1">
      <c r="A14" s="48"/>
      <c r="B14" s="45" t="s">
        <v>47</v>
      </c>
      <c r="C14" s="46">
        <v>216000</v>
      </c>
      <c r="D14" s="46">
        <v>216000</v>
      </c>
      <c r="E14" s="23">
        <v>18000</v>
      </c>
      <c r="F14" s="23">
        <v>18000</v>
      </c>
      <c r="G14" s="23">
        <v>18000</v>
      </c>
      <c r="H14" s="26">
        <f t="shared" si="0"/>
        <v>54000</v>
      </c>
      <c r="I14" s="23">
        <v>18000</v>
      </c>
      <c r="J14" s="23">
        <v>18000</v>
      </c>
      <c r="K14" s="23">
        <v>18000</v>
      </c>
      <c r="L14" s="26">
        <f t="shared" si="1"/>
        <v>54000</v>
      </c>
      <c r="M14" s="23">
        <v>18000</v>
      </c>
      <c r="N14" s="23">
        <v>18000</v>
      </c>
      <c r="O14" s="107">
        <v>18000</v>
      </c>
      <c r="P14" s="26">
        <f t="shared" si="2"/>
        <v>54000</v>
      </c>
      <c r="Q14" s="107">
        <v>18000</v>
      </c>
      <c r="R14" s="107">
        <v>18000</v>
      </c>
      <c r="S14" s="107">
        <v>18000</v>
      </c>
      <c r="T14" s="24">
        <f t="shared" si="3"/>
        <v>54000</v>
      </c>
      <c r="U14" s="23">
        <f t="shared" si="4"/>
        <v>216000</v>
      </c>
      <c r="V14" s="23">
        <f t="shared" si="5"/>
        <v>0</v>
      </c>
    </row>
    <row r="15" spans="1:30" s="43" customFormat="1" ht="32.25" customHeight="1">
      <c r="A15" s="48"/>
      <c r="B15" s="45" t="s">
        <v>48</v>
      </c>
      <c r="C15" s="46">
        <v>840000</v>
      </c>
      <c r="D15" s="46">
        <v>840000</v>
      </c>
      <c r="E15" s="23">
        <v>70000</v>
      </c>
      <c r="F15" s="23">
        <v>20000</v>
      </c>
      <c r="G15" s="23">
        <v>20000</v>
      </c>
      <c r="H15" s="26">
        <f t="shared" si="0"/>
        <v>110000</v>
      </c>
      <c r="I15" s="23">
        <v>20000</v>
      </c>
      <c r="J15" s="23">
        <v>20000</v>
      </c>
      <c r="K15" s="23">
        <v>20000</v>
      </c>
      <c r="L15" s="26">
        <f t="shared" si="1"/>
        <v>60000</v>
      </c>
      <c r="M15" s="23">
        <v>20000</v>
      </c>
      <c r="N15" s="23">
        <v>20000</v>
      </c>
      <c r="O15" s="107">
        <v>20000</v>
      </c>
      <c r="P15" s="26">
        <f t="shared" si="2"/>
        <v>60000</v>
      </c>
      <c r="Q15" s="107">
        <v>20000</v>
      </c>
      <c r="R15" s="107">
        <v>20000</v>
      </c>
      <c r="S15" s="107">
        <v>20000</v>
      </c>
      <c r="T15" s="24">
        <f t="shared" si="3"/>
        <v>60000</v>
      </c>
      <c r="U15" s="23">
        <f t="shared" si="4"/>
        <v>290000</v>
      </c>
      <c r="V15" s="23">
        <f t="shared" si="5"/>
        <v>550000</v>
      </c>
    </row>
    <row r="16" spans="1:30" s="43" customFormat="1" ht="39">
      <c r="A16" s="48"/>
      <c r="B16" s="45" t="s">
        <v>49</v>
      </c>
      <c r="C16" s="46">
        <v>253440</v>
      </c>
      <c r="D16" s="46">
        <v>253440</v>
      </c>
      <c r="E16" s="23">
        <f>27200+12160</f>
        <v>39360</v>
      </c>
      <c r="F16" s="23">
        <v>24480</v>
      </c>
      <c r="G16" s="23">
        <v>21920</v>
      </c>
      <c r="H16" s="26">
        <f t="shared" ref="H16:H24" si="6">SUM(E16:G16)</f>
        <v>85760</v>
      </c>
      <c r="I16" s="23">
        <v>25600</v>
      </c>
      <c r="J16" s="23">
        <v>23680</v>
      </c>
      <c r="K16" s="23">
        <v>24000</v>
      </c>
      <c r="L16" s="26">
        <f t="shared" ref="L16:L24" si="7">SUM(I16:K16)</f>
        <v>73280</v>
      </c>
      <c r="M16" s="23">
        <v>26080</v>
      </c>
      <c r="N16" s="107">
        <v>26000</v>
      </c>
      <c r="O16" s="107">
        <v>26000</v>
      </c>
      <c r="P16" s="26">
        <f t="shared" ref="P16:P24" si="8">SUM(M16:O16)</f>
        <v>78080</v>
      </c>
      <c r="Q16" s="107">
        <v>26000</v>
      </c>
      <c r="R16" s="107">
        <v>26000</v>
      </c>
      <c r="S16" s="107">
        <v>26000</v>
      </c>
      <c r="T16" s="24">
        <f t="shared" ref="T16:T24" si="9">SUM(Q16:S16)</f>
        <v>78000</v>
      </c>
      <c r="U16" s="23">
        <f t="shared" si="4"/>
        <v>315120</v>
      </c>
      <c r="V16" s="26">
        <f t="shared" si="5"/>
        <v>-61680</v>
      </c>
    </row>
    <row r="17" spans="1:22" s="43" customFormat="1" ht="39">
      <c r="A17" s="48"/>
      <c r="B17" s="45" t="s">
        <v>50</v>
      </c>
      <c r="C17" s="46">
        <v>286920</v>
      </c>
      <c r="D17" s="46">
        <v>286920</v>
      </c>
      <c r="E17" s="23">
        <f>9920+9360</f>
        <v>19280</v>
      </c>
      <c r="F17" s="23">
        <v>25620</v>
      </c>
      <c r="G17" s="23">
        <v>22680</v>
      </c>
      <c r="H17" s="26">
        <f t="shared" si="6"/>
        <v>67580</v>
      </c>
      <c r="I17" s="23">
        <v>32590</v>
      </c>
      <c r="J17" s="23">
        <v>30410</v>
      </c>
      <c r="K17" s="23">
        <v>31010</v>
      </c>
      <c r="L17" s="26">
        <f t="shared" si="7"/>
        <v>94010</v>
      </c>
      <c r="M17" s="23">
        <v>35200</v>
      </c>
      <c r="N17" s="107">
        <v>20000</v>
      </c>
      <c r="O17" s="107">
        <v>20000</v>
      </c>
      <c r="P17" s="26">
        <f t="shared" si="8"/>
        <v>75200</v>
      </c>
      <c r="Q17" s="107">
        <v>20000</v>
      </c>
      <c r="R17" s="107">
        <v>20000</v>
      </c>
      <c r="S17" s="107">
        <v>20000</v>
      </c>
      <c r="T17" s="24">
        <f t="shared" si="9"/>
        <v>60000</v>
      </c>
      <c r="U17" s="23">
        <f t="shared" si="4"/>
        <v>296790</v>
      </c>
      <c r="V17" s="26">
        <f t="shared" si="5"/>
        <v>-9870</v>
      </c>
    </row>
    <row r="18" spans="1:22" s="43" customFormat="1" ht="39">
      <c r="A18" s="48"/>
      <c r="B18" s="45" t="s">
        <v>51</v>
      </c>
      <c r="C18" s="46">
        <v>121680</v>
      </c>
      <c r="D18" s="46">
        <v>121680</v>
      </c>
      <c r="E18" s="23">
        <v>8690</v>
      </c>
      <c r="F18" s="23">
        <v>9680</v>
      </c>
      <c r="G18" s="23">
        <v>8470</v>
      </c>
      <c r="H18" s="26">
        <f t="shared" si="6"/>
        <v>26840</v>
      </c>
      <c r="I18" s="23">
        <v>8450</v>
      </c>
      <c r="J18" s="23">
        <v>7980</v>
      </c>
      <c r="K18" s="23">
        <v>7000</v>
      </c>
      <c r="L18" s="26">
        <f t="shared" si="7"/>
        <v>23430</v>
      </c>
      <c r="M18" s="23">
        <v>7730</v>
      </c>
      <c r="N18" s="107">
        <v>8000</v>
      </c>
      <c r="O18" s="107">
        <v>8000</v>
      </c>
      <c r="P18" s="26">
        <f t="shared" si="8"/>
        <v>23730</v>
      </c>
      <c r="Q18" s="107">
        <v>8000</v>
      </c>
      <c r="R18" s="107">
        <v>8000</v>
      </c>
      <c r="S18" s="107">
        <v>8000</v>
      </c>
      <c r="T18" s="24">
        <f t="shared" si="9"/>
        <v>24000</v>
      </c>
      <c r="U18" s="23">
        <f t="shared" si="4"/>
        <v>98000</v>
      </c>
      <c r="V18" s="23">
        <f t="shared" si="5"/>
        <v>23680</v>
      </c>
    </row>
    <row r="19" spans="1:22" s="43" customFormat="1" ht="19.5">
      <c r="A19" s="48"/>
      <c r="B19" s="45" t="s">
        <v>52</v>
      </c>
      <c r="C19" s="46">
        <v>360000</v>
      </c>
      <c r="D19" s="46">
        <v>360000</v>
      </c>
      <c r="E19" s="23">
        <v>30000</v>
      </c>
      <c r="F19" s="23">
        <v>30000</v>
      </c>
      <c r="G19" s="23">
        <v>30000</v>
      </c>
      <c r="H19" s="26">
        <f t="shared" si="6"/>
        <v>90000</v>
      </c>
      <c r="I19" s="23">
        <v>30000</v>
      </c>
      <c r="J19" s="23">
        <v>30000</v>
      </c>
      <c r="K19" s="23">
        <v>30000</v>
      </c>
      <c r="L19" s="26">
        <f t="shared" si="7"/>
        <v>90000</v>
      </c>
      <c r="M19" s="23">
        <v>30000</v>
      </c>
      <c r="N19" s="23">
        <v>30000</v>
      </c>
      <c r="O19" s="107">
        <v>30000</v>
      </c>
      <c r="P19" s="26">
        <f t="shared" si="8"/>
        <v>90000</v>
      </c>
      <c r="Q19" s="107">
        <v>30000</v>
      </c>
      <c r="R19" s="107">
        <v>30000</v>
      </c>
      <c r="S19" s="107">
        <v>30000</v>
      </c>
      <c r="T19" s="24">
        <f t="shared" si="9"/>
        <v>90000</v>
      </c>
      <c r="U19" s="23">
        <f t="shared" si="4"/>
        <v>360000</v>
      </c>
      <c r="V19" s="23">
        <f t="shared" si="5"/>
        <v>0</v>
      </c>
    </row>
    <row r="20" spans="1:22" s="43" customFormat="1" ht="19.5">
      <c r="A20" s="48"/>
      <c r="B20" s="45" t="s">
        <v>53</v>
      </c>
      <c r="C20" s="46">
        <v>205200</v>
      </c>
      <c r="D20" s="46">
        <v>205200</v>
      </c>
      <c r="E20" s="23">
        <v>17100</v>
      </c>
      <c r="F20" s="23">
        <v>17100</v>
      </c>
      <c r="G20" s="23">
        <v>17100</v>
      </c>
      <c r="H20" s="26">
        <f t="shared" si="6"/>
        <v>51300</v>
      </c>
      <c r="I20" s="23">
        <v>17100</v>
      </c>
      <c r="J20" s="23">
        <v>17100</v>
      </c>
      <c r="K20" s="23">
        <v>17100</v>
      </c>
      <c r="L20" s="26">
        <f t="shared" si="7"/>
        <v>51300</v>
      </c>
      <c r="M20" s="23">
        <v>17100</v>
      </c>
      <c r="N20" s="23">
        <v>17100</v>
      </c>
      <c r="O20" s="107">
        <v>17100</v>
      </c>
      <c r="P20" s="26">
        <f t="shared" si="8"/>
        <v>51300</v>
      </c>
      <c r="Q20" s="107">
        <v>17100</v>
      </c>
      <c r="R20" s="107">
        <v>17100</v>
      </c>
      <c r="S20" s="107">
        <v>17100</v>
      </c>
      <c r="T20" s="24">
        <f t="shared" si="9"/>
        <v>51300</v>
      </c>
      <c r="U20" s="23">
        <f t="shared" si="4"/>
        <v>205200</v>
      </c>
      <c r="V20" s="23">
        <f t="shared" si="5"/>
        <v>0</v>
      </c>
    </row>
    <row r="21" spans="1:22" s="43" customFormat="1" ht="19.5">
      <c r="A21" s="48"/>
      <c r="B21" s="45" t="s">
        <v>54</v>
      </c>
      <c r="C21" s="46">
        <v>120264</v>
      </c>
      <c r="D21" s="46">
        <v>120264</v>
      </c>
      <c r="E21" s="23">
        <v>10022</v>
      </c>
      <c r="F21" s="23">
        <v>10022</v>
      </c>
      <c r="G21" s="23">
        <v>10022</v>
      </c>
      <c r="H21" s="26">
        <f t="shared" si="6"/>
        <v>30066</v>
      </c>
      <c r="I21" s="23">
        <v>10022</v>
      </c>
      <c r="J21" s="23">
        <v>10022</v>
      </c>
      <c r="K21" s="23">
        <v>10022</v>
      </c>
      <c r="L21" s="26">
        <f t="shared" si="7"/>
        <v>30066</v>
      </c>
      <c r="M21" s="23">
        <v>10022</v>
      </c>
      <c r="N21" s="23">
        <v>10022</v>
      </c>
      <c r="O21" s="107">
        <v>10022</v>
      </c>
      <c r="P21" s="26">
        <f t="shared" si="8"/>
        <v>30066</v>
      </c>
      <c r="Q21" s="107">
        <v>10022</v>
      </c>
      <c r="R21" s="107">
        <v>10022</v>
      </c>
      <c r="S21" s="107">
        <v>10022</v>
      </c>
      <c r="T21" s="24">
        <f t="shared" si="9"/>
        <v>30066</v>
      </c>
      <c r="U21" s="23">
        <f t="shared" si="4"/>
        <v>120264</v>
      </c>
      <c r="V21" s="23">
        <f t="shared" si="5"/>
        <v>0</v>
      </c>
    </row>
    <row r="22" spans="1:22" s="43" customFormat="1" ht="19.5">
      <c r="A22" s="48"/>
      <c r="B22" s="45" t="s">
        <v>55</v>
      </c>
      <c r="C22" s="46">
        <v>149808</v>
      </c>
      <c r="D22" s="46">
        <v>149808</v>
      </c>
      <c r="E22" s="23">
        <v>12484</v>
      </c>
      <c r="F22" s="23"/>
      <c r="G22" s="23"/>
      <c r="H22" s="26">
        <f t="shared" si="6"/>
        <v>12484</v>
      </c>
      <c r="I22" s="23"/>
      <c r="J22" s="23"/>
      <c r="K22" s="23"/>
      <c r="L22" s="26">
        <f t="shared" si="7"/>
        <v>0</v>
      </c>
      <c r="M22" s="23"/>
      <c r="N22" s="23"/>
      <c r="O22" s="23"/>
      <c r="P22" s="26">
        <f t="shared" si="8"/>
        <v>0</v>
      </c>
      <c r="Q22" s="23"/>
      <c r="R22" s="23"/>
      <c r="S22" s="23"/>
      <c r="T22" s="24">
        <f t="shared" si="9"/>
        <v>0</v>
      </c>
      <c r="U22" s="23">
        <f t="shared" si="4"/>
        <v>12484</v>
      </c>
      <c r="V22" s="23">
        <f t="shared" si="5"/>
        <v>137324</v>
      </c>
    </row>
    <row r="23" spans="1:22" s="43" customFormat="1" ht="29.25">
      <c r="A23" s="48"/>
      <c r="B23" s="45" t="s">
        <v>56</v>
      </c>
      <c r="C23" s="46">
        <v>480000</v>
      </c>
      <c r="D23" s="46">
        <v>480000</v>
      </c>
      <c r="E23" s="23">
        <v>40000</v>
      </c>
      <c r="F23" s="23">
        <v>40000</v>
      </c>
      <c r="G23" s="23">
        <v>40000</v>
      </c>
      <c r="H23" s="26">
        <f t="shared" si="6"/>
        <v>120000</v>
      </c>
      <c r="I23" s="23">
        <v>40000</v>
      </c>
      <c r="J23" s="23">
        <v>40000</v>
      </c>
      <c r="K23" s="23">
        <v>40000</v>
      </c>
      <c r="L23" s="26">
        <f t="shared" si="7"/>
        <v>120000</v>
      </c>
      <c r="M23" s="23">
        <v>40000</v>
      </c>
      <c r="N23" s="23">
        <v>40000</v>
      </c>
      <c r="O23" s="107">
        <v>40000</v>
      </c>
      <c r="P23" s="26">
        <f t="shared" si="8"/>
        <v>120000</v>
      </c>
      <c r="Q23" s="107">
        <v>40000</v>
      </c>
      <c r="R23" s="107">
        <v>40000</v>
      </c>
      <c r="S23" s="107">
        <v>40000</v>
      </c>
      <c r="T23" s="24">
        <f t="shared" si="9"/>
        <v>120000</v>
      </c>
      <c r="U23" s="23">
        <f t="shared" si="4"/>
        <v>480000</v>
      </c>
      <c r="V23" s="23">
        <f t="shared" si="5"/>
        <v>0</v>
      </c>
    </row>
    <row r="24" spans="1:22" s="43" customFormat="1" ht="15" customHeight="1">
      <c r="A24" s="48"/>
      <c r="B24" s="45" t="s">
        <v>57</v>
      </c>
      <c r="C24" s="46">
        <v>360000</v>
      </c>
      <c r="D24" s="46">
        <v>360000</v>
      </c>
      <c r="E24" s="23">
        <v>30000</v>
      </c>
      <c r="F24" s="23">
        <v>30000</v>
      </c>
      <c r="G24" s="23">
        <v>30000</v>
      </c>
      <c r="H24" s="26">
        <f t="shared" si="6"/>
        <v>90000</v>
      </c>
      <c r="I24" s="23">
        <v>30000</v>
      </c>
      <c r="J24" s="23">
        <v>30000</v>
      </c>
      <c r="K24" s="23">
        <v>30000</v>
      </c>
      <c r="L24" s="26">
        <f t="shared" si="7"/>
        <v>90000</v>
      </c>
      <c r="M24" s="23">
        <v>30000</v>
      </c>
      <c r="N24" s="23">
        <v>30000</v>
      </c>
      <c r="O24" s="107">
        <v>30000</v>
      </c>
      <c r="P24" s="26">
        <f t="shared" si="8"/>
        <v>90000</v>
      </c>
      <c r="Q24" s="107">
        <v>30000</v>
      </c>
      <c r="R24" s="107">
        <v>30000</v>
      </c>
      <c r="S24" s="107">
        <v>30000</v>
      </c>
      <c r="T24" s="24">
        <f t="shared" si="9"/>
        <v>90000</v>
      </c>
      <c r="U24" s="23">
        <f t="shared" si="4"/>
        <v>360000</v>
      </c>
      <c r="V24" s="23">
        <f t="shared" si="5"/>
        <v>0</v>
      </c>
    </row>
    <row r="25" spans="1:22" s="43" customFormat="1" ht="19.5">
      <c r="A25" s="48"/>
      <c r="B25" s="45" t="s">
        <v>58</v>
      </c>
      <c r="C25" s="46">
        <v>729600</v>
      </c>
      <c r="D25" s="46">
        <v>729600</v>
      </c>
      <c r="E25" s="23">
        <f>12060+30240+11760+13360</f>
        <v>67420</v>
      </c>
      <c r="F25" s="23">
        <f>30240+12060+1920+24400+11200+1680</f>
        <v>81500</v>
      </c>
      <c r="G25" s="23">
        <f>12060+30240+11200+24400</f>
        <v>77900</v>
      </c>
      <c r="H25" s="26">
        <f t="shared" si="0"/>
        <v>226820</v>
      </c>
      <c r="I25" s="23">
        <f>9520+15360+30240+12060</f>
        <v>67180</v>
      </c>
      <c r="J25" s="23">
        <f>36400+33600+3360+8960+10460+9520+30240</f>
        <v>132540</v>
      </c>
      <c r="K25" s="23">
        <f>10460+8960+10640+30240</f>
        <v>60300</v>
      </c>
      <c r="L25" s="26">
        <f t="shared" si="1"/>
        <v>260020</v>
      </c>
      <c r="M25" s="23">
        <f>10080+8960+30240+10460</f>
        <v>59740</v>
      </c>
      <c r="N25" s="23">
        <f>30240+6400+10460+42240+7280</f>
        <v>96620</v>
      </c>
      <c r="O25" s="107">
        <v>70000</v>
      </c>
      <c r="P25" s="26">
        <f t="shared" si="2"/>
        <v>226360</v>
      </c>
      <c r="Q25" s="107">
        <v>70000</v>
      </c>
      <c r="R25" s="107">
        <v>70000</v>
      </c>
      <c r="S25" s="107">
        <v>70000</v>
      </c>
      <c r="T25" s="24">
        <f t="shared" si="3"/>
        <v>210000</v>
      </c>
      <c r="U25" s="23">
        <f t="shared" si="4"/>
        <v>923200</v>
      </c>
      <c r="V25" s="26">
        <f t="shared" si="5"/>
        <v>-193600</v>
      </c>
    </row>
    <row r="26" spans="1:22" s="89" customFormat="1" ht="18" customHeight="1">
      <c r="A26" s="151" t="s">
        <v>10</v>
      </c>
      <c r="B26" s="151"/>
      <c r="C26" s="53">
        <f>SUM(C27:C36)</f>
        <v>157500</v>
      </c>
      <c r="D26" s="53">
        <f>SUM(D27:D36)</f>
        <v>157500</v>
      </c>
      <c r="E26" s="38">
        <f>SUM(E27:E36)</f>
        <v>10500</v>
      </c>
      <c r="F26" s="38">
        <f>SUM(F27:F36)</f>
        <v>10500</v>
      </c>
      <c r="G26" s="38">
        <f>SUM(G27:G36)</f>
        <v>10500</v>
      </c>
      <c r="H26" s="29">
        <f t="shared" si="0"/>
        <v>31500</v>
      </c>
      <c r="I26" s="38">
        <f>SUM(I27:I36)</f>
        <v>10500</v>
      </c>
      <c r="J26" s="38">
        <f>SUM(J27:J36)</f>
        <v>10500</v>
      </c>
      <c r="K26" s="38">
        <f>SUM(K27:K36)</f>
        <v>10500</v>
      </c>
      <c r="L26" s="29">
        <f t="shared" si="1"/>
        <v>31500</v>
      </c>
      <c r="M26" s="38">
        <f>SUM(M27:M36)</f>
        <v>10500</v>
      </c>
      <c r="N26" s="38">
        <f>SUM(N27:N36)</f>
        <v>10500</v>
      </c>
      <c r="O26" s="38">
        <f>SUM(O27:O36)</f>
        <v>10500</v>
      </c>
      <c r="P26" s="29">
        <f t="shared" si="2"/>
        <v>31500</v>
      </c>
      <c r="Q26" s="50">
        <f>SUM(Q27:Q36)</f>
        <v>10500</v>
      </c>
      <c r="R26" s="50">
        <f>SUM(R27:R36)</f>
        <v>33000</v>
      </c>
      <c r="S26" s="50">
        <f>SUM(S27:S36)</f>
        <v>10500</v>
      </c>
      <c r="T26" s="29">
        <f t="shared" si="3"/>
        <v>54000</v>
      </c>
      <c r="U26" s="29">
        <f t="shared" si="4"/>
        <v>148500</v>
      </c>
      <c r="V26" s="29">
        <f>SUM(V27:V36)</f>
        <v>9000</v>
      </c>
    </row>
    <row r="27" spans="1:22" s="42" customFormat="1" ht="15.75" customHeight="1">
      <c r="A27" s="49"/>
      <c r="B27" s="51" t="s">
        <v>40</v>
      </c>
      <c r="C27" s="40">
        <v>9000</v>
      </c>
      <c r="D27" s="40">
        <v>9000</v>
      </c>
      <c r="E27" s="39">
        <v>750</v>
      </c>
      <c r="F27" s="39">
        <v>750</v>
      </c>
      <c r="G27" s="39">
        <v>750</v>
      </c>
      <c r="H27" s="17">
        <f t="shared" si="0"/>
        <v>2250</v>
      </c>
      <c r="I27" s="39">
        <v>750</v>
      </c>
      <c r="J27" s="39">
        <v>750</v>
      </c>
      <c r="K27" s="39">
        <v>750</v>
      </c>
      <c r="L27" s="17">
        <f t="shared" si="1"/>
        <v>2250</v>
      </c>
      <c r="M27" s="39">
        <v>750</v>
      </c>
      <c r="N27" s="39">
        <v>750</v>
      </c>
      <c r="O27" s="108">
        <v>750</v>
      </c>
      <c r="P27" s="17">
        <f t="shared" si="2"/>
        <v>2250</v>
      </c>
      <c r="Q27" s="108">
        <v>750</v>
      </c>
      <c r="R27" s="108">
        <v>750</v>
      </c>
      <c r="S27" s="108">
        <v>750</v>
      </c>
      <c r="T27" s="15">
        <f t="shared" si="3"/>
        <v>2250</v>
      </c>
      <c r="U27" s="14">
        <f t="shared" si="4"/>
        <v>9000</v>
      </c>
      <c r="V27" s="23">
        <f t="shared" si="5"/>
        <v>0</v>
      </c>
    </row>
    <row r="28" spans="1:22" s="42" customFormat="1" ht="19.5">
      <c r="A28" s="49"/>
      <c r="B28" s="45" t="s">
        <v>41</v>
      </c>
      <c r="C28" s="40">
        <v>27000</v>
      </c>
      <c r="D28" s="40">
        <v>27000</v>
      </c>
      <c r="E28" s="39">
        <v>2250</v>
      </c>
      <c r="F28" s="39">
        <v>2250</v>
      </c>
      <c r="G28" s="39">
        <v>2250</v>
      </c>
      <c r="H28" s="17">
        <f t="shared" si="0"/>
        <v>6750</v>
      </c>
      <c r="I28" s="39">
        <v>2250</v>
      </c>
      <c r="J28" s="39">
        <v>2250</v>
      </c>
      <c r="K28" s="39">
        <v>2250</v>
      </c>
      <c r="L28" s="17">
        <f t="shared" si="1"/>
        <v>6750</v>
      </c>
      <c r="M28" s="39">
        <v>2250</v>
      </c>
      <c r="N28" s="39">
        <v>2250</v>
      </c>
      <c r="O28" s="108">
        <v>2250</v>
      </c>
      <c r="P28" s="17">
        <f t="shared" si="2"/>
        <v>6750</v>
      </c>
      <c r="Q28" s="108">
        <v>2250</v>
      </c>
      <c r="R28" s="108">
        <v>2250</v>
      </c>
      <c r="S28" s="108">
        <v>2250</v>
      </c>
      <c r="T28" s="15">
        <f t="shared" si="3"/>
        <v>6750</v>
      </c>
      <c r="U28" s="14">
        <f t="shared" si="4"/>
        <v>27000</v>
      </c>
      <c r="V28" s="23">
        <f t="shared" si="5"/>
        <v>0</v>
      </c>
    </row>
    <row r="29" spans="1:22" s="42" customFormat="1" ht="29.25">
      <c r="A29" s="49"/>
      <c r="B29" s="45" t="s">
        <v>42</v>
      </c>
      <c r="C29" s="46">
        <v>45000</v>
      </c>
      <c r="D29" s="46">
        <v>45000</v>
      </c>
      <c r="E29" s="39">
        <v>3750</v>
      </c>
      <c r="F29" s="39">
        <v>3750</v>
      </c>
      <c r="G29" s="39">
        <v>3750</v>
      </c>
      <c r="H29" s="17">
        <f t="shared" ref="H29:H35" si="10">SUM(E29:G29)</f>
        <v>11250</v>
      </c>
      <c r="I29" s="39">
        <v>3750</v>
      </c>
      <c r="J29" s="39">
        <v>3750</v>
      </c>
      <c r="K29" s="39">
        <v>3750</v>
      </c>
      <c r="L29" s="17">
        <f t="shared" ref="L29:L35" si="11">SUM(I29:K29)</f>
        <v>11250</v>
      </c>
      <c r="M29" s="39">
        <v>3750</v>
      </c>
      <c r="N29" s="39">
        <v>3750</v>
      </c>
      <c r="O29" s="108">
        <v>3750</v>
      </c>
      <c r="P29" s="17">
        <f t="shared" ref="P29:P35" si="12">SUM(M29:O29)</f>
        <v>11250</v>
      </c>
      <c r="Q29" s="108">
        <v>3750</v>
      </c>
      <c r="R29" s="108">
        <v>3750</v>
      </c>
      <c r="S29" s="108">
        <v>3750</v>
      </c>
      <c r="T29" s="15">
        <f t="shared" ref="T29:T35" si="13">SUM(Q29:S29)</f>
        <v>11250</v>
      </c>
      <c r="U29" s="14">
        <f t="shared" si="4"/>
        <v>45000</v>
      </c>
      <c r="V29" s="23">
        <f t="shared" si="5"/>
        <v>0</v>
      </c>
    </row>
    <row r="30" spans="1:22" s="42" customFormat="1" ht="17.25" customHeight="1">
      <c r="A30" s="49"/>
      <c r="B30" s="45" t="s">
        <v>43</v>
      </c>
      <c r="C30" s="46">
        <v>18000</v>
      </c>
      <c r="D30" s="46">
        <v>18000</v>
      </c>
      <c r="E30" s="39">
        <v>1500</v>
      </c>
      <c r="F30" s="39">
        <v>1500</v>
      </c>
      <c r="G30" s="39">
        <v>1500</v>
      </c>
      <c r="H30" s="17">
        <f t="shared" si="10"/>
        <v>4500</v>
      </c>
      <c r="I30" s="39">
        <v>1500</v>
      </c>
      <c r="J30" s="39">
        <v>1500</v>
      </c>
      <c r="K30" s="39">
        <v>1500</v>
      </c>
      <c r="L30" s="17">
        <f t="shared" si="11"/>
        <v>4500</v>
      </c>
      <c r="M30" s="39">
        <v>1500</v>
      </c>
      <c r="N30" s="39">
        <v>1500</v>
      </c>
      <c r="O30" s="108">
        <v>1500</v>
      </c>
      <c r="P30" s="17">
        <f t="shared" si="12"/>
        <v>4500</v>
      </c>
      <c r="Q30" s="108">
        <v>1500</v>
      </c>
      <c r="R30" s="108">
        <v>1500</v>
      </c>
      <c r="S30" s="108">
        <v>1500</v>
      </c>
      <c r="T30" s="15">
        <f t="shared" si="13"/>
        <v>4500</v>
      </c>
      <c r="U30" s="14">
        <f t="shared" si="4"/>
        <v>18000</v>
      </c>
      <c r="V30" s="23">
        <f t="shared" si="5"/>
        <v>0</v>
      </c>
    </row>
    <row r="31" spans="1:22" s="42" customFormat="1" ht="17.25" customHeight="1">
      <c r="A31" s="49"/>
      <c r="B31" s="45" t="s">
        <v>44</v>
      </c>
      <c r="C31" s="46">
        <v>9000</v>
      </c>
      <c r="D31" s="46">
        <v>9000</v>
      </c>
      <c r="E31" s="39">
        <v>750</v>
      </c>
      <c r="F31" s="39">
        <v>750</v>
      </c>
      <c r="G31" s="39">
        <v>750</v>
      </c>
      <c r="H31" s="17">
        <f t="shared" si="10"/>
        <v>2250</v>
      </c>
      <c r="I31" s="39">
        <v>750</v>
      </c>
      <c r="J31" s="39">
        <v>750</v>
      </c>
      <c r="K31" s="39">
        <v>750</v>
      </c>
      <c r="L31" s="17">
        <f t="shared" si="11"/>
        <v>2250</v>
      </c>
      <c r="M31" s="39">
        <v>750</v>
      </c>
      <c r="N31" s="39">
        <v>750</v>
      </c>
      <c r="O31" s="108">
        <v>750</v>
      </c>
      <c r="P31" s="17">
        <f t="shared" si="12"/>
        <v>2250</v>
      </c>
      <c r="Q31" s="108">
        <v>750</v>
      </c>
      <c r="R31" s="108">
        <v>750</v>
      </c>
      <c r="S31" s="108">
        <v>750</v>
      </c>
      <c r="T31" s="15">
        <f t="shared" si="13"/>
        <v>2250</v>
      </c>
      <c r="U31" s="14">
        <f t="shared" si="4"/>
        <v>9000</v>
      </c>
      <c r="V31" s="23">
        <f t="shared" si="5"/>
        <v>0</v>
      </c>
    </row>
    <row r="32" spans="1:22" s="42" customFormat="1" ht="17.25" customHeight="1">
      <c r="A32" s="49"/>
      <c r="B32" s="45" t="s">
        <v>45</v>
      </c>
      <c r="C32" s="46">
        <v>9000</v>
      </c>
      <c r="D32" s="46">
        <v>9000</v>
      </c>
      <c r="E32" s="39">
        <v>750</v>
      </c>
      <c r="F32" s="39">
        <v>750</v>
      </c>
      <c r="G32" s="39">
        <v>750</v>
      </c>
      <c r="H32" s="17">
        <f t="shared" si="10"/>
        <v>2250</v>
      </c>
      <c r="I32" s="39">
        <v>750</v>
      </c>
      <c r="J32" s="39">
        <v>750</v>
      </c>
      <c r="K32" s="39">
        <v>750</v>
      </c>
      <c r="L32" s="17">
        <f t="shared" si="11"/>
        <v>2250</v>
      </c>
      <c r="M32" s="39">
        <v>750</v>
      </c>
      <c r="N32" s="39">
        <v>750</v>
      </c>
      <c r="O32" s="108">
        <v>750</v>
      </c>
      <c r="P32" s="17">
        <f t="shared" si="12"/>
        <v>2250</v>
      </c>
      <c r="Q32" s="108">
        <v>750</v>
      </c>
      <c r="R32" s="108">
        <v>750</v>
      </c>
      <c r="S32" s="108">
        <v>750</v>
      </c>
      <c r="T32" s="15">
        <f t="shared" si="13"/>
        <v>2250</v>
      </c>
      <c r="U32" s="14">
        <f t="shared" si="4"/>
        <v>9000</v>
      </c>
      <c r="V32" s="23">
        <f t="shared" si="5"/>
        <v>0</v>
      </c>
    </row>
    <row r="33" spans="1:22" s="42" customFormat="1" ht="17.25" customHeight="1">
      <c r="A33" s="49"/>
      <c r="B33" s="45" t="s">
        <v>46</v>
      </c>
      <c r="C33" s="46">
        <v>9000</v>
      </c>
      <c r="D33" s="46">
        <v>9000</v>
      </c>
      <c r="E33" s="39">
        <v>750</v>
      </c>
      <c r="F33" s="39">
        <v>750</v>
      </c>
      <c r="G33" s="39">
        <v>750</v>
      </c>
      <c r="H33" s="17">
        <f t="shared" si="10"/>
        <v>2250</v>
      </c>
      <c r="I33" s="39">
        <v>750</v>
      </c>
      <c r="J33" s="39">
        <v>750</v>
      </c>
      <c r="K33" s="39">
        <v>750</v>
      </c>
      <c r="L33" s="17">
        <f t="shared" si="11"/>
        <v>2250</v>
      </c>
      <c r="M33" s="39">
        <v>750</v>
      </c>
      <c r="N33" s="39">
        <v>750</v>
      </c>
      <c r="O33" s="108">
        <v>750</v>
      </c>
      <c r="P33" s="17">
        <f t="shared" si="12"/>
        <v>2250</v>
      </c>
      <c r="Q33" s="108">
        <v>750</v>
      </c>
      <c r="R33" s="108">
        <v>750</v>
      </c>
      <c r="S33" s="108">
        <v>750</v>
      </c>
      <c r="T33" s="15">
        <f t="shared" si="13"/>
        <v>2250</v>
      </c>
      <c r="U33" s="14">
        <f t="shared" si="4"/>
        <v>9000</v>
      </c>
      <c r="V33" s="23">
        <f t="shared" si="5"/>
        <v>0</v>
      </c>
    </row>
    <row r="34" spans="1:22" s="42" customFormat="1" ht="17.25" customHeight="1">
      <c r="A34" s="49"/>
      <c r="B34" s="45" t="s">
        <v>59</v>
      </c>
      <c r="C34" s="46">
        <v>21000</v>
      </c>
      <c r="D34" s="46">
        <v>21000</v>
      </c>
      <c r="E34" s="39"/>
      <c r="F34" s="39"/>
      <c r="G34" s="39"/>
      <c r="H34" s="17">
        <f t="shared" si="10"/>
        <v>0</v>
      </c>
      <c r="I34" s="39"/>
      <c r="J34" s="39"/>
      <c r="K34" s="39"/>
      <c r="L34" s="17">
        <f t="shared" si="11"/>
        <v>0</v>
      </c>
      <c r="M34" s="39"/>
      <c r="N34" s="39"/>
      <c r="O34" s="39"/>
      <c r="P34" s="17">
        <f t="shared" si="12"/>
        <v>0</v>
      </c>
      <c r="Q34" s="39"/>
      <c r="R34" s="108">
        <v>21000</v>
      </c>
      <c r="S34" s="39"/>
      <c r="T34" s="15">
        <f t="shared" si="13"/>
        <v>21000</v>
      </c>
      <c r="U34" s="14">
        <f t="shared" si="4"/>
        <v>21000</v>
      </c>
      <c r="V34" s="23">
        <f t="shared" si="5"/>
        <v>0</v>
      </c>
    </row>
    <row r="35" spans="1:22" s="42" customFormat="1" ht="17.25" customHeight="1">
      <c r="A35" s="49"/>
      <c r="B35" s="45" t="s">
        <v>60</v>
      </c>
      <c r="C35" s="46">
        <v>9000</v>
      </c>
      <c r="D35" s="46">
        <v>9000</v>
      </c>
      <c r="E35" s="39"/>
      <c r="F35" s="39"/>
      <c r="G35" s="39"/>
      <c r="H35" s="17">
        <f t="shared" si="10"/>
        <v>0</v>
      </c>
      <c r="I35" s="39"/>
      <c r="J35" s="39"/>
      <c r="K35" s="39"/>
      <c r="L35" s="17">
        <f t="shared" si="11"/>
        <v>0</v>
      </c>
      <c r="M35" s="39"/>
      <c r="N35" s="39"/>
      <c r="O35" s="39"/>
      <c r="P35" s="17">
        <f t="shared" si="12"/>
        <v>0</v>
      </c>
      <c r="Q35" s="39"/>
      <c r="R35" s="39"/>
      <c r="S35" s="39"/>
      <c r="T35" s="15">
        <f t="shared" si="13"/>
        <v>0</v>
      </c>
      <c r="U35" s="14">
        <f t="shared" si="4"/>
        <v>0</v>
      </c>
      <c r="V35" s="23">
        <f t="shared" si="5"/>
        <v>9000</v>
      </c>
    </row>
    <row r="36" spans="1:22" s="42" customFormat="1" ht="17.25" customHeight="1">
      <c r="A36" s="49"/>
      <c r="B36" s="45" t="s">
        <v>61</v>
      </c>
      <c r="C36" s="46">
        <v>1500</v>
      </c>
      <c r="D36" s="46">
        <v>1500</v>
      </c>
      <c r="E36" s="39"/>
      <c r="F36" s="39"/>
      <c r="G36" s="39"/>
      <c r="H36" s="17">
        <f t="shared" si="0"/>
        <v>0</v>
      </c>
      <c r="I36" s="39"/>
      <c r="J36" s="39"/>
      <c r="K36" s="39"/>
      <c r="L36" s="17">
        <f t="shared" si="1"/>
        <v>0</v>
      </c>
      <c r="M36" s="39"/>
      <c r="N36" s="39"/>
      <c r="O36" s="39"/>
      <c r="P36" s="17">
        <f t="shared" si="2"/>
        <v>0</v>
      </c>
      <c r="Q36" s="39"/>
      <c r="R36" s="108">
        <v>1500</v>
      </c>
      <c r="S36" s="39"/>
      <c r="T36" s="15">
        <f t="shared" si="3"/>
        <v>1500</v>
      </c>
      <c r="U36" s="14">
        <f t="shared" si="4"/>
        <v>1500</v>
      </c>
      <c r="V36" s="23">
        <f t="shared" si="5"/>
        <v>0</v>
      </c>
    </row>
    <row r="37" spans="1:22" s="47" customFormat="1" ht="18.75" customHeight="1">
      <c r="A37" s="151" t="s">
        <v>9</v>
      </c>
      <c r="B37" s="151"/>
      <c r="C37" s="32">
        <f>SUM(C38:C40)</f>
        <v>1443500</v>
      </c>
      <c r="D37" s="32">
        <f>SUM(D38:D40)</f>
        <v>1443500</v>
      </c>
      <c r="E37" s="31">
        <f>SUM(E38:E40)</f>
        <v>0</v>
      </c>
      <c r="F37" s="31">
        <f>SUM(F38:F40)</f>
        <v>800</v>
      </c>
      <c r="G37" s="31">
        <f>SUM(G38:G40)</f>
        <v>128710</v>
      </c>
      <c r="H37" s="29">
        <f t="shared" si="0"/>
        <v>129510</v>
      </c>
      <c r="I37" s="31">
        <f t="shared" ref="I37:K37" si="14">SUM(I38:I40)</f>
        <v>400</v>
      </c>
      <c r="J37" s="31">
        <f t="shared" si="14"/>
        <v>0</v>
      </c>
      <c r="K37" s="31">
        <f t="shared" si="14"/>
        <v>143460</v>
      </c>
      <c r="L37" s="29">
        <f t="shared" si="1"/>
        <v>143860</v>
      </c>
      <c r="M37" s="31">
        <f t="shared" ref="M37:O37" si="15">SUM(M38:M40)</f>
        <v>1740</v>
      </c>
      <c r="N37" s="31">
        <f t="shared" si="15"/>
        <v>800</v>
      </c>
      <c r="O37" s="31">
        <f t="shared" si="15"/>
        <v>1600</v>
      </c>
      <c r="P37" s="29">
        <f t="shared" si="2"/>
        <v>4140</v>
      </c>
      <c r="Q37" s="31">
        <f t="shared" ref="Q37:S37" si="16">SUM(Q38:Q40)</f>
        <v>121600</v>
      </c>
      <c r="R37" s="31">
        <f t="shared" si="16"/>
        <v>151600</v>
      </c>
      <c r="S37" s="31">
        <f t="shared" si="16"/>
        <v>451600</v>
      </c>
      <c r="T37" s="29">
        <f t="shared" si="3"/>
        <v>724800</v>
      </c>
      <c r="U37" s="29">
        <f t="shared" si="4"/>
        <v>1002310</v>
      </c>
      <c r="V37" s="29">
        <f>SUM(V38:V40)</f>
        <v>441190</v>
      </c>
    </row>
    <row r="38" spans="1:22" s="88" customFormat="1" ht="18.75" customHeight="1">
      <c r="A38" s="49"/>
      <c r="B38" s="45" t="s">
        <v>38</v>
      </c>
      <c r="C38" s="40">
        <v>467500</v>
      </c>
      <c r="D38" s="40">
        <v>467500</v>
      </c>
      <c r="E38" s="14"/>
      <c r="F38" s="14"/>
      <c r="G38" s="14"/>
      <c r="H38" s="17">
        <f t="shared" ref="H38:H39" si="17">SUM(E38:G38)</f>
        <v>0</v>
      </c>
      <c r="I38" s="14"/>
      <c r="J38" s="14"/>
      <c r="K38" s="14">
        <f>90000+53460</f>
        <v>143460</v>
      </c>
      <c r="L38" s="17">
        <f t="shared" ref="L38:L39" si="18">SUM(I38:K38)</f>
        <v>143460</v>
      </c>
      <c r="M38" s="14">
        <v>540</v>
      </c>
      <c r="N38" s="14"/>
      <c r="O38" s="14"/>
      <c r="P38" s="17">
        <f t="shared" ref="P38:P39" si="19">SUM(M38:O38)</f>
        <v>540</v>
      </c>
      <c r="Q38" s="114"/>
      <c r="R38" s="114">
        <v>150000</v>
      </c>
      <c r="S38" s="14"/>
      <c r="T38" s="17">
        <f t="shared" ref="T38:T39" si="20">SUM(Q38:S38)</f>
        <v>150000</v>
      </c>
      <c r="U38" s="14">
        <f t="shared" si="4"/>
        <v>294000</v>
      </c>
      <c r="V38" s="23">
        <f t="shared" si="5"/>
        <v>173500</v>
      </c>
    </row>
    <row r="39" spans="1:22" s="88" customFormat="1" ht="18.75" customHeight="1">
      <c r="A39" s="49"/>
      <c r="B39" s="45" t="s">
        <v>62</v>
      </c>
      <c r="C39" s="40">
        <v>960000</v>
      </c>
      <c r="D39" s="40">
        <v>960000</v>
      </c>
      <c r="E39" s="14"/>
      <c r="F39" s="14"/>
      <c r="G39" s="14">
        <f>61802+65708</f>
        <v>127510</v>
      </c>
      <c r="H39" s="17">
        <f t="shared" si="17"/>
        <v>127510</v>
      </c>
      <c r="I39" s="14"/>
      <c r="J39" s="14"/>
      <c r="K39" s="14"/>
      <c r="L39" s="17">
        <f t="shared" si="18"/>
        <v>0</v>
      </c>
      <c r="M39" s="14"/>
      <c r="N39" s="14"/>
      <c r="O39" s="14"/>
      <c r="P39" s="17">
        <f t="shared" si="19"/>
        <v>0</v>
      </c>
      <c r="Q39" s="109">
        <v>120000</v>
      </c>
      <c r="R39" s="14"/>
      <c r="S39" s="109">
        <v>450000</v>
      </c>
      <c r="T39" s="17">
        <f t="shared" si="20"/>
        <v>570000</v>
      </c>
      <c r="U39" s="14">
        <f t="shared" si="4"/>
        <v>697510</v>
      </c>
      <c r="V39" s="23">
        <f t="shared" si="5"/>
        <v>262490</v>
      </c>
    </row>
    <row r="40" spans="1:22" s="88" customFormat="1" ht="18.75" customHeight="1">
      <c r="A40" s="49"/>
      <c r="B40" s="45" t="s">
        <v>63</v>
      </c>
      <c r="C40" s="40">
        <v>16000</v>
      </c>
      <c r="D40" s="40">
        <v>16000</v>
      </c>
      <c r="E40" s="14"/>
      <c r="F40" s="14">
        <f>400+400</f>
        <v>800</v>
      </c>
      <c r="G40" s="14">
        <f>400+400+400</f>
        <v>1200</v>
      </c>
      <c r="H40" s="17">
        <f t="shared" si="0"/>
        <v>2000</v>
      </c>
      <c r="I40" s="14">
        <f>400</f>
        <v>400</v>
      </c>
      <c r="J40" s="14"/>
      <c r="K40" s="14"/>
      <c r="L40" s="17">
        <f t="shared" si="1"/>
        <v>400</v>
      </c>
      <c r="M40" s="14">
        <f>400+400+400</f>
        <v>1200</v>
      </c>
      <c r="N40" s="14">
        <f>800</f>
        <v>800</v>
      </c>
      <c r="O40" s="109">
        <v>1600</v>
      </c>
      <c r="P40" s="17">
        <f t="shared" si="2"/>
        <v>3600</v>
      </c>
      <c r="Q40" s="109">
        <v>1600</v>
      </c>
      <c r="R40" s="109">
        <v>1600</v>
      </c>
      <c r="S40" s="109">
        <v>1600</v>
      </c>
      <c r="T40" s="17">
        <f t="shared" si="3"/>
        <v>4800</v>
      </c>
      <c r="U40" s="14">
        <f t="shared" si="4"/>
        <v>10800</v>
      </c>
      <c r="V40" s="23">
        <f t="shared" si="5"/>
        <v>5200</v>
      </c>
    </row>
    <row r="41" spans="1:22" s="47" customFormat="1" ht="15" customHeight="1">
      <c r="A41" s="151" t="s">
        <v>8</v>
      </c>
      <c r="B41" s="151"/>
      <c r="C41" s="32">
        <f>SUM(C42:C50)</f>
        <v>1278633.1099999999</v>
      </c>
      <c r="D41" s="32">
        <f>SUM(D42:D50)</f>
        <v>1278633.1099999999</v>
      </c>
      <c r="E41" s="31">
        <f>SUM(E42:E50)</f>
        <v>0</v>
      </c>
      <c r="F41" s="31">
        <f t="shared" ref="F41:G41" si="21">SUM(F42:F50)</f>
        <v>0</v>
      </c>
      <c r="G41" s="31">
        <f t="shared" si="21"/>
        <v>0</v>
      </c>
      <c r="H41" s="29">
        <f t="shared" si="0"/>
        <v>0</v>
      </c>
      <c r="I41" s="31">
        <f t="shared" ref="I41:K41" si="22">SUM(I42:I50)</f>
        <v>0</v>
      </c>
      <c r="J41" s="31">
        <f t="shared" si="22"/>
        <v>0</v>
      </c>
      <c r="K41" s="31">
        <f t="shared" si="22"/>
        <v>0</v>
      </c>
      <c r="L41" s="29">
        <f t="shared" si="1"/>
        <v>0</v>
      </c>
      <c r="M41" s="31">
        <f t="shared" ref="M41:O41" si="23">SUM(M42:M50)</f>
        <v>0</v>
      </c>
      <c r="N41" s="31">
        <f t="shared" si="23"/>
        <v>0</v>
      </c>
      <c r="O41" s="31">
        <f t="shared" si="23"/>
        <v>462133</v>
      </c>
      <c r="P41" s="29">
        <f t="shared" si="2"/>
        <v>462133</v>
      </c>
      <c r="Q41" s="31">
        <f t="shared" ref="Q41:S41" si="24">SUM(Q42:Q50)</f>
        <v>774633.11</v>
      </c>
      <c r="R41" s="31">
        <f t="shared" si="24"/>
        <v>0</v>
      </c>
      <c r="S41" s="31">
        <f t="shared" si="24"/>
        <v>0</v>
      </c>
      <c r="T41" s="29">
        <f t="shared" si="3"/>
        <v>774633.11</v>
      </c>
      <c r="U41" s="29">
        <f t="shared" si="4"/>
        <v>1236766.1099999999</v>
      </c>
      <c r="V41" s="29">
        <f>SUM(V42:V50)</f>
        <v>41867</v>
      </c>
    </row>
    <row r="42" spans="1:22" s="43" customFormat="1" ht="12.75" customHeight="1">
      <c r="A42" s="48"/>
      <c r="B42" s="45" t="s">
        <v>64</v>
      </c>
      <c r="C42" s="46">
        <v>400000</v>
      </c>
      <c r="D42" s="46">
        <v>400000</v>
      </c>
      <c r="E42" s="23"/>
      <c r="F42" s="23"/>
      <c r="G42" s="23"/>
      <c r="H42" s="26">
        <f t="shared" si="0"/>
        <v>0</v>
      </c>
      <c r="I42" s="23"/>
      <c r="J42" s="23"/>
      <c r="K42" s="23"/>
      <c r="L42" s="26">
        <f t="shared" si="1"/>
        <v>0</v>
      </c>
      <c r="M42" s="23"/>
      <c r="N42" s="23"/>
      <c r="O42" s="107">
        <v>363800</v>
      </c>
      <c r="P42" s="26">
        <f t="shared" si="2"/>
        <v>363800</v>
      </c>
      <c r="Q42" s="23"/>
      <c r="R42" s="23"/>
      <c r="S42" s="23"/>
      <c r="T42" s="24">
        <f t="shared" si="3"/>
        <v>0</v>
      </c>
      <c r="U42" s="23">
        <f t="shared" si="4"/>
        <v>363800</v>
      </c>
      <c r="V42" s="23">
        <f t="shared" si="5"/>
        <v>36200</v>
      </c>
    </row>
    <row r="43" spans="1:22" s="43" customFormat="1" ht="12.75" customHeight="1">
      <c r="A43" s="48"/>
      <c r="B43" s="45" t="s">
        <v>65</v>
      </c>
      <c r="C43" s="46">
        <v>80000</v>
      </c>
      <c r="D43" s="46">
        <v>80000</v>
      </c>
      <c r="E43" s="23"/>
      <c r="F43" s="23"/>
      <c r="G43" s="23"/>
      <c r="H43" s="26">
        <f t="shared" si="0"/>
        <v>0</v>
      </c>
      <c r="I43" s="23"/>
      <c r="J43" s="23"/>
      <c r="K43" s="23"/>
      <c r="L43" s="26">
        <f t="shared" si="1"/>
        <v>0</v>
      </c>
      <c r="M43" s="23"/>
      <c r="N43" s="23"/>
      <c r="O43" s="107">
        <v>78645</v>
      </c>
      <c r="P43" s="26">
        <f t="shared" si="2"/>
        <v>78645</v>
      </c>
      <c r="Q43" s="23"/>
      <c r="R43" s="23"/>
      <c r="S43" s="23"/>
      <c r="T43" s="24">
        <f t="shared" si="3"/>
        <v>0</v>
      </c>
      <c r="U43" s="23">
        <f t="shared" si="4"/>
        <v>78645</v>
      </c>
      <c r="V43" s="23">
        <f t="shared" si="5"/>
        <v>1355</v>
      </c>
    </row>
    <row r="44" spans="1:22" s="43" customFormat="1" ht="12.75" customHeight="1">
      <c r="A44" s="48"/>
      <c r="B44" s="45" t="s">
        <v>66</v>
      </c>
      <c r="C44" s="46">
        <v>24000</v>
      </c>
      <c r="D44" s="46">
        <v>24000</v>
      </c>
      <c r="E44" s="23"/>
      <c r="F44" s="23"/>
      <c r="G44" s="23"/>
      <c r="H44" s="26">
        <f t="shared" si="0"/>
        <v>0</v>
      </c>
      <c r="I44" s="23"/>
      <c r="J44" s="23"/>
      <c r="K44" s="23"/>
      <c r="L44" s="26">
        <f t="shared" si="1"/>
        <v>0</v>
      </c>
      <c r="M44" s="23"/>
      <c r="N44" s="23"/>
      <c r="O44" s="107">
        <v>19688</v>
      </c>
      <c r="P44" s="26">
        <f t="shared" si="2"/>
        <v>19688</v>
      </c>
      <c r="Q44" s="23"/>
      <c r="R44" s="23"/>
      <c r="S44" s="23"/>
      <c r="T44" s="24">
        <f t="shared" si="3"/>
        <v>0</v>
      </c>
      <c r="U44" s="23">
        <f t="shared" si="4"/>
        <v>19688</v>
      </c>
      <c r="V44" s="23">
        <f t="shared" si="5"/>
        <v>4312</v>
      </c>
    </row>
    <row r="45" spans="1:22" s="43" customFormat="1" ht="12.75" customHeight="1">
      <c r="A45" s="48"/>
      <c r="B45" s="45" t="s">
        <v>67</v>
      </c>
      <c r="C45" s="46">
        <v>100000</v>
      </c>
      <c r="D45" s="46">
        <v>100000</v>
      </c>
      <c r="E45" s="23"/>
      <c r="F45" s="23"/>
      <c r="G45" s="23"/>
      <c r="H45" s="26">
        <f t="shared" si="0"/>
        <v>0</v>
      </c>
      <c r="I45" s="23"/>
      <c r="J45" s="23"/>
      <c r="K45" s="23"/>
      <c r="L45" s="26">
        <f t="shared" si="1"/>
        <v>0</v>
      </c>
      <c r="M45" s="23"/>
      <c r="N45" s="23"/>
      <c r="O45" s="23"/>
      <c r="P45" s="26">
        <f t="shared" si="2"/>
        <v>0</v>
      </c>
      <c r="Q45" s="107">
        <v>100000</v>
      </c>
      <c r="R45" s="23"/>
      <c r="S45" s="23"/>
      <c r="T45" s="24">
        <f t="shared" si="3"/>
        <v>100000</v>
      </c>
      <c r="U45" s="23">
        <f t="shared" si="4"/>
        <v>100000</v>
      </c>
      <c r="V45" s="23">
        <f t="shared" si="5"/>
        <v>0</v>
      </c>
    </row>
    <row r="46" spans="1:22" s="43" customFormat="1" ht="12.75" customHeight="1">
      <c r="A46" s="48"/>
      <c r="B46" s="45" t="s">
        <v>68</v>
      </c>
      <c r="C46" s="46">
        <v>30000</v>
      </c>
      <c r="D46" s="46">
        <v>30000</v>
      </c>
      <c r="E46" s="23"/>
      <c r="F46" s="23"/>
      <c r="G46" s="23"/>
      <c r="H46" s="26">
        <f t="shared" si="0"/>
        <v>0</v>
      </c>
      <c r="I46" s="23"/>
      <c r="J46" s="23"/>
      <c r="K46" s="23"/>
      <c r="L46" s="26">
        <f t="shared" si="1"/>
        <v>0</v>
      </c>
      <c r="M46" s="23"/>
      <c r="N46" s="23"/>
      <c r="O46" s="23"/>
      <c r="P46" s="26">
        <f t="shared" si="2"/>
        <v>0</v>
      </c>
      <c r="Q46" s="107">
        <v>30000</v>
      </c>
      <c r="R46" s="23"/>
      <c r="S46" s="23"/>
      <c r="T46" s="24">
        <f t="shared" si="3"/>
        <v>30000</v>
      </c>
      <c r="U46" s="23">
        <f t="shared" si="4"/>
        <v>30000</v>
      </c>
      <c r="V46" s="23">
        <f t="shared" si="5"/>
        <v>0</v>
      </c>
    </row>
    <row r="47" spans="1:22" s="43" customFormat="1" ht="12.75" customHeight="1">
      <c r="A47" s="48"/>
      <c r="B47" s="45" t="s">
        <v>69</v>
      </c>
      <c r="C47" s="46">
        <v>100000</v>
      </c>
      <c r="D47" s="46">
        <v>100000</v>
      </c>
      <c r="E47" s="23"/>
      <c r="F47" s="23"/>
      <c r="G47" s="23"/>
      <c r="H47" s="26">
        <f t="shared" si="0"/>
        <v>0</v>
      </c>
      <c r="I47" s="23"/>
      <c r="J47" s="23"/>
      <c r="K47" s="23"/>
      <c r="L47" s="26">
        <f t="shared" si="1"/>
        <v>0</v>
      </c>
      <c r="M47" s="23"/>
      <c r="N47" s="23"/>
      <c r="O47" s="23"/>
      <c r="P47" s="26">
        <f t="shared" si="2"/>
        <v>0</v>
      </c>
      <c r="Q47" s="107">
        <v>100000</v>
      </c>
      <c r="R47" s="23"/>
      <c r="S47" s="23"/>
      <c r="T47" s="24">
        <f t="shared" si="3"/>
        <v>100000</v>
      </c>
      <c r="U47" s="23">
        <f t="shared" si="4"/>
        <v>100000</v>
      </c>
      <c r="V47" s="23">
        <f t="shared" si="5"/>
        <v>0</v>
      </c>
    </row>
    <row r="48" spans="1:22" s="43" customFormat="1" ht="19.5">
      <c r="A48" s="48"/>
      <c r="B48" s="45" t="s">
        <v>70</v>
      </c>
      <c r="C48" s="46">
        <v>150000</v>
      </c>
      <c r="D48" s="46">
        <v>150000</v>
      </c>
      <c r="E48" s="23"/>
      <c r="F48" s="23"/>
      <c r="G48" s="23"/>
      <c r="H48" s="26">
        <f t="shared" si="0"/>
        <v>0</v>
      </c>
      <c r="I48" s="23"/>
      <c r="J48" s="23"/>
      <c r="K48" s="23"/>
      <c r="L48" s="26">
        <f t="shared" si="1"/>
        <v>0</v>
      </c>
      <c r="M48" s="23"/>
      <c r="N48" s="23"/>
      <c r="O48" s="23"/>
      <c r="P48" s="26">
        <f t="shared" si="2"/>
        <v>0</v>
      </c>
      <c r="Q48" s="107">
        <v>150000</v>
      </c>
      <c r="R48" s="23"/>
      <c r="S48" s="23"/>
      <c r="T48" s="24">
        <f t="shared" si="3"/>
        <v>150000</v>
      </c>
      <c r="U48" s="23">
        <f t="shared" si="4"/>
        <v>150000</v>
      </c>
      <c r="V48" s="23">
        <f t="shared" si="5"/>
        <v>0</v>
      </c>
    </row>
    <row r="49" spans="1:23" s="43" customFormat="1" ht="15" customHeight="1">
      <c r="A49" s="48"/>
      <c r="B49" s="45" t="s">
        <v>71</v>
      </c>
      <c r="C49" s="46">
        <v>94633.11</v>
      </c>
      <c r="D49" s="46">
        <v>94633.11</v>
      </c>
      <c r="E49" s="23"/>
      <c r="F49" s="23"/>
      <c r="G49" s="23"/>
      <c r="H49" s="26">
        <f t="shared" si="0"/>
        <v>0</v>
      </c>
      <c r="I49" s="23"/>
      <c r="J49" s="23"/>
      <c r="K49" s="23"/>
      <c r="L49" s="26">
        <f t="shared" si="1"/>
        <v>0</v>
      </c>
      <c r="M49" s="23"/>
      <c r="N49" s="23"/>
      <c r="O49" s="23"/>
      <c r="P49" s="26">
        <f t="shared" si="2"/>
        <v>0</v>
      </c>
      <c r="Q49" s="107">
        <v>94633.11</v>
      </c>
      <c r="R49" s="23"/>
      <c r="S49" s="23"/>
      <c r="T49" s="24">
        <f t="shared" si="3"/>
        <v>94633.11</v>
      </c>
      <c r="U49" s="23">
        <f t="shared" si="4"/>
        <v>94633.11</v>
      </c>
      <c r="V49" s="23">
        <f t="shared" si="5"/>
        <v>0</v>
      </c>
    </row>
    <row r="50" spans="1:23" s="43" customFormat="1" ht="15" customHeight="1">
      <c r="A50" s="48"/>
      <c r="B50" s="116" t="s">
        <v>98</v>
      </c>
      <c r="C50" s="46">
        <v>300000</v>
      </c>
      <c r="D50" s="46">
        <v>300000</v>
      </c>
      <c r="E50" s="23"/>
      <c r="F50" s="23"/>
      <c r="G50" s="23"/>
      <c r="H50" s="26">
        <f t="shared" si="0"/>
        <v>0</v>
      </c>
      <c r="I50" s="23"/>
      <c r="J50" s="23"/>
      <c r="K50" s="23"/>
      <c r="L50" s="26">
        <f t="shared" si="1"/>
        <v>0</v>
      </c>
      <c r="M50" s="23"/>
      <c r="N50" s="23"/>
      <c r="O50" s="23"/>
      <c r="P50" s="26">
        <f t="shared" si="2"/>
        <v>0</v>
      </c>
      <c r="Q50" s="115">
        <v>300000</v>
      </c>
      <c r="R50" s="23"/>
      <c r="S50" s="23"/>
      <c r="T50" s="24">
        <f t="shared" si="3"/>
        <v>300000</v>
      </c>
      <c r="U50" s="23">
        <f t="shared" si="4"/>
        <v>300000</v>
      </c>
      <c r="V50" s="23">
        <f t="shared" si="5"/>
        <v>0</v>
      </c>
    </row>
    <row r="51" spans="1:23" s="47" customFormat="1" ht="13.5" customHeight="1">
      <c r="A51" s="151" t="s">
        <v>7</v>
      </c>
      <c r="B51" s="151"/>
      <c r="C51" s="32">
        <f>SUM(C52:C59)</f>
        <v>665000</v>
      </c>
      <c r="D51" s="32">
        <f>SUM(D52:D59)</f>
        <v>2465400</v>
      </c>
      <c r="E51" s="31">
        <f>SUM(E52:E59)</f>
        <v>0</v>
      </c>
      <c r="F51" s="31">
        <f>SUM(F52:F59)</f>
        <v>0</v>
      </c>
      <c r="G51" s="31">
        <f>SUM(G52:G59)</f>
        <v>0</v>
      </c>
      <c r="H51" s="29">
        <f t="shared" si="0"/>
        <v>0</v>
      </c>
      <c r="I51" s="31">
        <f>SUM(I52:I59)</f>
        <v>12614</v>
      </c>
      <c r="J51" s="31">
        <f>SUM(J52:J59)</f>
        <v>48875.94</v>
      </c>
      <c r="K51" s="31">
        <f>SUM(K52:K59)</f>
        <v>2779.67</v>
      </c>
      <c r="L51" s="29">
        <f t="shared" si="1"/>
        <v>64269.61</v>
      </c>
      <c r="M51" s="31">
        <f>SUM(M52:M59)</f>
        <v>21.880000000000003</v>
      </c>
      <c r="N51" s="31">
        <f>SUM(N52:N59)</f>
        <v>54060</v>
      </c>
      <c r="O51" s="31">
        <f>SUM(O52:O59)</f>
        <v>777091.42</v>
      </c>
      <c r="P51" s="29">
        <f t="shared" si="2"/>
        <v>831173.3</v>
      </c>
      <c r="Q51" s="30">
        <f>SUM(Q52:Q59)</f>
        <v>726128</v>
      </c>
      <c r="R51" s="30">
        <f>SUM(R52:R59)</f>
        <v>831700</v>
      </c>
      <c r="S51" s="30">
        <f>SUM(S52:S59)</f>
        <v>0</v>
      </c>
      <c r="T51" s="29">
        <f t="shared" si="3"/>
        <v>1557828</v>
      </c>
      <c r="U51" s="29">
        <f t="shared" si="4"/>
        <v>2453270.91</v>
      </c>
      <c r="V51" s="29">
        <f>SUM(V52:V59)</f>
        <v>12129.090000000084</v>
      </c>
    </row>
    <row r="52" spans="1:23" s="42" customFormat="1" ht="17.25" customHeight="1">
      <c r="A52" s="40"/>
      <c r="B52" s="45" t="s">
        <v>73</v>
      </c>
      <c r="C52" s="34">
        <v>160000</v>
      </c>
      <c r="D52" s="34">
        <v>441214</v>
      </c>
      <c r="E52" s="20"/>
      <c r="F52" s="20"/>
      <c r="G52" s="20"/>
      <c r="H52" s="17">
        <f t="shared" si="0"/>
        <v>0</v>
      </c>
      <c r="I52" s="20"/>
      <c r="J52" s="20">
        <f>11236+28670.71+1165.23+7685</f>
        <v>48756.94</v>
      </c>
      <c r="K52" s="20">
        <f>11.77+270.48+72.5+106</f>
        <v>460.75</v>
      </c>
      <c r="L52" s="15">
        <f t="shared" si="1"/>
        <v>49217.69</v>
      </c>
      <c r="M52" s="20"/>
      <c r="N52" s="20"/>
      <c r="O52" s="110">
        <f>11368.75+37479.29</f>
        <v>48848.04</v>
      </c>
      <c r="P52" s="15">
        <f t="shared" si="2"/>
        <v>48848.04</v>
      </c>
      <c r="Q52" s="110">
        <v>600000</v>
      </c>
      <c r="R52" s="118">
        <v>500000</v>
      </c>
      <c r="S52" s="20"/>
      <c r="T52" s="15">
        <f t="shared" si="3"/>
        <v>1100000</v>
      </c>
      <c r="U52" s="14">
        <f t="shared" si="4"/>
        <v>1198065.73</v>
      </c>
      <c r="V52" s="23">
        <f t="shared" si="5"/>
        <v>-756851.73</v>
      </c>
    </row>
    <row r="53" spans="1:23" s="42" customFormat="1" ht="19.5">
      <c r="A53" s="40"/>
      <c r="B53" s="45" t="s">
        <v>74</v>
      </c>
      <c r="C53" s="44">
        <v>60000</v>
      </c>
      <c r="D53" s="44">
        <v>205430</v>
      </c>
      <c r="E53" s="20"/>
      <c r="F53" s="20"/>
      <c r="G53" s="20"/>
      <c r="H53" s="17">
        <f t="shared" si="0"/>
        <v>0</v>
      </c>
      <c r="I53" s="20"/>
      <c r="J53" s="20"/>
      <c r="K53" s="20">
        <f>792.52+1526.4</f>
        <v>2318.92</v>
      </c>
      <c r="L53" s="17">
        <f t="shared" si="1"/>
        <v>2318.92</v>
      </c>
      <c r="M53" s="20">
        <f>14.4+7.48</f>
        <v>21.880000000000003</v>
      </c>
      <c r="N53" s="20"/>
      <c r="O53" s="110">
        <v>64333.38</v>
      </c>
      <c r="P53" s="17">
        <f t="shared" si="2"/>
        <v>64355.259999999995</v>
      </c>
      <c r="Q53" s="110"/>
      <c r="R53" s="20"/>
      <c r="S53" s="20"/>
      <c r="T53" s="17">
        <f t="shared" si="3"/>
        <v>0</v>
      </c>
      <c r="U53" s="14">
        <f t="shared" si="4"/>
        <v>66674.179999999993</v>
      </c>
      <c r="V53" s="23">
        <f t="shared" si="5"/>
        <v>138755.82</v>
      </c>
    </row>
    <row r="54" spans="1:23" s="42" customFormat="1" ht="19.5">
      <c r="A54" s="40"/>
      <c r="B54" s="45" t="s">
        <v>75</v>
      </c>
      <c r="C54" s="44">
        <v>80000</v>
      </c>
      <c r="D54" s="44">
        <v>80000</v>
      </c>
      <c r="E54" s="20"/>
      <c r="F54" s="20"/>
      <c r="G54" s="20"/>
      <c r="H54" s="17">
        <f t="shared" si="0"/>
        <v>0</v>
      </c>
      <c r="I54" s="20"/>
      <c r="J54" s="20"/>
      <c r="K54" s="20"/>
      <c r="L54" s="17">
        <f t="shared" si="1"/>
        <v>0</v>
      </c>
      <c r="M54" s="20"/>
      <c r="N54" s="20"/>
      <c r="O54" s="20"/>
      <c r="P54" s="17">
        <f t="shared" si="2"/>
        <v>0</v>
      </c>
      <c r="Q54" s="110">
        <v>80000</v>
      </c>
      <c r="R54" s="20"/>
      <c r="S54" s="20"/>
      <c r="T54" s="17">
        <f t="shared" si="3"/>
        <v>80000</v>
      </c>
      <c r="U54" s="14">
        <f t="shared" si="4"/>
        <v>80000</v>
      </c>
      <c r="V54" s="23">
        <f t="shared" si="5"/>
        <v>0</v>
      </c>
    </row>
    <row r="55" spans="1:23" s="42" customFormat="1" ht="19.5">
      <c r="A55" s="40"/>
      <c r="B55" s="45" t="s">
        <v>76</v>
      </c>
      <c r="C55" s="44">
        <v>50000</v>
      </c>
      <c r="D55" s="44">
        <v>50000</v>
      </c>
      <c r="E55" s="20"/>
      <c r="F55" s="20"/>
      <c r="G55" s="20"/>
      <c r="H55" s="17">
        <f t="shared" si="0"/>
        <v>0</v>
      </c>
      <c r="I55" s="20"/>
      <c r="J55" s="20"/>
      <c r="K55" s="20"/>
      <c r="L55" s="17">
        <f t="shared" si="1"/>
        <v>0</v>
      </c>
      <c r="M55" s="20"/>
      <c r="N55" s="20"/>
      <c r="O55" s="20"/>
      <c r="P55" s="17">
        <f t="shared" si="2"/>
        <v>0</v>
      </c>
      <c r="Q55" s="20"/>
      <c r="R55" s="20"/>
      <c r="S55" s="20"/>
      <c r="T55" s="17">
        <f t="shared" si="3"/>
        <v>0</v>
      </c>
      <c r="U55" s="14">
        <f t="shared" si="4"/>
        <v>0</v>
      </c>
      <c r="V55" s="23">
        <f t="shared" si="5"/>
        <v>50000</v>
      </c>
    </row>
    <row r="56" spans="1:23" s="42" customFormat="1" ht="18" customHeight="1">
      <c r="A56" s="40"/>
      <c r="B56" s="45" t="s">
        <v>77</v>
      </c>
      <c r="C56" s="44">
        <v>200000</v>
      </c>
      <c r="D56" s="44">
        <v>54570</v>
      </c>
      <c r="E56" s="20"/>
      <c r="F56" s="20"/>
      <c r="G56" s="20"/>
      <c r="H56" s="17">
        <f t="shared" si="0"/>
        <v>0</v>
      </c>
      <c r="I56" s="20"/>
      <c r="J56" s="20"/>
      <c r="K56" s="20"/>
      <c r="L56" s="17">
        <f t="shared" si="1"/>
        <v>0</v>
      </c>
      <c r="M56" s="20"/>
      <c r="N56" s="20">
        <f>54060</f>
        <v>54060</v>
      </c>
      <c r="O56" s="20">
        <f>510</f>
        <v>510</v>
      </c>
      <c r="P56" s="17">
        <f t="shared" si="2"/>
        <v>54570</v>
      </c>
      <c r="Q56" s="20"/>
      <c r="R56" s="20"/>
      <c r="S56" s="20"/>
      <c r="T56" s="17">
        <f t="shared" si="3"/>
        <v>0</v>
      </c>
      <c r="U56" s="14">
        <f t="shared" si="4"/>
        <v>54570</v>
      </c>
      <c r="V56" s="23">
        <f t="shared" si="5"/>
        <v>0</v>
      </c>
    </row>
    <row r="57" spans="1:23" s="42" customFormat="1" ht="18" customHeight="1">
      <c r="A57" s="40"/>
      <c r="B57" s="45" t="s">
        <v>79</v>
      </c>
      <c r="C57" s="44">
        <v>80000</v>
      </c>
      <c r="D57" s="44">
        <v>80000</v>
      </c>
      <c r="E57" s="20"/>
      <c r="F57" s="20"/>
      <c r="G57" s="20"/>
      <c r="H57" s="17">
        <f t="shared" si="0"/>
        <v>0</v>
      </c>
      <c r="I57" s="20"/>
      <c r="J57" s="20"/>
      <c r="K57" s="20"/>
      <c r="L57" s="17">
        <f t="shared" si="1"/>
        <v>0</v>
      </c>
      <c r="M57" s="20"/>
      <c r="N57" s="20"/>
      <c r="O57" s="20"/>
      <c r="P57" s="17">
        <f t="shared" si="2"/>
        <v>0</v>
      </c>
      <c r="Q57" s="110">
        <f>23861</f>
        <v>23861</v>
      </c>
      <c r="R57" s="20"/>
      <c r="S57" s="20"/>
      <c r="T57" s="17">
        <f t="shared" si="3"/>
        <v>23861</v>
      </c>
      <c r="U57" s="14">
        <f t="shared" si="4"/>
        <v>23861</v>
      </c>
      <c r="V57" s="23">
        <f t="shared" si="5"/>
        <v>56139</v>
      </c>
    </row>
    <row r="58" spans="1:23" s="42" customFormat="1" ht="18" customHeight="1">
      <c r="A58" s="40"/>
      <c r="B58" s="45" t="s">
        <v>78</v>
      </c>
      <c r="C58" s="44">
        <v>35000</v>
      </c>
      <c r="D58" s="44">
        <v>35000</v>
      </c>
      <c r="E58" s="20"/>
      <c r="F58" s="20"/>
      <c r="G58" s="20"/>
      <c r="H58" s="17">
        <f t="shared" si="0"/>
        <v>0</v>
      </c>
      <c r="I58" s="20">
        <v>12614</v>
      </c>
      <c r="J58" s="20">
        <v>119</v>
      </c>
      <c r="K58" s="20"/>
      <c r="L58" s="17">
        <f t="shared" si="1"/>
        <v>12733</v>
      </c>
      <c r="M58" s="20"/>
      <c r="N58" s="20"/>
      <c r="O58" s="20"/>
      <c r="P58" s="17">
        <f t="shared" si="2"/>
        <v>0</v>
      </c>
      <c r="Q58" s="110">
        <v>22267</v>
      </c>
      <c r="R58" s="20"/>
      <c r="S58" s="20"/>
      <c r="T58" s="17">
        <f t="shared" si="3"/>
        <v>22267</v>
      </c>
      <c r="U58" s="14">
        <f t="shared" si="4"/>
        <v>35000</v>
      </c>
      <c r="V58" s="23">
        <f t="shared" si="5"/>
        <v>0</v>
      </c>
    </row>
    <row r="59" spans="1:23" s="42" customFormat="1" ht="18" customHeight="1">
      <c r="A59" s="40"/>
      <c r="B59" s="45" t="s">
        <v>97</v>
      </c>
      <c r="C59" s="44">
        <v>0</v>
      </c>
      <c r="D59" s="44">
        <v>1519186</v>
      </c>
      <c r="E59" s="20"/>
      <c r="F59" s="20"/>
      <c r="G59" s="20"/>
      <c r="H59" s="17">
        <f t="shared" si="0"/>
        <v>0</v>
      </c>
      <c r="I59" s="20"/>
      <c r="J59" s="20"/>
      <c r="K59" s="20"/>
      <c r="L59" s="17">
        <f t="shared" si="1"/>
        <v>0</v>
      </c>
      <c r="M59" s="20"/>
      <c r="N59" s="20"/>
      <c r="O59" s="20">
        <f>663400</f>
        <v>663400</v>
      </c>
      <c r="P59" s="17">
        <f t="shared" si="2"/>
        <v>663400</v>
      </c>
      <c r="Q59" s="110"/>
      <c r="R59" s="110">
        <v>331700</v>
      </c>
      <c r="S59" s="20"/>
      <c r="T59" s="17">
        <f t="shared" si="3"/>
        <v>331700</v>
      </c>
      <c r="U59" s="14">
        <f t="shared" si="4"/>
        <v>995100</v>
      </c>
      <c r="V59" s="23">
        <f t="shared" si="5"/>
        <v>524086</v>
      </c>
    </row>
    <row r="60" spans="1:23" s="28" customFormat="1" ht="16.5" customHeight="1">
      <c r="A60" s="151" t="s">
        <v>6</v>
      </c>
      <c r="B60" s="151"/>
      <c r="C60" s="32">
        <f>SUM(C61:C61)</f>
        <v>0</v>
      </c>
      <c r="D60" s="32">
        <f>SUM(D61:D61)</f>
        <v>0</v>
      </c>
      <c r="E60" s="31">
        <f>SUM(E61:E61)</f>
        <v>0</v>
      </c>
      <c r="F60" s="31">
        <f>SUM(F61:F61)</f>
        <v>0</v>
      </c>
      <c r="G60" s="31">
        <f>SUM(G61:G61)</f>
        <v>0</v>
      </c>
      <c r="H60" s="29">
        <f t="shared" si="0"/>
        <v>0</v>
      </c>
      <c r="I60" s="31">
        <f>SUM(I61:I61)</f>
        <v>0</v>
      </c>
      <c r="J60" s="31">
        <f>SUM(J61:J61)</f>
        <v>0</v>
      </c>
      <c r="K60" s="31">
        <f>SUM(K61:K61)</f>
        <v>0</v>
      </c>
      <c r="L60" s="29">
        <f t="shared" si="1"/>
        <v>0</v>
      </c>
      <c r="M60" s="31">
        <f>SUM(M61:M61)</f>
        <v>0</v>
      </c>
      <c r="N60" s="31">
        <f>SUM(N61:N61)</f>
        <v>0</v>
      </c>
      <c r="O60" s="31">
        <f>SUM(O61:O61)</f>
        <v>0</v>
      </c>
      <c r="P60" s="29">
        <f t="shared" si="2"/>
        <v>0</v>
      </c>
      <c r="Q60" s="30">
        <f>SUM(Q61:Q61)</f>
        <v>0</v>
      </c>
      <c r="R60" s="30">
        <f>SUM(R61:R61)</f>
        <v>0</v>
      </c>
      <c r="S60" s="30">
        <f>SUM(S61:S61)</f>
        <v>0</v>
      </c>
      <c r="T60" s="29">
        <f t="shared" si="3"/>
        <v>0</v>
      </c>
      <c r="U60" s="29">
        <f t="shared" si="4"/>
        <v>0</v>
      </c>
      <c r="V60" s="29">
        <f>SUM(V61:V61)</f>
        <v>0</v>
      </c>
    </row>
    <row r="61" spans="1:23" s="13" customFormat="1" ht="15" customHeight="1">
      <c r="A61" s="36"/>
      <c r="B61" s="41" t="s">
        <v>4</v>
      </c>
      <c r="C61" s="40"/>
      <c r="D61" s="40"/>
      <c r="E61" s="39"/>
      <c r="F61" s="39"/>
      <c r="G61" s="39"/>
      <c r="H61" s="17"/>
      <c r="I61" s="39"/>
      <c r="J61" s="39"/>
      <c r="K61" s="39"/>
      <c r="L61" s="15"/>
      <c r="M61" s="39"/>
      <c r="N61" s="39"/>
      <c r="O61" s="39"/>
      <c r="P61" s="15"/>
      <c r="Q61" s="39"/>
      <c r="R61" s="39"/>
      <c r="S61" s="39"/>
      <c r="T61" s="15"/>
      <c r="U61" s="14"/>
      <c r="V61" s="14"/>
    </row>
    <row r="62" spans="1:23" s="28" customFormat="1" ht="14.25" customHeight="1">
      <c r="A62" s="151" t="s">
        <v>5</v>
      </c>
      <c r="B62" s="151"/>
      <c r="C62" s="32">
        <f>SUM(C63:C63)</f>
        <v>0</v>
      </c>
      <c r="D62" s="32">
        <f>SUM(D63:D63)</f>
        <v>0</v>
      </c>
      <c r="E62" s="38">
        <f>SUM(E63)</f>
        <v>0</v>
      </c>
      <c r="F62" s="38">
        <f>SUM(F63)</f>
        <v>0</v>
      </c>
      <c r="G62" s="38">
        <f>SUM(G63)</f>
        <v>0</v>
      </c>
      <c r="H62" s="29">
        <f t="shared" ref="H62:H70" si="25">SUM(E62:G62)</f>
        <v>0</v>
      </c>
      <c r="I62" s="38">
        <f>SUM(I63)</f>
        <v>0</v>
      </c>
      <c r="J62" s="38">
        <f>SUM(J63)</f>
        <v>0</v>
      </c>
      <c r="K62" s="38">
        <f>SUM(K63)</f>
        <v>0</v>
      </c>
      <c r="L62" s="29">
        <f t="shared" ref="L62:L81" si="26">SUM(I62:K62)</f>
        <v>0</v>
      </c>
      <c r="M62" s="38">
        <f>SUM(M63)</f>
        <v>0</v>
      </c>
      <c r="N62" s="38">
        <f>SUM(N63)</f>
        <v>0</v>
      </c>
      <c r="O62" s="38">
        <f>SUM(O63)</f>
        <v>0</v>
      </c>
      <c r="P62" s="29">
        <f t="shared" ref="P62:P81" si="27">SUM(M62:O62)</f>
        <v>0</v>
      </c>
      <c r="Q62" s="37">
        <f>SUM(Q63)</f>
        <v>0</v>
      </c>
      <c r="R62" s="37">
        <f>SUM(R63)</f>
        <v>0</v>
      </c>
      <c r="S62" s="37">
        <f>SUM(S63)</f>
        <v>0</v>
      </c>
      <c r="T62" s="29">
        <f t="shared" ref="T62:T81" si="28">SUM(Q62:S62)</f>
        <v>0</v>
      </c>
      <c r="U62" s="29">
        <f t="shared" ref="U62:U81" si="29">H62+L62+P62+T62</f>
        <v>0</v>
      </c>
      <c r="V62" s="29">
        <f>SUM(V63)</f>
        <v>0</v>
      </c>
    </row>
    <row r="63" spans="1:23" s="33" customFormat="1" ht="16.5" customHeight="1">
      <c r="A63" s="36"/>
      <c r="B63" s="35" t="s">
        <v>4</v>
      </c>
      <c r="C63" s="34"/>
      <c r="D63" s="34"/>
      <c r="E63" s="14"/>
      <c r="F63" s="14"/>
      <c r="G63" s="14"/>
      <c r="H63" s="17">
        <f t="shared" si="25"/>
        <v>0</v>
      </c>
      <c r="I63" s="14"/>
      <c r="J63" s="14"/>
      <c r="K63" s="14"/>
      <c r="L63" s="15">
        <f t="shared" si="26"/>
        <v>0</v>
      </c>
      <c r="M63" s="14"/>
      <c r="N63" s="14"/>
      <c r="O63" s="14"/>
      <c r="P63" s="15">
        <f t="shared" si="27"/>
        <v>0</v>
      </c>
      <c r="Q63" s="14"/>
      <c r="R63" s="14"/>
      <c r="S63" s="14"/>
      <c r="T63" s="15">
        <f t="shared" si="28"/>
        <v>0</v>
      </c>
      <c r="U63" s="14">
        <f t="shared" si="29"/>
        <v>0</v>
      </c>
      <c r="V63" s="14">
        <f>C63-U63</f>
        <v>0</v>
      </c>
      <c r="W63" s="13"/>
    </row>
    <row r="64" spans="1:23" s="28" customFormat="1" ht="16.5" customHeight="1">
      <c r="A64" s="151" t="s">
        <v>3</v>
      </c>
      <c r="B64" s="151"/>
      <c r="C64" s="32">
        <f>SUM(C65:C81)</f>
        <v>4326000</v>
      </c>
      <c r="D64" s="32">
        <f>SUM(D65:D81)</f>
        <v>2525600</v>
      </c>
      <c r="E64" s="31">
        <f>SUM(E65:E81)</f>
        <v>101100</v>
      </c>
      <c r="F64" s="31">
        <f>SUM(F65:F81)</f>
        <v>164625.44</v>
      </c>
      <c r="G64" s="31">
        <f>SUM(G65:G81)</f>
        <v>123215.13</v>
      </c>
      <c r="H64" s="29">
        <f t="shared" si="25"/>
        <v>388940.57</v>
      </c>
      <c r="I64" s="31">
        <f>SUM(I65:I81)</f>
        <v>123526.39</v>
      </c>
      <c r="J64" s="31">
        <f>SUM(J65:J81)</f>
        <v>127091.73</v>
      </c>
      <c r="K64" s="31">
        <f>SUM(K65:K81)</f>
        <v>122574.3</v>
      </c>
      <c r="L64" s="29">
        <f t="shared" si="26"/>
        <v>373192.42</v>
      </c>
      <c r="M64" s="31">
        <f>SUM(M65:M81)</f>
        <v>221301.86000000002</v>
      </c>
      <c r="N64" s="31">
        <f>SUM(N65:N81)</f>
        <v>68913.540000000008</v>
      </c>
      <c r="O64" s="31">
        <f>SUM(O65:O81)</f>
        <v>69525</v>
      </c>
      <c r="P64" s="29">
        <f t="shared" si="27"/>
        <v>359740.4</v>
      </c>
      <c r="Q64" s="30">
        <f>SUM(Q65:Q81)</f>
        <v>86500</v>
      </c>
      <c r="R64" s="30">
        <f>SUM(R65:R81)</f>
        <v>199766.7</v>
      </c>
      <c r="S64" s="30">
        <f>SUM(S65:S81)</f>
        <v>67500</v>
      </c>
      <c r="T64" s="29">
        <f t="shared" si="28"/>
        <v>353766.7</v>
      </c>
      <c r="U64" s="29">
        <f t="shared" si="29"/>
        <v>1475640.09</v>
      </c>
      <c r="V64" s="29">
        <f>SUM(V65:V81)</f>
        <v>1049959.9100000001</v>
      </c>
    </row>
    <row r="65" spans="1:22" s="91" customFormat="1" ht="17.25" customHeight="1">
      <c r="A65" s="19"/>
      <c r="B65" s="21" t="s">
        <v>80</v>
      </c>
      <c r="C65" s="87">
        <v>160000</v>
      </c>
      <c r="D65" s="87">
        <v>160000</v>
      </c>
      <c r="E65" s="90"/>
      <c r="F65" s="90"/>
      <c r="G65" s="90"/>
      <c r="H65" s="17">
        <f t="shared" si="25"/>
        <v>0</v>
      </c>
      <c r="I65" s="90"/>
      <c r="J65" s="90"/>
      <c r="K65" s="90"/>
      <c r="L65" s="17">
        <f t="shared" si="26"/>
        <v>0</v>
      </c>
      <c r="M65" s="90"/>
      <c r="N65" s="90"/>
      <c r="O65" s="90"/>
      <c r="P65" s="17">
        <f t="shared" si="27"/>
        <v>0</v>
      </c>
      <c r="Q65" s="90"/>
      <c r="R65" s="113">
        <v>30000</v>
      </c>
      <c r="S65" s="90"/>
      <c r="T65" s="17">
        <f t="shared" si="28"/>
        <v>30000</v>
      </c>
      <c r="U65" s="14">
        <f t="shared" si="29"/>
        <v>30000</v>
      </c>
      <c r="V65" s="14">
        <f>D65-U65</f>
        <v>130000</v>
      </c>
    </row>
    <row r="66" spans="1:22" s="91" customFormat="1" ht="15.75" customHeight="1">
      <c r="A66" s="19"/>
      <c r="B66" s="18" t="s">
        <v>81</v>
      </c>
      <c r="C66" s="87">
        <v>240000</v>
      </c>
      <c r="D66" s="87">
        <v>240000</v>
      </c>
      <c r="E66" s="90"/>
      <c r="F66" s="90">
        <f>10000</f>
        <v>10000</v>
      </c>
      <c r="G66" s="90"/>
      <c r="H66" s="17">
        <f t="shared" si="25"/>
        <v>10000</v>
      </c>
      <c r="I66" s="90">
        <v>10000</v>
      </c>
      <c r="J66" s="90"/>
      <c r="K66" s="90">
        <f>4000+16000+2000</f>
        <v>22000</v>
      </c>
      <c r="L66" s="17">
        <f t="shared" si="26"/>
        <v>32000</v>
      </c>
      <c r="M66" s="90">
        <f>2000+3500+12000</f>
        <v>17500</v>
      </c>
      <c r="N66" s="90"/>
      <c r="O66" s="90"/>
      <c r="P66" s="17">
        <f t="shared" si="27"/>
        <v>17500</v>
      </c>
      <c r="Q66" s="113">
        <v>20000</v>
      </c>
      <c r="R66" s="113">
        <v>20000</v>
      </c>
      <c r="S66" s="90"/>
      <c r="T66" s="17">
        <f t="shared" si="28"/>
        <v>40000</v>
      </c>
      <c r="U66" s="14">
        <f t="shared" si="29"/>
        <v>99500</v>
      </c>
      <c r="V66" s="14">
        <f t="shared" ref="V66:V81" si="30">D66-U66</f>
        <v>140500</v>
      </c>
    </row>
    <row r="67" spans="1:22" s="22" customFormat="1" ht="18" customHeight="1">
      <c r="A67" s="27"/>
      <c r="B67" s="21" t="s">
        <v>82</v>
      </c>
      <c r="C67" s="87">
        <v>90000</v>
      </c>
      <c r="D67" s="87">
        <v>90000</v>
      </c>
      <c r="E67" s="25"/>
      <c r="F67" s="25">
        <f>650.93+1500.59+1373.92</f>
        <v>3525.44</v>
      </c>
      <c r="G67" s="25">
        <f>715.13</f>
        <v>715.13</v>
      </c>
      <c r="H67" s="26">
        <f t="shared" si="25"/>
        <v>4240.57</v>
      </c>
      <c r="I67" s="25">
        <f>259.68+2366.71</f>
        <v>2626.39</v>
      </c>
      <c r="J67" s="25">
        <f>884.93+3379.8+117</f>
        <v>4381.7300000000005</v>
      </c>
      <c r="K67" s="25">
        <f>2674.3</f>
        <v>2674.3</v>
      </c>
      <c r="L67" s="24">
        <f t="shared" si="26"/>
        <v>9682.4200000000019</v>
      </c>
      <c r="M67" s="25">
        <f>991.93+1473.43+3379.8</f>
        <v>5845.16</v>
      </c>
      <c r="N67" s="25">
        <f>3508.04+705.5</f>
        <v>4213.54</v>
      </c>
      <c r="O67" s="111">
        <v>5000</v>
      </c>
      <c r="P67" s="24">
        <f t="shared" si="27"/>
        <v>15058.7</v>
      </c>
      <c r="Q67" s="111">
        <v>5000</v>
      </c>
      <c r="R67" s="111">
        <v>5000</v>
      </c>
      <c r="S67" s="111">
        <v>5000</v>
      </c>
      <c r="T67" s="24">
        <f t="shared" si="28"/>
        <v>15000</v>
      </c>
      <c r="U67" s="23">
        <f t="shared" si="29"/>
        <v>43981.69</v>
      </c>
      <c r="V67" s="14">
        <f t="shared" si="30"/>
        <v>46018.31</v>
      </c>
    </row>
    <row r="68" spans="1:22" s="13" customFormat="1" ht="15.75" customHeight="1">
      <c r="A68" s="19"/>
      <c r="B68" s="21" t="s">
        <v>83</v>
      </c>
      <c r="C68" s="87">
        <v>54000</v>
      </c>
      <c r="D68" s="87">
        <v>54000</v>
      </c>
      <c r="E68" s="16">
        <f>4455+45</f>
        <v>4500</v>
      </c>
      <c r="F68" s="16">
        <f>4455+45</f>
        <v>4500</v>
      </c>
      <c r="G68" s="16">
        <f>4455+45</f>
        <v>4500</v>
      </c>
      <c r="H68" s="17">
        <f t="shared" si="25"/>
        <v>13500</v>
      </c>
      <c r="I68" s="16">
        <v>4500</v>
      </c>
      <c r="J68" s="16">
        <v>4500</v>
      </c>
      <c r="K68" s="112">
        <v>4500</v>
      </c>
      <c r="L68" s="15">
        <f t="shared" si="26"/>
        <v>13500</v>
      </c>
      <c r="M68" s="112">
        <v>4500</v>
      </c>
      <c r="N68" s="112">
        <v>4500</v>
      </c>
      <c r="O68" s="112">
        <v>4500</v>
      </c>
      <c r="P68" s="15">
        <f t="shared" si="27"/>
        <v>13500</v>
      </c>
      <c r="Q68" s="112">
        <v>4500</v>
      </c>
      <c r="R68" s="112">
        <v>4500</v>
      </c>
      <c r="S68" s="112">
        <v>4500</v>
      </c>
      <c r="T68" s="15">
        <f t="shared" si="28"/>
        <v>13500</v>
      </c>
      <c r="U68" s="14">
        <f t="shared" si="29"/>
        <v>54000</v>
      </c>
      <c r="V68" s="14">
        <f t="shared" si="30"/>
        <v>0</v>
      </c>
    </row>
    <row r="69" spans="1:22" s="13" customFormat="1" ht="13.5" customHeight="1">
      <c r="A69" s="19"/>
      <c r="B69" s="18" t="s">
        <v>84</v>
      </c>
      <c r="C69" s="87">
        <v>24000</v>
      </c>
      <c r="D69" s="87">
        <v>24000</v>
      </c>
      <c r="E69" s="16">
        <v>1600</v>
      </c>
      <c r="F69" s="16">
        <v>1600</v>
      </c>
      <c r="G69" s="16">
        <f>1600</f>
        <v>1600</v>
      </c>
      <c r="H69" s="17">
        <f t="shared" si="25"/>
        <v>4800</v>
      </c>
      <c r="I69" s="16">
        <v>1600</v>
      </c>
      <c r="J69" s="16">
        <v>3600</v>
      </c>
      <c r="K69" s="16">
        <v>2000</v>
      </c>
      <c r="L69" s="15">
        <f t="shared" si="26"/>
        <v>7200</v>
      </c>
      <c r="M69" s="16">
        <v>2000</v>
      </c>
      <c r="N69" s="16">
        <v>2000</v>
      </c>
      <c r="O69" s="112">
        <v>2000</v>
      </c>
      <c r="P69" s="15">
        <f t="shared" si="27"/>
        <v>6000</v>
      </c>
      <c r="Q69" s="112">
        <v>2000</v>
      </c>
      <c r="R69" s="112">
        <v>2000</v>
      </c>
      <c r="S69" s="112">
        <v>2000</v>
      </c>
      <c r="T69" s="15">
        <f t="shared" si="28"/>
        <v>6000</v>
      </c>
      <c r="U69" s="14">
        <f t="shared" si="29"/>
        <v>24000</v>
      </c>
      <c r="V69" s="14">
        <f t="shared" si="30"/>
        <v>0</v>
      </c>
    </row>
    <row r="70" spans="1:22" s="91" customFormat="1" ht="15.75" customHeight="1">
      <c r="A70" s="19"/>
      <c r="B70" s="18" t="s">
        <v>85</v>
      </c>
      <c r="C70" s="87">
        <v>3600</v>
      </c>
      <c r="D70" s="87">
        <v>3600</v>
      </c>
      <c r="E70" s="90"/>
      <c r="F70" s="90">
        <f>3600</f>
        <v>3600</v>
      </c>
      <c r="G70" s="90"/>
      <c r="H70" s="17">
        <f t="shared" si="25"/>
        <v>3600</v>
      </c>
      <c r="I70" s="90"/>
      <c r="J70" s="90"/>
      <c r="K70" s="90"/>
      <c r="L70" s="17">
        <f t="shared" si="26"/>
        <v>0</v>
      </c>
      <c r="M70" s="90"/>
      <c r="N70" s="90"/>
      <c r="O70" s="90"/>
      <c r="P70" s="17">
        <f t="shared" si="27"/>
        <v>0</v>
      </c>
      <c r="Q70" s="90"/>
      <c r="R70" s="90"/>
      <c r="S70" s="90"/>
      <c r="T70" s="17">
        <f t="shared" si="28"/>
        <v>0</v>
      </c>
      <c r="U70" s="14">
        <f t="shared" si="29"/>
        <v>3600</v>
      </c>
      <c r="V70" s="14">
        <f t="shared" si="30"/>
        <v>0</v>
      </c>
    </row>
    <row r="71" spans="1:22" s="13" customFormat="1" ht="16.5" customHeight="1">
      <c r="A71" s="19"/>
      <c r="B71" s="18" t="s">
        <v>86</v>
      </c>
      <c r="C71" s="87">
        <v>2400</v>
      </c>
      <c r="D71" s="87">
        <v>2400</v>
      </c>
      <c r="E71" s="16"/>
      <c r="F71" s="16">
        <f>2400</f>
        <v>2400</v>
      </c>
      <c r="G71" s="16"/>
      <c r="H71" s="17">
        <f t="shared" ref="H71:H81" si="31">SUM(E71:G71)</f>
        <v>2400</v>
      </c>
      <c r="I71" s="16"/>
      <c r="J71" s="16"/>
      <c r="K71" s="16"/>
      <c r="L71" s="15">
        <f t="shared" si="26"/>
        <v>0</v>
      </c>
      <c r="M71" s="16"/>
      <c r="N71" s="16"/>
      <c r="O71" s="16"/>
      <c r="P71" s="15">
        <f t="shared" si="27"/>
        <v>0</v>
      </c>
      <c r="Q71" s="16"/>
      <c r="R71" s="16"/>
      <c r="S71" s="16"/>
      <c r="T71" s="15">
        <f t="shared" si="28"/>
        <v>0</v>
      </c>
      <c r="U71" s="14">
        <f t="shared" si="29"/>
        <v>2400</v>
      </c>
      <c r="V71" s="14">
        <f t="shared" si="30"/>
        <v>0</v>
      </c>
    </row>
    <row r="72" spans="1:22" s="13" customFormat="1" ht="29.25">
      <c r="A72" s="19"/>
      <c r="B72" s="18" t="s">
        <v>87</v>
      </c>
      <c r="C72" s="87">
        <v>30000</v>
      </c>
      <c r="D72" s="87">
        <v>30000</v>
      </c>
      <c r="E72" s="16"/>
      <c r="F72" s="16"/>
      <c r="G72" s="16"/>
      <c r="H72" s="17">
        <f t="shared" si="31"/>
        <v>0</v>
      </c>
      <c r="I72" s="16"/>
      <c r="J72" s="16">
        <f>3180+30</f>
        <v>3210</v>
      </c>
      <c r="K72" s="16"/>
      <c r="L72" s="15">
        <f t="shared" si="26"/>
        <v>3210</v>
      </c>
      <c r="M72" s="16"/>
      <c r="N72" s="16"/>
      <c r="O72" s="112">
        <f>3210+4815</f>
        <v>8025</v>
      </c>
      <c r="P72" s="15">
        <f t="shared" si="27"/>
        <v>8025</v>
      </c>
      <c r="Q72" s="16"/>
      <c r="R72" s="112">
        <v>3210</v>
      </c>
      <c r="S72" s="16"/>
      <c r="T72" s="15">
        <f t="shared" si="28"/>
        <v>3210</v>
      </c>
      <c r="U72" s="14">
        <f t="shared" si="29"/>
        <v>14445</v>
      </c>
      <c r="V72" s="14">
        <f t="shared" si="30"/>
        <v>15555</v>
      </c>
    </row>
    <row r="73" spans="1:22" s="13" customFormat="1" ht="31.5" customHeight="1">
      <c r="A73" s="19"/>
      <c r="B73" s="18" t="s">
        <v>88</v>
      </c>
      <c r="C73" s="87">
        <v>30000</v>
      </c>
      <c r="D73" s="87">
        <v>30000</v>
      </c>
      <c r="E73" s="16"/>
      <c r="F73" s="16"/>
      <c r="G73" s="16"/>
      <c r="H73" s="17">
        <f t="shared" si="31"/>
        <v>0</v>
      </c>
      <c r="I73" s="16"/>
      <c r="J73" s="16"/>
      <c r="K73" s="16"/>
      <c r="L73" s="15">
        <f t="shared" si="26"/>
        <v>0</v>
      </c>
      <c r="M73" s="16"/>
      <c r="N73" s="16"/>
      <c r="O73" s="16"/>
      <c r="P73" s="15">
        <f t="shared" si="27"/>
        <v>0</v>
      </c>
      <c r="Q73" s="16"/>
      <c r="R73" s="16"/>
      <c r="S73" s="16"/>
      <c r="T73" s="15">
        <f t="shared" si="28"/>
        <v>0</v>
      </c>
      <c r="U73" s="14">
        <f t="shared" si="29"/>
        <v>0</v>
      </c>
      <c r="V73" s="14">
        <f t="shared" si="30"/>
        <v>30000</v>
      </c>
    </row>
    <row r="74" spans="1:22" s="13" customFormat="1" ht="16.5" customHeight="1">
      <c r="A74" s="19"/>
      <c r="B74" s="18" t="s">
        <v>89</v>
      </c>
      <c r="C74" s="87">
        <v>80000</v>
      </c>
      <c r="D74" s="87">
        <v>80000</v>
      </c>
      <c r="E74" s="16"/>
      <c r="F74" s="16"/>
      <c r="G74" s="16"/>
      <c r="H74" s="17">
        <f t="shared" si="31"/>
        <v>0</v>
      </c>
      <c r="I74" s="16"/>
      <c r="J74" s="16"/>
      <c r="K74" s="16"/>
      <c r="L74" s="15">
        <f t="shared" si="26"/>
        <v>0</v>
      </c>
      <c r="M74" s="16"/>
      <c r="N74" s="16"/>
      <c r="O74" s="16"/>
      <c r="P74" s="15">
        <f t="shared" si="27"/>
        <v>0</v>
      </c>
      <c r="Q74" s="16"/>
      <c r="R74" s="16"/>
      <c r="S74" s="16"/>
      <c r="T74" s="15">
        <f t="shared" si="28"/>
        <v>0</v>
      </c>
      <c r="U74" s="14">
        <f t="shared" si="29"/>
        <v>0</v>
      </c>
      <c r="V74" s="14">
        <f t="shared" si="30"/>
        <v>80000</v>
      </c>
    </row>
    <row r="75" spans="1:22" s="13" customFormat="1" ht="16.5" customHeight="1">
      <c r="A75" s="19"/>
      <c r="B75" s="18" t="s">
        <v>90</v>
      </c>
      <c r="C75" s="87">
        <v>544000</v>
      </c>
      <c r="D75" s="87">
        <v>544000</v>
      </c>
      <c r="E75" s="16"/>
      <c r="F75" s="16"/>
      <c r="G75" s="16"/>
      <c r="H75" s="17">
        <f t="shared" si="31"/>
        <v>0</v>
      </c>
      <c r="I75" s="16">
        <v>1600</v>
      </c>
      <c r="J75" s="16">
        <v>400</v>
      </c>
      <c r="K75" s="16">
        <v>1400</v>
      </c>
      <c r="L75" s="15">
        <f t="shared" si="26"/>
        <v>3400</v>
      </c>
      <c r="M75" s="16">
        <v>1800</v>
      </c>
      <c r="N75" s="16">
        <v>1000</v>
      </c>
      <c r="O75" s="112">
        <v>5000</v>
      </c>
      <c r="P75" s="15">
        <f t="shared" si="27"/>
        <v>7800</v>
      </c>
      <c r="Q75" s="112">
        <v>10000</v>
      </c>
      <c r="R75" s="112">
        <v>10000</v>
      </c>
      <c r="S75" s="112">
        <v>10000</v>
      </c>
      <c r="T75" s="15">
        <f t="shared" si="28"/>
        <v>30000</v>
      </c>
      <c r="U75" s="14">
        <f t="shared" si="29"/>
        <v>41200</v>
      </c>
      <c r="V75" s="14">
        <f t="shared" si="30"/>
        <v>502800</v>
      </c>
    </row>
    <row r="76" spans="1:22" s="13" customFormat="1" ht="16.5" customHeight="1">
      <c r="A76" s="19"/>
      <c r="B76" s="18" t="s">
        <v>91</v>
      </c>
      <c r="C76" s="87">
        <v>272000</v>
      </c>
      <c r="D76" s="87">
        <v>272000</v>
      </c>
      <c r="E76" s="16">
        <f>15400</f>
        <v>15400</v>
      </c>
      <c r="F76" s="16">
        <v>23000</v>
      </c>
      <c r="G76" s="16">
        <v>21200</v>
      </c>
      <c r="H76" s="17">
        <f t="shared" si="31"/>
        <v>59600</v>
      </c>
      <c r="I76" s="16">
        <v>21600</v>
      </c>
      <c r="J76" s="16">
        <v>23200</v>
      </c>
      <c r="K76" s="16">
        <v>17000</v>
      </c>
      <c r="L76" s="15">
        <f t="shared" si="26"/>
        <v>61800</v>
      </c>
      <c r="M76" s="16">
        <v>21800</v>
      </c>
      <c r="N76" s="16">
        <v>14800</v>
      </c>
      <c r="O76" s="112">
        <v>8000</v>
      </c>
      <c r="P76" s="15">
        <f t="shared" si="27"/>
        <v>44600</v>
      </c>
      <c r="Q76" s="112">
        <v>8000</v>
      </c>
      <c r="R76" s="112">
        <v>8000</v>
      </c>
      <c r="S76" s="112">
        <v>7000</v>
      </c>
      <c r="T76" s="15">
        <f t="shared" si="28"/>
        <v>23000</v>
      </c>
      <c r="U76" s="14">
        <f t="shared" si="29"/>
        <v>189000</v>
      </c>
      <c r="V76" s="14">
        <f t="shared" si="30"/>
        <v>83000</v>
      </c>
    </row>
    <row r="77" spans="1:22" s="13" customFormat="1" ht="16.5" customHeight="1">
      <c r="A77" s="19"/>
      <c r="B77" s="18" t="s">
        <v>92</v>
      </c>
      <c r="C77" s="87">
        <v>544000</v>
      </c>
      <c r="D77" s="87">
        <v>494000</v>
      </c>
      <c r="E77" s="16">
        <v>32800</v>
      </c>
      <c r="F77" s="16">
        <v>43600</v>
      </c>
      <c r="G77" s="16">
        <v>42800</v>
      </c>
      <c r="H77" s="17">
        <f t="shared" si="31"/>
        <v>119200</v>
      </c>
      <c r="I77" s="16">
        <v>42800</v>
      </c>
      <c r="J77" s="16">
        <v>46400</v>
      </c>
      <c r="K77" s="16">
        <v>33600</v>
      </c>
      <c r="L77" s="15">
        <f t="shared" si="26"/>
        <v>122800</v>
      </c>
      <c r="M77" s="16">
        <v>43600</v>
      </c>
      <c r="N77" s="16">
        <v>30400</v>
      </c>
      <c r="O77" s="112">
        <v>20000</v>
      </c>
      <c r="P77" s="15">
        <f t="shared" si="27"/>
        <v>94000</v>
      </c>
      <c r="Q77" s="112">
        <v>20000</v>
      </c>
      <c r="R77" s="112">
        <v>12000</v>
      </c>
      <c r="S77" s="112">
        <v>10000</v>
      </c>
      <c r="T77" s="15">
        <f t="shared" si="28"/>
        <v>42000</v>
      </c>
      <c r="U77" s="14">
        <f t="shared" si="29"/>
        <v>378000</v>
      </c>
      <c r="V77" s="14">
        <f t="shared" si="30"/>
        <v>116000</v>
      </c>
    </row>
    <row r="78" spans="1:22" s="13" customFormat="1" ht="19.5">
      <c r="A78" s="19"/>
      <c r="B78" s="18" t="s">
        <v>93</v>
      </c>
      <c r="C78" s="87">
        <v>440000</v>
      </c>
      <c r="D78" s="87">
        <v>290000</v>
      </c>
      <c r="E78" s="16">
        <v>46800</v>
      </c>
      <c r="F78" s="16">
        <v>72400</v>
      </c>
      <c r="G78" s="16">
        <v>52400</v>
      </c>
      <c r="H78" s="17">
        <f t="shared" si="31"/>
        <v>171600</v>
      </c>
      <c r="I78" s="16">
        <v>32800</v>
      </c>
      <c r="J78" s="16">
        <v>39600</v>
      </c>
      <c r="K78" s="16">
        <v>31600</v>
      </c>
      <c r="L78" s="15">
        <f t="shared" si="26"/>
        <v>104000</v>
      </c>
      <c r="M78" s="16">
        <v>41200</v>
      </c>
      <c r="N78" s="16"/>
      <c r="O78" s="16"/>
      <c r="P78" s="15">
        <f t="shared" si="27"/>
        <v>41200</v>
      </c>
      <c r="Q78" s="16"/>
      <c r="R78" s="16"/>
      <c r="S78" s="16"/>
      <c r="T78" s="15">
        <f t="shared" si="28"/>
        <v>0</v>
      </c>
      <c r="U78" s="14">
        <f t="shared" si="29"/>
        <v>316800</v>
      </c>
      <c r="V78" s="17">
        <f t="shared" si="30"/>
        <v>-26800</v>
      </c>
    </row>
    <row r="79" spans="1:22" s="13" customFormat="1" ht="15" customHeight="1">
      <c r="A79" s="19"/>
      <c r="B79" s="18" t="s">
        <v>94</v>
      </c>
      <c r="C79" s="87">
        <v>1632000</v>
      </c>
      <c r="D79" s="87">
        <v>111600</v>
      </c>
      <c r="E79" s="16"/>
      <c r="F79" s="16"/>
      <c r="G79" s="16"/>
      <c r="H79" s="17">
        <f t="shared" si="31"/>
        <v>0</v>
      </c>
      <c r="I79" s="16">
        <v>6000</v>
      </c>
      <c r="J79" s="16">
        <v>1800</v>
      </c>
      <c r="K79" s="16">
        <v>7800</v>
      </c>
      <c r="L79" s="15">
        <f t="shared" si="26"/>
        <v>15600</v>
      </c>
      <c r="M79" s="16">
        <v>3000</v>
      </c>
      <c r="N79" s="16">
        <v>12000</v>
      </c>
      <c r="O79" s="112">
        <v>15000</v>
      </c>
      <c r="P79" s="15">
        <f t="shared" si="27"/>
        <v>30000</v>
      </c>
      <c r="Q79" s="112">
        <v>15000</v>
      </c>
      <c r="R79" s="112">
        <v>24000</v>
      </c>
      <c r="S79" s="112">
        <v>27000</v>
      </c>
      <c r="T79" s="15">
        <f t="shared" si="28"/>
        <v>66000</v>
      </c>
      <c r="U79" s="14">
        <f t="shared" si="29"/>
        <v>111600</v>
      </c>
      <c r="V79" s="14">
        <f t="shared" si="30"/>
        <v>0</v>
      </c>
    </row>
    <row r="80" spans="1:22" s="13" customFormat="1" ht="15" customHeight="1">
      <c r="A80" s="19"/>
      <c r="B80" s="18" t="s">
        <v>95</v>
      </c>
      <c r="C80" s="87">
        <v>80000</v>
      </c>
      <c r="D80" s="87">
        <v>80000</v>
      </c>
      <c r="E80" s="16"/>
      <c r="F80" s="16"/>
      <c r="G80" s="16"/>
      <c r="H80" s="17">
        <f t="shared" si="31"/>
        <v>0</v>
      </c>
      <c r="I80" s="16"/>
      <c r="J80" s="16"/>
      <c r="K80" s="16"/>
      <c r="L80" s="15">
        <f t="shared" si="26"/>
        <v>0</v>
      </c>
      <c r="M80" s="16">
        <f>48807+29478.6+493+278.1</f>
        <v>79056.700000000012</v>
      </c>
      <c r="N80" s="16"/>
      <c r="O80" s="16"/>
      <c r="P80" s="15">
        <f t="shared" si="27"/>
        <v>79056.700000000012</v>
      </c>
      <c r="Q80" s="16"/>
      <c r="R80" s="117">
        <v>79056.7</v>
      </c>
      <c r="S80" s="16"/>
      <c r="T80" s="15">
        <f t="shared" si="28"/>
        <v>79056.7</v>
      </c>
      <c r="U80" s="14">
        <f t="shared" si="29"/>
        <v>158113.40000000002</v>
      </c>
      <c r="V80" s="14">
        <f t="shared" si="30"/>
        <v>-78113.400000000023</v>
      </c>
    </row>
    <row r="81" spans="1:22" s="13" customFormat="1" ht="15" customHeight="1">
      <c r="A81" s="19"/>
      <c r="B81" s="18" t="s">
        <v>96</v>
      </c>
      <c r="C81" s="87">
        <v>100000</v>
      </c>
      <c r="D81" s="87">
        <v>20000</v>
      </c>
      <c r="E81" s="16"/>
      <c r="F81" s="16"/>
      <c r="G81" s="16"/>
      <c r="H81" s="17">
        <f t="shared" si="31"/>
        <v>0</v>
      </c>
      <c r="I81" s="16"/>
      <c r="J81" s="16"/>
      <c r="K81" s="16"/>
      <c r="L81" s="15">
        <f t="shared" si="26"/>
        <v>0</v>
      </c>
      <c r="M81" s="16">
        <v>1000</v>
      </c>
      <c r="N81" s="16"/>
      <c r="O81" s="112">
        <v>2000</v>
      </c>
      <c r="P81" s="15">
        <f t="shared" si="27"/>
        <v>3000</v>
      </c>
      <c r="Q81" s="112">
        <v>2000</v>
      </c>
      <c r="R81" s="112">
        <v>2000</v>
      </c>
      <c r="S81" s="112">
        <v>2000</v>
      </c>
      <c r="T81" s="15">
        <f t="shared" si="28"/>
        <v>6000</v>
      </c>
      <c r="U81" s="14">
        <f t="shared" si="29"/>
        <v>9000</v>
      </c>
      <c r="V81" s="14">
        <f t="shared" si="30"/>
        <v>11000</v>
      </c>
    </row>
    <row r="82" spans="1:22" s="8" customFormat="1" ht="18" customHeight="1">
      <c r="A82" s="152" t="s">
        <v>2</v>
      </c>
      <c r="B82" s="153"/>
      <c r="C82" s="12">
        <f t="shared" ref="C82:V82" si="32">C6+C26+C37+C41+C51+C60+C62+C64</f>
        <v>18313045.109999999</v>
      </c>
      <c r="D82" s="12">
        <f t="shared" si="32"/>
        <v>18313045.109999999</v>
      </c>
      <c r="E82" s="11">
        <f t="shared" si="32"/>
        <v>985983</v>
      </c>
      <c r="F82" s="11">
        <f t="shared" si="32"/>
        <v>1008952.44</v>
      </c>
      <c r="G82" s="11">
        <f t="shared" si="32"/>
        <v>1085142.1299999999</v>
      </c>
      <c r="H82" s="9">
        <f t="shared" si="32"/>
        <v>3080077.57</v>
      </c>
      <c r="I82" s="11">
        <f t="shared" si="32"/>
        <v>987205.39</v>
      </c>
      <c r="J82" s="11">
        <f t="shared" si="32"/>
        <v>1072824.67</v>
      </c>
      <c r="K82" s="11">
        <f t="shared" si="32"/>
        <v>1093370.97</v>
      </c>
      <c r="L82" s="9">
        <f t="shared" si="32"/>
        <v>3153401.03</v>
      </c>
      <c r="M82" s="11">
        <f t="shared" si="32"/>
        <v>1054060.74</v>
      </c>
      <c r="N82" s="11">
        <f t="shared" si="32"/>
        <v>976640.54</v>
      </c>
      <c r="O82" s="11">
        <f t="shared" si="32"/>
        <v>2136596.42</v>
      </c>
      <c r="P82" s="9">
        <f t="shared" si="32"/>
        <v>4167297.6999999997</v>
      </c>
      <c r="Q82" s="11">
        <f t="shared" si="32"/>
        <v>2535108.11</v>
      </c>
      <c r="R82" s="11">
        <f t="shared" si="32"/>
        <v>2031813.7</v>
      </c>
      <c r="S82" s="11">
        <f t="shared" si="32"/>
        <v>1345347</v>
      </c>
      <c r="T82" s="9">
        <f t="shared" si="32"/>
        <v>5912268.8099999996</v>
      </c>
      <c r="U82" s="10">
        <f t="shared" si="32"/>
        <v>16313045.109999999</v>
      </c>
      <c r="V82" s="9">
        <f t="shared" si="32"/>
        <v>2000000.0000000002</v>
      </c>
    </row>
    <row r="83" spans="1:22" ht="17.25" customHeight="1">
      <c r="B83" s="102"/>
      <c r="C83" s="103"/>
      <c r="G83" s="7"/>
      <c r="H83" s="7"/>
      <c r="I83" s="13"/>
      <c r="J83" s="13"/>
    </row>
    <row r="84" spans="1:22" ht="18" customHeight="1">
      <c r="B84" s="68"/>
      <c r="C84" s="103"/>
      <c r="E84" s="7"/>
      <c r="F84" s="7"/>
    </row>
    <row r="85" spans="1:22" ht="17.25" customHeight="1">
      <c r="B85" s="104"/>
      <c r="C85" s="105"/>
    </row>
    <row r="86" spans="1:22" ht="24.95" customHeight="1"/>
    <row r="87" spans="1:22" ht="24.95" customHeight="1"/>
    <row r="92" spans="1:22" ht="68.25">
      <c r="G92" s="86" t="s">
        <v>0</v>
      </c>
      <c r="H92" s="85">
        <v>50000</v>
      </c>
    </row>
    <row r="93" spans="1:22" ht="58.5">
      <c r="G93" s="86" t="s">
        <v>1</v>
      </c>
      <c r="H93" s="85">
        <v>18000</v>
      </c>
    </row>
  </sheetData>
  <mergeCells count="14">
    <mergeCell ref="A1:H1"/>
    <mergeCell ref="E4:H4"/>
    <mergeCell ref="I4:L4"/>
    <mergeCell ref="M4:P4"/>
    <mergeCell ref="Q4:T4"/>
    <mergeCell ref="A6:B6"/>
    <mergeCell ref="A64:B64"/>
    <mergeCell ref="A82:B82"/>
    <mergeCell ref="A26:B26"/>
    <mergeCell ref="A37:B37"/>
    <mergeCell ref="A41:B41"/>
    <mergeCell ref="A51:B51"/>
    <mergeCell ref="A60:B60"/>
    <mergeCell ref="A62:B62"/>
  </mergeCells>
  <printOptions horizontalCentered="1"/>
  <pageMargins left="0.23622047244094491" right="0.23622047244094491" top="0.55118110236220474" bottom="0.35433070866141736" header="0.31496062992125984" footer="0.31496062992125984"/>
  <pageSetup paperSize="9" scale="6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86"/>
  <sheetViews>
    <sheetView tabSelected="1" zoomScale="120" zoomScaleNormal="120" workbookViewId="0">
      <pane xSplit="3" ySplit="5" topLeftCell="I72" activePane="bottomRight" state="frozen"/>
      <selection pane="topRight" activeCell="D1" sqref="D1"/>
      <selection pane="bottomLeft" activeCell="A6" sqref="A6"/>
      <selection pane="bottomRight" activeCell="B20" sqref="B20"/>
    </sheetView>
  </sheetViews>
  <sheetFormatPr defaultRowHeight="9.75"/>
  <cols>
    <col min="1" max="1" width="3.42578125" style="6" customWidth="1"/>
    <col min="2" max="2" width="23.42578125" style="1" customWidth="1"/>
    <col min="3" max="3" width="10.7109375" style="5" customWidth="1"/>
    <col min="4" max="4" width="9.5703125" style="2" bestFit="1" customWidth="1"/>
    <col min="5" max="6" width="9.5703125" style="2" customWidth="1"/>
    <col min="7" max="7" width="9.85546875" style="4" customWidth="1"/>
    <col min="8" max="8" width="9.5703125" style="2" bestFit="1" customWidth="1"/>
    <col min="9" max="10" width="9.5703125" style="2" customWidth="1"/>
    <col min="11" max="11" width="9.5703125" style="4" customWidth="1"/>
    <col min="12" max="14" width="9.5703125" style="2" customWidth="1"/>
    <col min="15" max="15" width="9.5703125" style="4" customWidth="1"/>
    <col min="16" max="18" width="9.5703125" style="2" customWidth="1"/>
    <col min="19" max="19" width="9.5703125" style="3" customWidth="1"/>
    <col min="20" max="20" width="10.7109375" style="2" customWidth="1"/>
    <col min="21" max="21" width="9.28515625" style="2" customWidth="1"/>
    <col min="22" max="22" width="23.42578125" style="1" customWidth="1"/>
    <col min="23" max="23" width="23.140625" style="1" customWidth="1"/>
    <col min="24" max="24" width="22.42578125" style="1" customWidth="1"/>
    <col min="25" max="25" width="17" style="1" customWidth="1"/>
    <col min="26" max="26" width="19.42578125" style="1" customWidth="1"/>
    <col min="27" max="27" width="18.28515625" style="1" customWidth="1"/>
    <col min="28" max="28" width="23" style="1" customWidth="1"/>
    <col min="29" max="16384" width="9.140625" style="1"/>
  </cols>
  <sheetData>
    <row r="1" spans="1:29" s="96" customFormat="1" ht="18" customHeight="1">
      <c r="A1" s="144" t="s">
        <v>127</v>
      </c>
      <c r="B1" s="144"/>
      <c r="C1" s="144"/>
      <c r="D1" s="144"/>
      <c r="E1" s="144"/>
      <c r="F1" s="144"/>
      <c r="G1" s="144"/>
      <c r="H1" s="93"/>
      <c r="I1" s="93"/>
      <c r="J1" s="93"/>
      <c r="K1" s="94"/>
      <c r="L1" s="93"/>
      <c r="M1" s="93"/>
      <c r="N1" s="93"/>
      <c r="O1" s="94"/>
      <c r="P1" s="93"/>
      <c r="Q1" s="93"/>
      <c r="R1" s="93"/>
      <c r="S1" s="94"/>
      <c r="T1" s="95"/>
      <c r="U1" s="93"/>
      <c r="AC1" s="97"/>
    </row>
    <row r="2" spans="1:29" s="96" customFormat="1" ht="15" customHeight="1">
      <c r="A2" s="121" t="s">
        <v>128</v>
      </c>
      <c r="B2" s="98"/>
      <c r="C2" s="99"/>
      <c r="D2" s="93"/>
      <c r="E2" s="93"/>
      <c r="F2" s="93"/>
      <c r="G2" s="101"/>
      <c r="H2" s="93"/>
      <c r="I2" s="93"/>
      <c r="J2" s="93"/>
      <c r="K2" s="94"/>
      <c r="L2" s="93"/>
      <c r="M2" s="93"/>
      <c r="N2" s="93"/>
      <c r="O2" s="94"/>
      <c r="P2" s="93"/>
      <c r="Q2" s="93"/>
      <c r="R2" s="93"/>
      <c r="S2" s="94"/>
      <c r="T2" s="95"/>
      <c r="U2" s="93"/>
      <c r="AC2" s="97"/>
    </row>
    <row r="3" spans="1:29" s="75" customFormat="1" ht="6" customHeight="1">
      <c r="A3" s="84"/>
      <c r="B3" s="83"/>
      <c r="C3" s="82"/>
      <c r="D3" s="77"/>
      <c r="E3" s="77"/>
      <c r="F3" s="77"/>
      <c r="G3" s="80"/>
      <c r="H3" s="77"/>
      <c r="I3" s="77"/>
      <c r="J3" s="77"/>
      <c r="K3" s="79"/>
      <c r="L3" s="77"/>
      <c r="M3" s="77"/>
      <c r="N3" s="77"/>
      <c r="O3" s="79"/>
      <c r="P3" s="77"/>
      <c r="Q3" s="77"/>
      <c r="R3" s="77"/>
      <c r="S3" s="79"/>
      <c r="T3" s="78"/>
      <c r="U3" s="77"/>
      <c r="AC3" s="76"/>
    </row>
    <row r="4" spans="1:29" s="67" customFormat="1" ht="19.5" customHeight="1">
      <c r="A4" s="74"/>
      <c r="B4" s="73"/>
      <c r="C4" s="72"/>
      <c r="D4" s="145" t="s">
        <v>23</v>
      </c>
      <c r="E4" s="146"/>
      <c r="F4" s="146"/>
      <c r="G4" s="147"/>
      <c r="H4" s="148" t="s">
        <v>22</v>
      </c>
      <c r="I4" s="149"/>
      <c r="J4" s="149"/>
      <c r="K4" s="150"/>
      <c r="L4" s="145" t="s">
        <v>21</v>
      </c>
      <c r="M4" s="146"/>
      <c r="N4" s="146"/>
      <c r="O4" s="147"/>
      <c r="P4" s="148" t="s">
        <v>20</v>
      </c>
      <c r="Q4" s="149"/>
      <c r="R4" s="149"/>
      <c r="S4" s="150"/>
      <c r="T4" s="70"/>
      <c r="U4" s="69"/>
      <c r="AC4" s="68"/>
    </row>
    <row r="5" spans="1:29" s="54" customFormat="1" ht="23.25" customHeight="1">
      <c r="A5" s="66"/>
      <c r="B5" s="65" t="s">
        <v>19</v>
      </c>
      <c r="C5" s="64" t="s">
        <v>37</v>
      </c>
      <c r="D5" s="62" t="s">
        <v>99</v>
      </c>
      <c r="E5" s="62" t="s">
        <v>100</v>
      </c>
      <c r="F5" s="62" t="s">
        <v>101</v>
      </c>
      <c r="G5" s="60" t="s">
        <v>17</v>
      </c>
      <c r="H5" s="62" t="s">
        <v>102</v>
      </c>
      <c r="I5" s="62" t="s">
        <v>103</v>
      </c>
      <c r="J5" s="61" t="s">
        <v>104</v>
      </c>
      <c r="K5" s="60" t="s">
        <v>16</v>
      </c>
      <c r="L5" s="61" t="s">
        <v>105</v>
      </c>
      <c r="M5" s="61" t="s">
        <v>106</v>
      </c>
      <c r="N5" s="61" t="s">
        <v>107</v>
      </c>
      <c r="O5" s="60" t="s">
        <v>15</v>
      </c>
      <c r="P5" s="59" t="s">
        <v>108</v>
      </c>
      <c r="Q5" s="56" t="s">
        <v>109</v>
      </c>
      <c r="R5" s="56" t="s">
        <v>110</v>
      </c>
      <c r="S5" s="58" t="s">
        <v>14</v>
      </c>
      <c r="T5" s="57" t="s">
        <v>13</v>
      </c>
      <c r="U5" s="56" t="s">
        <v>12</v>
      </c>
      <c r="AC5" s="55"/>
    </row>
    <row r="6" spans="1:29" s="52" customFormat="1" ht="18" customHeight="1">
      <c r="A6" s="151" t="s">
        <v>11</v>
      </c>
      <c r="B6" s="151"/>
      <c r="C6" s="53">
        <f>SUM(C7:C27)</f>
        <v>10194720</v>
      </c>
      <c r="D6" s="31">
        <f>SUM(D7:D27)</f>
        <v>752740</v>
      </c>
      <c r="E6" s="31">
        <f>SUM(E7:E27)</f>
        <v>780060</v>
      </c>
      <c r="F6" s="31">
        <f>SUM(F7:F27)</f>
        <v>824810</v>
      </c>
      <c r="G6" s="138">
        <f t="shared" ref="G6:G52" si="0">SUM(D6:F6)</f>
        <v>2357610</v>
      </c>
      <c r="H6" s="31">
        <f>SUM(H7:H27)</f>
        <v>807090</v>
      </c>
      <c r="I6" s="31">
        <f>SUM(I7:I27)</f>
        <v>804090</v>
      </c>
      <c r="J6" s="31">
        <f>SUM(J7:J27)</f>
        <v>800170</v>
      </c>
      <c r="K6" s="138">
        <f t="shared" ref="K6:K52" si="1">SUM(H6:J6)</f>
        <v>2411350</v>
      </c>
      <c r="L6" s="31">
        <f>SUM(L7:L27)</f>
        <v>796250</v>
      </c>
      <c r="M6" s="31">
        <f>SUM(M7:M27)</f>
        <v>653720</v>
      </c>
      <c r="N6" s="31">
        <f>SUM(N7:N27)</f>
        <v>844660</v>
      </c>
      <c r="O6" s="138">
        <f t="shared" ref="O6:O52" si="2">SUM(L6:N6)</f>
        <v>2294630</v>
      </c>
      <c r="P6" s="30">
        <f>SUM(P7:P27)</f>
        <v>846620</v>
      </c>
      <c r="Q6" s="30">
        <f>SUM(Q7:Q27)</f>
        <v>848580</v>
      </c>
      <c r="R6" s="30">
        <f>SUM(R7:R27)</f>
        <v>846620</v>
      </c>
      <c r="S6" s="138">
        <f t="shared" ref="S6:S52" si="3">SUM(P6:R6)</f>
        <v>2541820</v>
      </c>
      <c r="T6" s="29">
        <f t="shared" ref="T6:T52" si="4">G6+K6+O6+S6</f>
        <v>9605410</v>
      </c>
      <c r="U6" s="29">
        <f>SUM(U7:U27)</f>
        <v>589310</v>
      </c>
    </row>
    <row r="7" spans="1:29" s="43" customFormat="1" ht="29.25">
      <c r="A7" s="119">
        <v>1</v>
      </c>
      <c r="B7" s="51" t="s">
        <v>129</v>
      </c>
      <c r="C7" s="123">
        <v>1980000</v>
      </c>
      <c r="D7" s="23">
        <f>55000+55000+55000</f>
        <v>165000</v>
      </c>
      <c r="E7" s="23">
        <f>55000*3</f>
        <v>165000</v>
      </c>
      <c r="F7" s="23">
        <v>165000</v>
      </c>
      <c r="G7" s="26">
        <f t="shared" si="0"/>
        <v>495000</v>
      </c>
      <c r="H7" s="23">
        <f t="shared" ref="H7:J7" si="5">55000*3</f>
        <v>165000</v>
      </c>
      <c r="I7" s="23">
        <f t="shared" si="5"/>
        <v>165000</v>
      </c>
      <c r="J7" s="23">
        <f t="shared" si="5"/>
        <v>165000</v>
      </c>
      <c r="K7" s="26">
        <f t="shared" si="1"/>
        <v>495000</v>
      </c>
      <c r="L7" s="23">
        <f t="shared" ref="L7:N7" si="6">55000*3</f>
        <v>165000</v>
      </c>
      <c r="M7" s="23">
        <f t="shared" si="6"/>
        <v>165000</v>
      </c>
      <c r="N7" s="23">
        <f t="shared" si="6"/>
        <v>165000</v>
      </c>
      <c r="O7" s="26">
        <f t="shared" si="2"/>
        <v>495000</v>
      </c>
      <c r="P7" s="23">
        <f t="shared" ref="P7:R7" si="7">55000*3</f>
        <v>165000</v>
      </c>
      <c r="Q7" s="23">
        <f t="shared" si="7"/>
        <v>165000</v>
      </c>
      <c r="R7" s="23">
        <f t="shared" si="7"/>
        <v>165000</v>
      </c>
      <c r="S7" s="26">
        <f t="shared" si="3"/>
        <v>495000</v>
      </c>
      <c r="T7" s="23">
        <f t="shared" si="4"/>
        <v>1980000</v>
      </c>
      <c r="U7" s="23">
        <f>C7-T7</f>
        <v>0</v>
      </c>
    </row>
    <row r="8" spans="1:29" s="43" customFormat="1" ht="48.75">
      <c r="A8" s="119">
        <v>2</v>
      </c>
      <c r="B8" s="45" t="s">
        <v>170</v>
      </c>
      <c r="C8" s="123">
        <v>2258580</v>
      </c>
      <c r="D8" s="23">
        <f>35512*5</f>
        <v>177560</v>
      </c>
      <c r="E8" s="23">
        <f>37643*5</f>
        <v>188215</v>
      </c>
      <c r="F8" s="23">
        <v>198870</v>
      </c>
      <c r="G8" s="26">
        <f t="shared" si="0"/>
        <v>564645</v>
      </c>
      <c r="H8" s="23">
        <f t="shared" ref="H8:J8" si="8">37643*5</f>
        <v>188215</v>
      </c>
      <c r="I8" s="23">
        <f t="shared" si="8"/>
        <v>188215</v>
      </c>
      <c r="J8" s="23">
        <f t="shared" si="8"/>
        <v>188215</v>
      </c>
      <c r="K8" s="26">
        <f t="shared" si="1"/>
        <v>564645</v>
      </c>
      <c r="L8" s="23">
        <f t="shared" ref="L8:N8" si="9">37643*5</f>
        <v>188215</v>
      </c>
      <c r="M8" s="23">
        <f t="shared" si="9"/>
        <v>188215</v>
      </c>
      <c r="N8" s="23">
        <f t="shared" si="9"/>
        <v>188215</v>
      </c>
      <c r="O8" s="26">
        <f t="shared" si="2"/>
        <v>564645</v>
      </c>
      <c r="P8" s="23">
        <f t="shared" ref="P8:R8" si="10">37643*5</f>
        <v>188215</v>
      </c>
      <c r="Q8" s="23">
        <f t="shared" si="10"/>
        <v>188215</v>
      </c>
      <c r="R8" s="23">
        <f t="shared" si="10"/>
        <v>188215</v>
      </c>
      <c r="S8" s="26">
        <f t="shared" si="3"/>
        <v>564645</v>
      </c>
      <c r="T8" s="23">
        <f t="shared" si="4"/>
        <v>2258580</v>
      </c>
      <c r="U8" s="23">
        <f t="shared" ref="U8:U70" si="11">C8-T8</f>
        <v>0</v>
      </c>
    </row>
    <row r="9" spans="1:29" s="43" customFormat="1" ht="19.5">
      <c r="A9" s="119">
        <v>3</v>
      </c>
      <c r="B9" s="45" t="s">
        <v>116</v>
      </c>
      <c r="C9" s="123">
        <v>451716</v>
      </c>
      <c r="D9" s="23">
        <v>35512</v>
      </c>
      <c r="E9" s="23">
        <v>37643</v>
      </c>
      <c r="F9" s="23">
        <v>39774</v>
      </c>
      <c r="G9" s="26">
        <f t="shared" si="0"/>
        <v>112929</v>
      </c>
      <c r="H9" s="23">
        <v>37643</v>
      </c>
      <c r="I9" s="23">
        <v>37643</v>
      </c>
      <c r="J9" s="23">
        <v>37643</v>
      </c>
      <c r="K9" s="26">
        <f t="shared" si="1"/>
        <v>112929</v>
      </c>
      <c r="L9" s="23">
        <v>37643</v>
      </c>
      <c r="M9" s="23">
        <v>37643</v>
      </c>
      <c r="N9" s="23">
        <v>37643</v>
      </c>
      <c r="O9" s="26">
        <f t="shared" si="2"/>
        <v>112929</v>
      </c>
      <c r="P9" s="23">
        <v>37643</v>
      </c>
      <c r="Q9" s="23">
        <v>37643</v>
      </c>
      <c r="R9" s="23">
        <v>37643</v>
      </c>
      <c r="S9" s="26">
        <f t="shared" si="3"/>
        <v>112929</v>
      </c>
      <c r="T9" s="23">
        <f t="shared" si="4"/>
        <v>451716</v>
      </c>
      <c r="U9" s="23">
        <f t="shared" si="11"/>
        <v>0</v>
      </c>
    </row>
    <row r="10" spans="1:29" s="43" customFormat="1" ht="19.5">
      <c r="A10" s="119">
        <v>4</v>
      </c>
      <c r="B10" s="45" t="s">
        <v>117</v>
      </c>
      <c r="C10" s="123">
        <v>343308</v>
      </c>
      <c r="D10" s="23">
        <v>26989</v>
      </c>
      <c r="E10" s="23">
        <v>27609</v>
      </c>
      <c r="F10" s="23">
        <v>28229</v>
      </c>
      <c r="G10" s="26">
        <f t="shared" si="0"/>
        <v>82827</v>
      </c>
      <c r="H10" s="23">
        <v>31609</v>
      </c>
      <c r="I10" s="23">
        <v>28609</v>
      </c>
      <c r="J10" s="23">
        <v>28609</v>
      </c>
      <c r="K10" s="26">
        <f t="shared" si="1"/>
        <v>88827</v>
      </c>
      <c r="L10" s="23">
        <v>28609</v>
      </c>
      <c r="M10" s="23">
        <v>28609</v>
      </c>
      <c r="N10" s="23">
        <v>28609</v>
      </c>
      <c r="O10" s="26">
        <f t="shared" si="2"/>
        <v>85827</v>
      </c>
      <c r="P10" s="23">
        <v>28609</v>
      </c>
      <c r="Q10" s="23">
        <v>28609</v>
      </c>
      <c r="R10" s="23">
        <v>28609</v>
      </c>
      <c r="S10" s="26">
        <f t="shared" si="3"/>
        <v>85827</v>
      </c>
      <c r="T10" s="23">
        <f t="shared" si="4"/>
        <v>343308</v>
      </c>
      <c r="U10" s="23">
        <f t="shared" si="11"/>
        <v>0</v>
      </c>
    </row>
    <row r="11" spans="1:29" s="43" customFormat="1" ht="19.5">
      <c r="A11" s="119">
        <v>5</v>
      </c>
      <c r="B11" s="45" t="s">
        <v>118</v>
      </c>
      <c r="C11" s="123">
        <v>660000</v>
      </c>
      <c r="D11" s="23">
        <v>55000</v>
      </c>
      <c r="E11" s="23">
        <v>55000</v>
      </c>
      <c r="F11" s="23">
        <v>55000</v>
      </c>
      <c r="G11" s="26">
        <f t="shared" si="0"/>
        <v>165000</v>
      </c>
      <c r="H11" s="23">
        <v>55000</v>
      </c>
      <c r="I11" s="23">
        <v>55000</v>
      </c>
      <c r="J11" s="23">
        <v>55000</v>
      </c>
      <c r="K11" s="26">
        <f t="shared" si="1"/>
        <v>165000</v>
      </c>
      <c r="L11" s="23">
        <v>55000</v>
      </c>
      <c r="M11" s="23">
        <v>55000</v>
      </c>
      <c r="N11" s="23">
        <v>55000</v>
      </c>
      <c r="O11" s="26">
        <f t="shared" si="2"/>
        <v>165000</v>
      </c>
      <c r="P11" s="23">
        <v>55000</v>
      </c>
      <c r="Q11" s="23">
        <v>55000</v>
      </c>
      <c r="R11" s="23">
        <v>55000</v>
      </c>
      <c r="S11" s="26">
        <f t="shared" si="3"/>
        <v>165000</v>
      </c>
      <c r="T11" s="23">
        <f t="shared" si="4"/>
        <v>660000</v>
      </c>
      <c r="U11" s="23">
        <f t="shared" si="11"/>
        <v>0</v>
      </c>
    </row>
    <row r="12" spans="1:29" s="43" customFormat="1" ht="19.5">
      <c r="A12" s="119">
        <v>6</v>
      </c>
      <c r="B12" s="45" t="s">
        <v>119</v>
      </c>
      <c r="C12" s="123">
        <v>463836</v>
      </c>
      <c r="D12" s="23">
        <v>38653</v>
      </c>
      <c r="E12" s="23">
        <v>38653</v>
      </c>
      <c r="F12" s="23">
        <v>38653</v>
      </c>
      <c r="G12" s="26">
        <f t="shared" si="0"/>
        <v>115959</v>
      </c>
      <c r="H12" s="23">
        <v>38653</v>
      </c>
      <c r="I12" s="23">
        <v>38653</v>
      </c>
      <c r="J12" s="23">
        <v>38653</v>
      </c>
      <c r="K12" s="26">
        <f t="shared" si="1"/>
        <v>115959</v>
      </c>
      <c r="L12" s="23">
        <v>38653</v>
      </c>
      <c r="M12" s="23">
        <v>38653</v>
      </c>
      <c r="N12" s="23">
        <v>38653</v>
      </c>
      <c r="O12" s="26">
        <f t="shared" si="2"/>
        <v>115959</v>
      </c>
      <c r="P12" s="23">
        <v>38653</v>
      </c>
      <c r="Q12" s="23">
        <v>38653</v>
      </c>
      <c r="R12" s="23">
        <v>38653</v>
      </c>
      <c r="S12" s="26">
        <f t="shared" si="3"/>
        <v>115959</v>
      </c>
      <c r="T12" s="23">
        <f t="shared" si="4"/>
        <v>463836</v>
      </c>
      <c r="U12" s="23">
        <f t="shared" si="11"/>
        <v>0</v>
      </c>
    </row>
    <row r="13" spans="1:29" s="43" customFormat="1" ht="19.5">
      <c r="A13" s="119">
        <v>7</v>
      </c>
      <c r="B13" s="45" t="s">
        <v>120</v>
      </c>
      <c r="C13" s="123">
        <v>237600</v>
      </c>
      <c r="D13" s="23">
        <v>19326</v>
      </c>
      <c r="E13" s="23">
        <v>19800</v>
      </c>
      <c r="F13" s="23">
        <v>20274</v>
      </c>
      <c r="G13" s="26">
        <f t="shared" si="0"/>
        <v>59400</v>
      </c>
      <c r="H13" s="23">
        <v>19800</v>
      </c>
      <c r="I13" s="23">
        <v>19800</v>
      </c>
      <c r="J13" s="23">
        <v>19800</v>
      </c>
      <c r="K13" s="26">
        <f t="shared" si="1"/>
        <v>59400</v>
      </c>
      <c r="L13" s="23">
        <v>19800</v>
      </c>
      <c r="M13" s="23">
        <v>19800</v>
      </c>
      <c r="N13" s="23">
        <v>19800</v>
      </c>
      <c r="O13" s="26">
        <f t="shared" si="2"/>
        <v>59400</v>
      </c>
      <c r="P13" s="23">
        <v>19800</v>
      </c>
      <c r="Q13" s="23">
        <v>19800</v>
      </c>
      <c r="R13" s="23">
        <v>19800</v>
      </c>
      <c r="S13" s="26">
        <f t="shared" si="3"/>
        <v>59400</v>
      </c>
      <c r="T13" s="23">
        <f t="shared" si="4"/>
        <v>237600</v>
      </c>
      <c r="U13" s="23">
        <f t="shared" si="11"/>
        <v>0</v>
      </c>
    </row>
    <row r="14" spans="1:29" s="43" customFormat="1" ht="19.5">
      <c r="A14" s="119">
        <v>8</v>
      </c>
      <c r="B14" s="45" t="s">
        <v>111</v>
      </c>
      <c r="C14" s="123">
        <v>67200</v>
      </c>
      <c r="D14" s="23">
        <v>5600</v>
      </c>
      <c r="E14" s="23">
        <v>5600</v>
      </c>
      <c r="F14" s="23">
        <v>5600</v>
      </c>
      <c r="G14" s="26">
        <f t="shared" si="0"/>
        <v>16800</v>
      </c>
      <c r="H14" s="23">
        <f t="shared" ref="H14:J14" si="12">67200/12</f>
        <v>5600</v>
      </c>
      <c r="I14" s="23">
        <f t="shared" si="12"/>
        <v>5600</v>
      </c>
      <c r="J14" s="23">
        <f t="shared" si="12"/>
        <v>5600</v>
      </c>
      <c r="K14" s="26">
        <f t="shared" si="1"/>
        <v>16800</v>
      </c>
      <c r="L14" s="23">
        <f t="shared" ref="L14:N14" si="13">67200/12</f>
        <v>5600</v>
      </c>
      <c r="M14" s="23">
        <f t="shared" si="13"/>
        <v>5600</v>
      </c>
      <c r="N14" s="23">
        <f t="shared" si="13"/>
        <v>5600</v>
      </c>
      <c r="O14" s="26">
        <f t="shared" si="2"/>
        <v>16800</v>
      </c>
      <c r="P14" s="23">
        <f t="shared" ref="P14:R14" si="14">67200/12</f>
        <v>5600</v>
      </c>
      <c r="Q14" s="23">
        <f t="shared" si="14"/>
        <v>5600</v>
      </c>
      <c r="R14" s="23">
        <f t="shared" si="14"/>
        <v>5600</v>
      </c>
      <c r="S14" s="26">
        <f t="shared" si="3"/>
        <v>16800</v>
      </c>
      <c r="T14" s="23">
        <f t="shared" si="4"/>
        <v>67200</v>
      </c>
      <c r="U14" s="23">
        <f t="shared" si="11"/>
        <v>0</v>
      </c>
    </row>
    <row r="15" spans="1:29" s="43" customFormat="1" ht="19.5">
      <c r="A15" s="119">
        <v>9</v>
      </c>
      <c r="B15" s="45" t="s">
        <v>121</v>
      </c>
      <c r="C15" s="123">
        <v>120000</v>
      </c>
      <c r="D15" s="23">
        <v>10000</v>
      </c>
      <c r="E15" s="23">
        <v>10000</v>
      </c>
      <c r="F15" s="23">
        <v>10000</v>
      </c>
      <c r="G15" s="26">
        <f t="shared" si="0"/>
        <v>30000</v>
      </c>
      <c r="H15" s="23">
        <f t="shared" ref="H15:J16" si="15">120000/12</f>
        <v>10000</v>
      </c>
      <c r="I15" s="23">
        <f t="shared" si="15"/>
        <v>10000</v>
      </c>
      <c r="J15" s="23">
        <f t="shared" si="15"/>
        <v>10000</v>
      </c>
      <c r="K15" s="26">
        <f t="shared" si="1"/>
        <v>30000</v>
      </c>
      <c r="L15" s="23">
        <f t="shared" ref="L15:N16" si="16">120000/12</f>
        <v>10000</v>
      </c>
      <c r="M15" s="23">
        <f t="shared" si="16"/>
        <v>10000</v>
      </c>
      <c r="N15" s="23">
        <f t="shared" si="16"/>
        <v>10000</v>
      </c>
      <c r="O15" s="26">
        <f t="shared" si="2"/>
        <v>30000</v>
      </c>
      <c r="P15" s="23">
        <f t="shared" ref="P15:R16" si="17">120000/12</f>
        <v>10000</v>
      </c>
      <c r="Q15" s="23">
        <f t="shared" si="17"/>
        <v>10000</v>
      </c>
      <c r="R15" s="23">
        <f t="shared" si="17"/>
        <v>10000</v>
      </c>
      <c r="S15" s="26">
        <f t="shared" si="3"/>
        <v>30000</v>
      </c>
      <c r="T15" s="23">
        <f t="shared" si="4"/>
        <v>120000</v>
      </c>
      <c r="U15" s="23">
        <f t="shared" si="11"/>
        <v>0</v>
      </c>
    </row>
    <row r="16" spans="1:29" s="43" customFormat="1" ht="19.5">
      <c r="A16" s="119">
        <v>10</v>
      </c>
      <c r="B16" s="45" t="s">
        <v>112</v>
      </c>
      <c r="C16" s="123">
        <v>120000</v>
      </c>
      <c r="D16" s="23">
        <v>10000</v>
      </c>
      <c r="E16" s="23">
        <v>10000</v>
      </c>
      <c r="F16" s="23">
        <v>10000</v>
      </c>
      <c r="G16" s="26">
        <f t="shared" si="0"/>
        <v>30000</v>
      </c>
      <c r="H16" s="23">
        <f t="shared" si="15"/>
        <v>10000</v>
      </c>
      <c r="I16" s="23">
        <f t="shared" si="15"/>
        <v>10000</v>
      </c>
      <c r="J16" s="23">
        <f t="shared" si="15"/>
        <v>10000</v>
      </c>
      <c r="K16" s="26">
        <f t="shared" si="1"/>
        <v>30000</v>
      </c>
      <c r="L16" s="23">
        <f t="shared" si="16"/>
        <v>10000</v>
      </c>
      <c r="M16" s="23">
        <f t="shared" si="16"/>
        <v>10000</v>
      </c>
      <c r="N16" s="23">
        <f t="shared" si="16"/>
        <v>10000</v>
      </c>
      <c r="O16" s="26">
        <f t="shared" si="2"/>
        <v>30000</v>
      </c>
      <c r="P16" s="23">
        <f t="shared" si="17"/>
        <v>10000</v>
      </c>
      <c r="Q16" s="23">
        <f t="shared" si="17"/>
        <v>10000</v>
      </c>
      <c r="R16" s="23">
        <f t="shared" si="17"/>
        <v>10000</v>
      </c>
      <c r="S16" s="26">
        <f t="shared" si="3"/>
        <v>30000</v>
      </c>
      <c r="T16" s="23">
        <f t="shared" si="4"/>
        <v>120000</v>
      </c>
      <c r="U16" s="23">
        <f t="shared" si="11"/>
        <v>0</v>
      </c>
    </row>
    <row r="17" spans="1:21" s="43" customFormat="1" ht="39">
      <c r="A17" s="119">
        <v>11</v>
      </c>
      <c r="B17" s="45" t="s">
        <v>122</v>
      </c>
      <c r="C17" s="123">
        <v>480000</v>
      </c>
      <c r="D17" s="23">
        <f>10000*4</f>
        <v>40000</v>
      </c>
      <c r="E17" s="23">
        <f>10000*4</f>
        <v>40000</v>
      </c>
      <c r="F17" s="23">
        <v>40000</v>
      </c>
      <c r="G17" s="26">
        <f t="shared" si="0"/>
        <v>120000</v>
      </c>
      <c r="H17" s="23">
        <f t="shared" ref="H17:J17" si="18">10000*4</f>
        <v>40000</v>
      </c>
      <c r="I17" s="23">
        <f t="shared" si="18"/>
        <v>40000</v>
      </c>
      <c r="J17" s="23">
        <f t="shared" si="18"/>
        <v>40000</v>
      </c>
      <c r="K17" s="26">
        <f t="shared" si="1"/>
        <v>120000</v>
      </c>
      <c r="L17" s="23">
        <f t="shared" ref="L17:N17" si="19">10000*4</f>
        <v>40000</v>
      </c>
      <c r="M17" s="23">
        <f t="shared" si="19"/>
        <v>40000</v>
      </c>
      <c r="N17" s="23">
        <f t="shared" si="19"/>
        <v>40000</v>
      </c>
      <c r="O17" s="26">
        <f t="shared" si="2"/>
        <v>120000</v>
      </c>
      <c r="P17" s="23">
        <f t="shared" ref="P17:R17" si="20">10000*4</f>
        <v>40000</v>
      </c>
      <c r="Q17" s="23">
        <f t="shared" si="20"/>
        <v>40000</v>
      </c>
      <c r="R17" s="23">
        <f t="shared" si="20"/>
        <v>40000</v>
      </c>
      <c r="S17" s="26">
        <f t="shared" si="3"/>
        <v>120000</v>
      </c>
      <c r="T17" s="23">
        <f t="shared" si="4"/>
        <v>480000</v>
      </c>
      <c r="U17" s="23">
        <f t="shared" si="11"/>
        <v>0</v>
      </c>
    </row>
    <row r="18" spans="1:21" s="43" customFormat="1" ht="44.25" customHeight="1">
      <c r="A18" s="119">
        <v>12</v>
      </c>
      <c r="B18" s="45" t="s">
        <v>172</v>
      </c>
      <c r="C18" s="123">
        <v>360000</v>
      </c>
      <c r="D18" s="23">
        <f>10000*3</f>
        <v>30000</v>
      </c>
      <c r="E18" s="23">
        <f>10000*3</f>
        <v>30000</v>
      </c>
      <c r="F18" s="23">
        <v>30000</v>
      </c>
      <c r="G18" s="26">
        <f t="shared" si="0"/>
        <v>90000</v>
      </c>
      <c r="H18" s="23">
        <f t="shared" ref="H18:J18" si="21">10000*3</f>
        <v>30000</v>
      </c>
      <c r="I18" s="23">
        <f t="shared" si="21"/>
        <v>30000</v>
      </c>
      <c r="J18" s="23">
        <f t="shared" si="21"/>
        <v>30000</v>
      </c>
      <c r="K18" s="26">
        <f t="shared" si="1"/>
        <v>90000</v>
      </c>
      <c r="L18" s="23">
        <f t="shared" ref="L18:N18" si="22">10000*3</f>
        <v>30000</v>
      </c>
      <c r="M18" s="23">
        <f t="shared" si="22"/>
        <v>30000</v>
      </c>
      <c r="N18" s="23">
        <f t="shared" si="22"/>
        <v>30000</v>
      </c>
      <c r="O18" s="26">
        <f t="shared" si="2"/>
        <v>90000</v>
      </c>
      <c r="P18" s="23">
        <f t="shared" ref="P18:R18" si="23">10000*3</f>
        <v>30000</v>
      </c>
      <c r="Q18" s="23">
        <f t="shared" si="23"/>
        <v>30000</v>
      </c>
      <c r="R18" s="23">
        <f t="shared" si="23"/>
        <v>30000</v>
      </c>
      <c r="S18" s="26">
        <f t="shared" si="3"/>
        <v>90000</v>
      </c>
      <c r="T18" s="23">
        <f t="shared" si="4"/>
        <v>360000</v>
      </c>
      <c r="U18" s="23">
        <f t="shared" si="11"/>
        <v>0</v>
      </c>
    </row>
    <row r="19" spans="1:21" s="43" customFormat="1" ht="51.75" customHeight="1">
      <c r="A19" s="119">
        <v>13</v>
      </c>
      <c r="B19" s="45" t="s">
        <v>171</v>
      </c>
      <c r="C19" s="123">
        <v>351680</v>
      </c>
      <c r="D19" s="23">
        <f>5040*5</f>
        <v>25200</v>
      </c>
      <c r="E19" s="23">
        <f>5040*5</f>
        <v>25200</v>
      </c>
      <c r="F19" s="23">
        <v>25200</v>
      </c>
      <c r="G19" s="26">
        <f t="shared" si="0"/>
        <v>75600</v>
      </c>
      <c r="H19" s="23">
        <f t="shared" ref="H19:J19" si="24">5040*5</f>
        <v>25200</v>
      </c>
      <c r="I19" s="23">
        <f t="shared" si="24"/>
        <v>25200</v>
      </c>
      <c r="J19" s="23">
        <f t="shared" si="24"/>
        <v>25200</v>
      </c>
      <c r="K19" s="26">
        <f t="shared" si="1"/>
        <v>75600</v>
      </c>
      <c r="L19" s="23">
        <f t="shared" ref="L19:M19" si="25">5040*5</f>
        <v>25200</v>
      </c>
      <c r="M19" s="23">
        <f t="shared" si="25"/>
        <v>25200</v>
      </c>
      <c r="N19" s="23">
        <f>5040*5+6160*2</f>
        <v>37520</v>
      </c>
      <c r="O19" s="26">
        <f t="shared" si="2"/>
        <v>87920</v>
      </c>
      <c r="P19" s="23">
        <f t="shared" ref="P19:R19" si="26">5040*5+6160*2</f>
        <v>37520</v>
      </c>
      <c r="Q19" s="23">
        <f t="shared" si="26"/>
        <v>37520</v>
      </c>
      <c r="R19" s="23">
        <f t="shared" si="26"/>
        <v>37520</v>
      </c>
      <c r="S19" s="26">
        <f t="shared" si="3"/>
        <v>112560</v>
      </c>
      <c r="T19" s="23">
        <f t="shared" si="4"/>
        <v>351680</v>
      </c>
      <c r="U19" s="23">
        <f t="shared" si="11"/>
        <v>0</v>
      </c>
    </row>
    <row r="20" spans="1:21" s="43" customFormat="1" ht="39">
      <c r="A20" s="119">
        <v>14</v>
      </c>
      <c r="B20" s="45" t="s">
        <v>131</v>
      </c>
      <c r="C20" s="123">
        <v>260640</v>
      </c>
      <c r="D20" s="23"/>
      <c r="E20" s="23">
        <f>980+980+1470</f>
        <v>3430</v>
      </c>
      <c r="F20" s="23">
        <f>5880+3920</f>
        <v>9800</v>
      </c>
      <c r="G20" s="26">
        <f t="shared" si="0"/>
        <v>13230</v>
      </c>
      <c r="H20" s="23">
        <v>5880</v>
      </c>
      <c r="I20" s="23">
        <v>5880</v>
      </c>
      <c r="J20" s="23">
        <v>5880</v>
      </c>
      <c r="K20" s="26">
        <f t="shared" si="1"/>
        <v>17640</v>
      </c>
      <c r="L20" s="23">
        <v>5880</v>
      </c>
      <c r="M20" s="23"/>
      <c r="N20" s="23">
        <v>27600</v>
      </c>
      <c r="O20" s="26">
        <f t="shared" si="2"/>
        <v>33480</v>
      </c>
      <c r="P20" s="23">
        <v>27600</v>
      </c>
      <c r="Q20" s="23">
        <v>27600</v>
      </c>
      <c r="R20" s="23">
        <v>27600</v>
      </c>
      <c r="S20" s="26">
        <f t="shared" si="3"/>
        <v>82800</v>
      </c>
      <c r="T20" s="23">
        <f t="shared" si="4"/>
        <v>147150</v>
      </c>
      <c r="U20" s="23">
        <f t="shared" si="11"/>
        <v>113490</v>
      </c>
    </row>
    <row r="21" spans="1:21" s="43" customFormat="1" ht="48.75" customHeight="1">
      <c r="A21" s="119">
        <v>15</v>
      </c>
      <c r="B21" s="45" t="s">
        <v>132</v>
      </c>
      <c r="C21" s="123">
        <v>260640</v>
      </c>
      <c r="D21" s="23"/>
      <c r="E21" s="23">
        <f>1470+1470+1470</f>
        <v>4410</v>
      </c>
      <c r="F21" s="23">
        <f>17150+11760</f>
        <v>28910</v>
      </c>
      <c r="G21" s="26">
        <f t="shared" si="0"/>
        <v>33320</v>
      </c>
      <c r="H21" s="23">
        <v>17150</v>
      </c>
      <c r="I21" s="23">
        <v>17150</v>
      </c>
      <c r="J21" s="23">
        <v>17150</v>
      </c>
      <c r="K21" s="26">
        <f t="shared" si="1"/>
        <v>51450</v>
      </c>
      <c r="L21" s="23">
        <v>17150</v>
      </c>
      <c r="M21" s="23"/>
      <c r="N21" s="23">
        <v>27600</v>
      </c>
      <c r="O21" s="26">
        <f t="shared" si="2"/>
        <v>44750</v>
      </c>
      <c r="P21" s="23">
        <v>27600</v>
      </c>
      <c r="Q21" s="23">
        <v>27600</v>
      </c>
      <c r="R21" s="23">
        <v>27600</v>
      </c>
      <c r="S21" s="26">
        <f t="shared" si="3"/>
        <v>82800</v>
      </c>
      <c r="T21" s="23">
        <f t="shared" si="4"/>
        <v>212320</v>
      </c>
      <c r="U21" s="23">
        <f t="shared" si="11"/>
        <v>48320</v>
      </c>
    </row>
    <row r="22" spans="1:21" s="43" customFormat="1" ht="58.5" customHeight="1">
      <c r="A22" s="119">
        <v>16</v>
      </c>
      <c r="B22" s="45" t="s">
        <v>133</v>
      </c>
      <c r="C22" s="123">
        <v>739200</v>
      </c>
      <c r="D22" s="23">
        <f>5600*11</f>
        <v>61600</v>
      </c>
      <c r="E22" s="23">
        <f>5600*12</f>
        <v>67200</v>
      </c>
      <c r="F22" s="23">
        <v>67200</v>
      </c>
      <c r="G22" s="26">
        <f t="shared" si="0"/>
        <v>196000</v>
      </c>
      <c r="H22" s="23">
        <v>67200</v>
      </c>
      <c r="I22" s="23">
        <v>67200</v>
      </c>
      <c r="J22" s="23">
        <v>67200</v>
      </c>
      <c r="K22" s="26">
        <f t="shared" si="1"/>
        <v>201600</v>
      </c>
      <c r="L22" s="23">
        <v>67200</v>
      </c>
      <c r="M22" s="23"/>
      <c r="N22" s="23">
        <v>67200</v>
      </c>
      <c r="O22" s="26">
        <f t="shared" si="2"/>
        <v>134400</v>
      </c>
      <c r="P22" s="23">
        <v>67200</v>
      </c>
      <c r="Q22" s="23">
        <v>67200</v>
      </c>
      <c r="R22" s="23">
        <v>67200</v>
      </c>
      <c r="S22" s="26">
        <f t="shared" si="3"/>
        <v>201600</v>
      </c>
      <c r="T22" s="23">
        <f t="shared" si="4"/>
        <v>733600</v>
      </c>
      <c r="U22" s="23">
        <f t="shared" si="11"/>
        <v>5600</v>
      </c>
    </row>
    <row r="23" spans="1:21" s="43" customFormat="1" ht="48.75">
      <c r="A23" s="119">
        <v>17</v>
      </c>
      <c r="B23" s="45" t="s">
        <v>169</v>
      </c>
      <c r="C23" s="123">
        <v>470400</v>
      </c>
      <c r="D23" s="23">
        <f>4900*6</f>
        <v>29400</v>
      </c>
      <c r="E23" s="23">
        <f>4900*6</f>
        <v>29400</v>
      </c>
      <c r="F23" s="23">
        <v>29400</v>
      </c>
      <c r="G23" s="26">
        <f t="shared" si="0"/>
        <v>88200</v>
      </c>
      <c r="H23" s="23">
        <v>29400</v>
      </c>
      <c r="I23" s="23">
        <v>29400</v>
      </c>
      <c r="J23" s="23">
        <v>29400</v>
      </c>
      <c r="K23" s="26">
        <f t="shared" si="1"/>
        <v>88200</v>
      </c>
      <c r="L23" s="23">
        <v>29400</v>
      </c>
      <c r="M23" s="23"/>
      <c r="N23" s="23">
        <v>29400</v>
      </c>
      <c r="O23" s="26">
        <f t="shared" si="2"/>
        <v>58800</v>
      </c>
      <c r="P23" s="23">
        <v>29400</v>
      </c>
      <c r="Q23" s="23">
        <v>29400</v>
      </c>
      <c r="R23" s="23">
        <v>29400</v>
      </c>
      <c r="S23" s="24">
        <f t="shared" si="3"/>
        <v>88200</v>
      </c>
      <c r="T23" s="23">
        <f t="shared" si="4"/>
        <v>323400</v>
      </c>
      <c r="U23" s="23">
        <f t="shared" si="11"/>
        <v>147000</v>
      </c>
    </row>
    <row r="24" spans="1:21" s="43" customFormat="1" ht="60" customHeight="1">
      <c r="A24" s="119">
        <v>18</v>
      </c>
      <c r="B24" s="45" t="s">
        <v>134</v>
      </c>
      <c r="C24" s="123">
        <v>274800</v>
      </c>
      <c r="D24" s="23">
        <f>6000*3+4900</f>
        <v>22900</v>
      </c>
      <c r="E24" s="23">
        <f>6000*3+4900</f>
        <v>22900</v>
      </c>
      <c r="F24" s="23">
        <v>22900</v>
      </c>
      <c r="G24" s="26">
        <f t="shared" si="0"/>
        <v>68700</v>
      </c>
      <c r="H24" s="23">
        <f t="shared" ref="H24:J24" si="27">6000*3+4900</f>
        <v>22900</v>
      </c>
      <c r="I24" s="23">
        <f t="shared" si="27"/>
        <v>22900</v>
      </c>
      <c r="J24" s="23">
        <f t="shared" si="27"/>
        <v>22900</v>
      </c>
      <c r="K24" s="26">
        <f t="shared" si="1"/>
        <v>68700</v>
      </c>
      <c r="L24" s="23">
        <f t="shared" ref="L24:N24" si="28">6000*3+4900</f>
        <v>22900</v>
      </c>
      <c r="M24" s="23"/>
      <c r="N24" s="23">
        <f t="shared" si="28"/>
        <v>22900</v>
      </c>
      <c r="O24" s="26">
        <f t="shared" si="2"/>
        <v>45800</v>
      </c>
      <c r="P24" s="23">
        <f t="shared" ref="P24:R24" si="29">6000*3+4900</f>
        <v>22900</v>
      </c>
      <c r="Q24" s="23">
        <f t="shared" si="29"/>
        <v>22900</v>
      </c>
      <c r="R24" s="23">
        <f t="shared" si="29"/>
        <v>22900</v>
      </c>
      <c r="S24" s="26">
        <f t="shared" si="3"/>
        <v>68700</v>
      </c>
      <c r="T24" s="23">
        <f t="shared" si="4"/>
        <v>251900</v>
      </c>
      <c r="U24" s="23">
        <f t="shared" si="11"/>
        <v>22900</v>
      </c>
    </row>
    <row r="25" spans="1:21" s="43" customFormat="1" ht="52.5" customHeight="1">
      <c r="A25" s="119">
        <v>19</v>
      </c>
      <c r="B25" s="45" t="s">
        <v>135</v>
      </c>
      <c r="C25" s="123">
        <v>252000</v>
      </c>
      <c r="D25" s="23"/>
      <c r="E25" s="23"/>
      <c r="F25" s="23"/>
      <c r="G25" s="26">
        <f t="shared" ref="G25:G27" si="30">SUM(D25:F25)</f>
        <v>0</v>
      </c>
      <c r="H25" s="23"/>
      <c r="I25" s="23"/>
      <c r="J25" s="23"/>
      <c r="K25" s="26">
        <f t="shared" ref="K25:K27" si="31">SUM(H25:J25)</f>
        <v>0</v>
      </c>
      <c r="L25" s="23"/>
      <c r="M25" s="23"/>
      <c r="N25" s="23"/>
      <c r="O25" s="26">
        <f t="shared" ref="O25:O27" si="32">SUM(L25:N25)</f>
        <v>0</v>
      </c>
      <c r="P25" s="23"/>
      <c r="Q25" s="23"/>
      <c r="R25" s="23"/>
      <c r="S25" s="26">
        <f t="shared" ref="S25:S27" si="33">SUM(P25:R25)</f>
        <v>0</v>
      </c>
      <c r="T25" s="23">
        <f t="shared" ref="T25:T27" si="34">G25+K25+O25+S25</f>
        <v>0</v>
      </c>
      <c r="U25" s="23">
        <f t="shared" ref="U25:U27" si="35">C25-T25</f>
        <v>252000</v>
      </c>
    </row>
    <row r="26" spans="1:21" s="43" customFormat="1" ht="29.25" customHeight="1">
      <c r="A26" s="119">
        <v>20</v>
      </c>
      <c r="B26" s="51" t="s">
        <v>160</v>
      </c>
      <c r="C26" s="129">
        <v>21560</v>
      </c>
      <c r="D26" s="23"/>
      <c r="E26" s="23"/>
      <c r="F26" s="23"/>
      <c r="G26" s="26">
        <f t="shared" si="30"/>
        <v>0</v>
      </c>
      <c r="H26" s="23">
        <v>3920</v>
      </c>
      <c r="I26" s="23">
        <v>3920</v>
      </c>
      <c r="J26" s="23">
        <v>3920</v>
      </c>
      <c r="K26" s="26">
        <f t="shared" si="31"/>
        <v>11760</v>
      </c>
      <c r="L26" s="23"/>
      <c r="M26" s="23"/>
      <c r="N26" s="23"/>
      <c r="O26" s="26">
        <f t="shared" si="32"/>
        <v>0</v>
      </c>
      <c r="P26" s="23">
        <v>1960</v>
      </c>
      <c r="Q26" s="23">
        <v>3920</v>
      </c>
      <c r="R26" s="23">
        <v>3920</v>
      </c>
      <c r="S26" s="26">
        <f t="shared" si="33"/>
        <v>9800</v>
      </c>
      <c r="T26" s="23">
        <f t="shared" si="34"/>
        <v>21560</v>
      </c>
      <c r="U26" s="23">
        <f t="shared" si="35"/>
        <v>0</v>
      </c>
    </row>
    <row r="27" spans="1:21" s="43" customFormat="1" ht="29.25" customHeight="1">
      <c r="A27" s="119">
        <v>21</v>
      </c>
      <c r="B27" s="51" t="s">
        <v>161</v>
      </c>
      <c r="C27" s="129">
        <v>21560</v>
      </c>
      <c r="D27" s="23"/>
      <c r="E27" s="23"/>
      <c r="F27" s="23"/>
      <c r="G27" s="26">
        <f t="shared" si="30"/>
        <v>0</v>
      </c>
      <c r="H27" s="23">
        <v>3920</v>
      </c>
      <c r="I27" s="23">
        <v>3920</v>
      </c>
      <c r="J27" s="23"/>
      <c r="K27" s="26">
        <f t="shared" si="31"/>
        <v>7840</v>
      </c>
      <c r="L27" s="23"/>
      <c r="M27" s="23"/>
      <c r="N27" s="23">
        <v>3920</v>
      </c>
      <c r="O27" s="26">
        <f t="shared" si="32"/>
        <v>3920</v>
      </c>
      <c r="P27" s="23">
        <v>3920</v>
      </c>
      <c r="Q27" s="23">
        <v>3920</v>
      </c>
      <c r="R27" s="23">
        <v>1960</v>
      </c>
      <c r="S27" s="26">
        <f t="shared" si="33"/>
        <v>9800</v>
      </c>
      <c r="T27" s="23">
        <f t="shared" si="34"/>
        <v>21560</v>
      </c>
      <c r="U27" s="23">
        <f t="shared" si="35"/>
        <v>0</v>
      </c>
    </row>
    <row r="28" spans="1:21" s="89" customFormat="1" ht="18" customHeight="1">
      <c r="A28" s="151" t="s">
        <v>10</v>
      </c>
      <c r="B28" s="151"/>
      <c r="C28" s="53">
        <f>SUM(C29:C36)</f>
        <v>143000</v>
      </c>
      <c r="D28" s="38">
        <f>SUM(D29:D36)</f>
        <v>9750</v>
      </c>
      <c r="E28" s="38">
        <f>SUM(E29:E36)</f>
        <v>9750</v>
      </c>
      <c r="F28" s="38">
        <f>SUM(F29:F36)</f>
        <v>9750</v>
      </c>
      <c r="G28" s="138">
        <f t="shared" si="0"/>
        <v>29250</v>
      </c>
      <c r="H28" s="38">
        <f>SUM(H29:H36)</f>
        <v>9750</v>
      </c>
      <c r="I28" s="38">
        <f>SUM(I29:I36)</f>
        <v>9750</v>
      </c>
      <c r="J28" s="38">
        <f>SUM(J29:J36)</f>
        <v>9750</v>
      </c>
      <c r="K28" s="138">
        <f t="shared" si="1"/>
        <v>29250</v>
      </c>
      <c r="L28" s="38">
        <f>SUM(L29:L36)</f>
        <v>9750</v>
      </c>
      <c r="M28" s="38">
        <f>SUM(M29:M36)</f>
        <v>9750</v>
      </c>
      <c r="N28" s="38">
        <f>SUM(N29:N36)</f>
        <v>9750</v>
      </c>
      <c r="O28" s="138">
        <f t="shared" si="2"/>
        <v>29250</v>
      </c>
      <c r="P28" s="50">
        <f>SUM(P29:P36)</f>
        <v>9750</v>
      </c>
      <c r="Q28" s="50">
        <f>SUM(Q29:Q36)</f>
        <v>9750</v>
      </c>
      <c r="R28" s="50">
        <f>SUM(R29:R36)</f>
        <v>35750</v>
      </c>
      <c r="S28" s="138">
        <f t="shared" si="3"/>
        <v>55250</v>
      </c>
      <c r="T28" s="29">
        <f t="shared" si="4"/>
        <v>143000</v>
      </c>
      <c r="U28" s="29">
        <f>SUM(U29:U36)</f>
        <v>0</v>
      </c>
    </row>
    <row r="29" spans="1:21" s="42" customFormat="1" ht="29.25">
      <c r="A29" s="120">
        <v>1</v>
      </c>
      <c r="B29" s="51" t="s">
        <v>129</v>
      </c>
      <c r="C29" s="124">
        <v>27000</v>
      </c>
      <c r="D29" s="39">
        <f>750*3</f>
        <v>2250</v>
      </c>
      <c r="E29" s="39">
        <f>750*3</f>
        <v>2250</v>
      </c>
      <c r="F29" s="39">
        <f>750*3</f>
        <v>2250</v>
      </c>
      <c r="G29" s="17">
        <f t="shared" si="0"/>
        <v>6750</v>
      </c>
      <c r="H29" s="39">
        <f t="shared" ref="H29:J29" si="36">750*3</f>
        <v>2250</v>
      </c>
      <c r="I29" s="39">
        <f t="shared" si="36"/>
        <v>2250</v>
      </c>
      <c r="J29" s="39">
        <f t="shared" si="36"/>
        <v>2250</v>
      </c>
      <c r="K29" s="17">
        <f t="shared" si="1"/>
        <v>6750</v>
      </c>
      <c r="L29" s="39">
        <f t="shared" ref="L29:N29" si="37">750*3</f>
        <v>2250</v>
      </c>
      <c r="M29" s="39">
        <f t="shared" si="37"/>
        <v>2250</v>
      </c>
      <c r="N29" s="39">
        <f t="shared" si="37"/>
        <v>2250</v>
      </c>
      <c r="O29" s="17">
        <f t="shared" si="2"/>
        <v>6750</v>
      </c>
      <c r="P29" s="39">
        <f t="shared" ref="P29:R29" si="38">750*3</f>
        <v>2250</v>
      </c>
      <c r="Q29" s="39">
        <f t="shared" si="38"/>
        <v>2250</v>
      </c>
      <c r="R29" s="39">
        <f t="shared" si="38"/>
        <v>2250</v>
      </c>
      <c r="S29" s="17">
        <f t="shared" si="3"/>
        <v>6750</v>
      </c>
      <c r="T29" s="14">
        <f t="shared" si="4"/>
        <v>27000</v>
      </c>
      <c r="U29" s="23">
        <f t="shared" si="11"/>
        <v>0</v>
      </c>
    </row>
    <row r="30" spans="1:21" s="42" customFormat="1" ht="39">
      <c r="A30" s="120">
        <v>2</v>
      </c>
      <c r="B30" s="45" t="s">
        <v>130</v>
      </c>
      <c r="C30" s="124">
        <v>45000</v>
      </c>
      <c r="D30" s="39">
        <f>750*5</f>
        <v>3750</v>
      </c>
      <c r="E30" s="39">
        <f>750*5</f>
        <v>3750</v>
      </c>
      <c r="F30" s="39">
        <f>750*5</f>
        <v>3750</v>
      </c>
      <c r="G30" s="17">
        <f t="shared" si="0"/>
        <v>11250</v>
      </c>
      <c r="H30" s="39">
        <f t="shared" ref="H30:J30" si="39">750*5</f>
        <v>3750</v>
      </c>
      <c r="I30" s="39">
        <f t="shared" si="39"/>
        <v>3750</v>
      </c>
      <c r="J30" s="39">
        <f t="shared" si="39"/>
        <v>3750</v>
      </c>
      <c r="K30" s="17">
        <f t="shared" si="1"/>
        <v>11250</v>
      </c>
      <c r="L30" s="39">
        <f t="shared" ref="L30:N30" si="40">750*5</f>
        <v>3750</v>
      </c>
      <c r="M30" s="39">
        <f t="shared" si="40"/>
        <v>3750</v>
      </c>
      <c r="N30" s="39">
        <f t="shared" si="40"/>
        <v>3750</v>
      </c>
      <c r="O30" s="17">
        <f t="shared" si="2"/>
        <v>11250</v>
      </c>
      <c r="P30" s="39">
        <f t="shared" ref="P30:R30" si="41">750*5</f>
        <v>3750</v>
      </c>
      <c r="Q30" s="39">
        <f t="shared" si="41"/>
        <v>3750</v>
      </c>
      <c r="R30" s="39">
        <f t="shared" si="41"/>
        <v>3750</v>
      </c>
      <c r="S30" s="17">
        <f t="shared" si="3"/>
        <v>11250</v>
      </c>
      <c r="T30" s="14">
        <f t="shared" si="4"/>
        <v>45000</v>
      </c>
      <c r="U30" s="23">
        <f t="shared" si="11"/>
        <v>0</v>
      </c>
    </row>
    <row r="31" spans="1:21" s="42" customFormat="1" ht="19.5">
      <c r="A31" s="120">
        <v>3</v>
      </c>
      <c r="B31" s="45" t="s">
        <v>116</v>
      </c>
      <c r="C31" s="124">
        <v>9000</v>
      </c>
      <c r="D31" s="39">
        <v>750</v>
      </c>
      <c r="E31" s="39">
        <v>750</v>
      </c>
      <c r="F31" s="39">
        <v>750</v>
      </c>
      <c r="G31" s="17">
        <f t="shared" si="0"/>
        <v>2250</v>
      </c>
      <c r="H31" s="39">
        <v>750</v>
      </c>
      <c r="I31" s="39">
        <v>750</v>
      </c>
      <c r="J31" s="39">
        <v>750</v>
      </c>
      <c r="K31" s="17">
        <f t="shared" si="1"/>
        <v>2250</v>
      </c>
      <c r="L31" s="39">
        <v>750</v>
      </c>
      <c r="M31" s="39">
        <v>750</v>
      </c>
      <c r="N31" s="39">
        <v>750</v>
      </c>
      <c r="O31" s="17">
        <f t="shared" si="2"/>
        <v>2250</v>
      </c>
      <c r="P31" s="39">
        <v>750</v>
      </c>
      <c r="Q31" s="39">
        <v>750</v>
      </c>
      <c r="R31" s="39">
        <v>750</v>
      </c>
      <c r="S31" s="17">
        <f t="shared" si="3"/>
        <v>2250</v>
      </c>
      <c r="T31" s="14">
        <f t="shared" si="4"/>
        <v>9000</v>
      </c>
      <c r="U31" s="23">
        <f t="shared" si="11"/>
        <v>0</v>
      </c>
    </row>
    <row r="32" spans="1:21" s="42" customFormat="1" ht="19.5">
      <c r="A32" s="120">
        <v>4</v>
      </c>
      <c r="B32" s="45" t="s">
        <v>117</v>
      </c>
      <c r="C32" s="124">
        <v>9000</v>
      </c>
      <c r="D32" s="39">
        <v>750</v>
      </c>
      <c r="E32" s="39">
        <v>750</v>
      </c>
      <c r="F32" s="39">
        <v>750</v>
      </c>
      <c r="G32" s="17">
        <f t="shared" si="0"/>
        <v>2250</v>
      </c>
      <c r="H32" s="39">
        <v>750</v>
      </c>
      <c r="I32" s="39">
        <v>750</v>
      </c>
      <c r="J32" s="39">
        <v>750</v>
      </c>
      <c r="K32" s="17">
        <f t="shared" si="1"/>
        <v>2250</v>
      </c>
      <c r="L32" s="39">
        <v>750</v>
      </c>
      <c r="M32" s="39">
        <v>750</v>
      </c>
      <c r="N32" s="39">
        <v>750</v>
      </c>
      <c r="O32" s="17">
        <f t="shared" si="2"/>
        <v>2250</v>
      </c>
      <c r="P32" s="39">
        <v>750</v>
      </c>
      <c r="Q32" s="39">
        <v>750</v>
      </c>
      <c r="R32" s="39">
        <v>750</v>
      </c>
      <c r="S32" s="17">
        <f t="shared" si="3"/>
        <v>2250</v>
      </c>
      <c r="T32" s="14">
        <f t="shared" si="4"/>
        <v>9000</v>
      </c>
      <c r="U32" s="23">
        <f t="shared" si="11"/>
        <v>0</v>
      </c>
    </row>
    <row r="33" spans="1:21" s="42" customFormat="1" ht="19.5">
      <c r="A33" s="120">
        <v>5</v>
      </c>
      <c r="B33" s="45" t="s">
        <v>118</v>
      </c>
      <c r="C33" s="124">
        <v>9000</v>
      </c>
      <c r="D33" s="39">
        <v>750</v>
      </c>
      <c r="E33" s="39">
        <v>750</v>
      </c>
      <c r="F33" s="39">
        <v>750</v>
      </c>
      <c r="G33" s="17">
        <f t="shared" si="0"/>
        <v>2250</v>
      </c>
      <c r="H33" s="39">
        <v>750</v>
      </c>
      <c r="I33" s="39">
        <v>750</v>
      </c>
      <c r="J33" s="39">
        <v>750</v>
      </c>
      <c r="K33" s="17">
        <f t="shared" si="1"/>
        <v>2250</v>
      </c>
      <c r="L33" s="39">
        <v>750</v>
      </c>
      <c r="M33" s="39">
        <v>750</v>
      </c>
      <c r="N33" s="39">
        <v>750</v>
      </c>
      <c r="O33" s="17">
        <f t="shared" si="2"/>
        <v>2250</v>
      </c>
      <c r="P33" s="39">
        <v>750</v>
      </c>
      <c r="Q33" s="39">
        <v>750</v>
      </c>
      <c r="R33" s="39">
        <v>750</v>
      </c>
      <c r="S33" s="17">
        <f t="shared" si="3"/>
        <v>2250</v>
      </c>
      <c r="T33" s="14">
        <f t="shared" si="4"/>
        <v>9000</v>
      </c>
      <c r="U33" s="23">
        <f t="shared" si="11"/>
        <v>0</v>
      </c>
    </row>
    <row r="34" spans="1:21" s="42" customFormat="1" ht="19.5">
      <c r="A34" s="120">
        <v>6</v>
      </c>
      <c r="B34" s="45" t="s">
        <v>119</v>
      </c>
      <c r="C34" s="124">
        <v>9000</v>
      </c>
      <c r="D34" s="39">
        <v>750</v>
      </c>
      <c r="E34" s="39">
        <v>750</v>
      </c>
      <c r="F34" s="39">
        <v>750</v>
      </c>
      <c r="G34" s="17">
        <f t="shared" si="0"/>
        <v>2250</v>
      </c>
      <c r="H34" s="39">
        <v>750</v>
      </c>
      <c r="I34" s="39">
        <v>750</v>
      </c>
      <c r="J34" s="39">
        <v>750</v>
      </c>
      <c r="K34" s="17">
        <f t="shared" si="1"/>
        <v>2250</v>
      </c>
      <c r="L34" s="39">
        <v>750</v>
      </c>
      <c r="M34" s="39">
        <v>750</v>
      </c>
      <c r="N34" s="39">
        <v>750</v>
      </c>
      <c r="O34" s="17">
        <f t="shared" si="2"/>
        <v>2250</v>
      </c>
      <c r="P34" s="39">
        <v>750</v>
      </c>
      <c r="Q34" s="39">
        <v>750</v>
      </c>
      <c r="R34" s="39">
        <v>750</v>
      </c>
      <c r="S34" s="17">
        <f t="shared" si="3"/>
        <v>2250</v>
      </c>
      <c r="T34" s="14">
        <f t="shared" si="4"/>
        <v>9000</v>
      </c>
      <c r="U34" s="23">
        <f t="shared" si="11"/>
        <v>0</v>
      </c>
    </row>
    <row r="35" spans="1:21" s="42" customFormat="1" ht="19.5">
      <c r="A35" s="120">
        <v>7</v>
      </c>
      <c r="B35" s="45" t="s">
        <v>120</v>
      </c>
      <c r="C35" s="124">
        <v>9000</v>
      </c>
      <c r="D35" s="39">
        <v>750</v>
      </c>
      <c r="E35" s="39">
        <v>750</v>
      </c>
      <c r="F35" s="39">
        <v>750</v>
      </c>
      <c r="G35" s="17">
        <f t="shared" si="0"/>
        <v>2250</v>
      </c>
      <c r="H35" s="39">
        <v>750</v>
      </c>
      <c r="I35" s="39">
        <v>750</v>
      </c>
      <c r="J35" s="39">
        <v>750</v>
      </c>
      <c r="K35" s="17">
        <f t="shared" si="1"/>
        <v>2250</v>
      </c>
      <c r="L35" s="39">
        <v>750</v>
      </c>
      <c r="M35" s="39">
        <v>750</v>
      </c>
      <c r="N35" s="39">
        <v>750</v>
      </c>
      <c r="O35" s="17">
        <f t="shared" si="2"/>
        <v>2250</v>
      </c>
      <c r="P35" s="39">
        <v>750</v>
      </c>
      <c r="Q35" s="39">
        <v>750</v>
      </c>
      <c r="R35" s="39">
        <v>750</v>
      </c>
      <c r="S35" s="17">
        <f t="shared" si="3"/>
        <v>2250</v>
      </c>
      <c r="T35" s="14">
        <f t="shared" si="4"/>
        <v>9000</v>
      </c>
      <c r="U35" s="23">
        <f t="shared" si="11"/>
        <v>0</v>
      </c>
    </row>
    <row r="36" spans="1:21" s="42" customFormat="1" ht="19.5">
      <c r="A36" s="120">
        <v>8</v>
      </c>
      <c r="B36" s="45" t="s">
        <v>136</v>
      </c>
      <c r="C36" s="123">
        <v>26000</v>
      </c>
      <c r="D36" s="39">
        <v>0</v>
      </c>
      <c r="E36" s="39">
        <v>0</v>
      </c>
      <c r="F36" s="39">
        <v>0</v>
      </c>
      <c r="G36" s="17">
        <f t="shared" si="0"/>
        <v>0</v>
      </c>
      <c r="H36" s="39"/>
      <c r="I36" s="39"/>
      <c r="J36" s="39"/>
      <c r="K36" s="17">
        <f t="shared" si="1"/>
        <v>0</v>
      </c>
      <c r="L36" s="39"/>
      <c r="M36" s="39"/>
      <c r="N36" s="39"/>
      <c r="O36" s="17">
        <f t="shared" si="2"/>
        <v>0</v>
      </c>
      <c r="P36" s="39"/>
      <c r="Q36" s="39"/>
      <c r="R36" s="39">
        <v>26000</v>
      </c>
      <c r="S36" s="17">
        <f t="shared" si="3"/>
        <v>26000</v>
      </c>
      <c r="T36" s="14">
        <f t="shared" si="4"/>
        <v>26000</v>
      </c>
      <c r="U36" s="23">
        <f t="shared" si="11"/>
        <v>0</v>
      </c>
    </row>
    <row r="37" spans="1:21" s="47" customFormat="1" ht="18.75" customHeight="1">
      <c r="A37" s="151" t="s">
        <v>9</v>
      </c>
      <c r="B37" s="151"/>
      <c r="C37" s="53">
        <f t="shared" ref="C37:F37" si="42">SUM(C38:C40)</f>
        <v>536100</v>
      </c>
      <c r="D37" s="31">
        <f t="shared" si="42"/>
        <v>2000</v>
      </c>
      <c r="E37" s="31">
        <f t="shared" si="42"/>
        <v>4400</v>
      </c>
      <c r="F37" s="31">
        <f t="shared" si="42"/>
        <v>0</v>
      </c>
      <c r="G37" s="138">
        <f t="shared" si="0"/>
        <v>6400</v>
      </c>
      <c r="H37" s="31">
        <f t="shared" ref="H37:J37" si="43">SUM(H38:H40)</f>
        <v>3200</v>
      </c>
      <c r="I37" s="31">
        <f t="shared" si="43"/>
        <v>3200</v>
      </c>
      <c r="J37" s="31">
        <f t="shared" si="43"/>
        <v>3200</v>
      </c>
      <c r="K37" s="138">
        <f t="shared" si="1"/>
        <v>9600</v>
      </c>
      <c r="L37" s="31">
        <f t="shared" ref="L37:N37" si="44">SUM(L38:L40)</f>
        <v>3200</v>
      </c>
      <c r="M37" s="31">
        <f t="shared" si="44"/>
        <v>3200</v>
      </c>
      <c r="N37" s="31">
        <f t="shared" si="44"/>
        <v>38000</v>
      </c>
      <c r="O37" s="138">
        <f t="shared" si="2"/>
        <v>44400</v>
      </c>
      <c r="P37" s="31">
        <f t="shared" ref="P37:R37" si="45">SUM(P38:P40)</f>
        <v>48400</v>
      </c>
      <c r="Q37" s="31">
        <f t="shared" si="45"/>
        <v>48400</v>
      </c>
      <c r="R37" s="31">
        <f t="shared" si="45"/>
        <v>378900</v>
      </c>
      <c r="S37" s="138">
        <f t="shared" si="3"/>
        <v>475700</v>
      </c>
      <c r="T37" s="29">
        <f t="shared" si="4"/>
        <v>536100</v>
      </c>
      <c r="U37" s="29">
        <f>SUM(U38:U40)</f>
        <v>0</v>
      </c>
    </row>
    <row r="38" spans="1:21" s="88" customFormat="1" ht="18.75" customHeight="1">
      <c r="A38" s="120">
        <v>1</v>
      </c>
      <c r="B38" s="45" t="s">
        <v>113</v>
      </c>
      <c r="C38" s="124">
        <v>110500</v>
      </c>
      <c r="D38" s="14"/>
      <c r="E38" s="14"/>
      <c r="F38" s="14"/>
      <c r="G38" s="17">
        <f t="shared" si="0"/>
        <v>0</v>
      </c>
      <c r="H38" s="14"/>
      <c r="I38" s="14">
        <v>0</v>
      </c>
      <c r="J38" s="14"/>
      <c r="K38" s="17">
        <f t="shared" si="1"/>
        <v>0</v>
      </c>
      <c r="L38" s="14"/>
      <c r="M38" s="14"/>
      <c r="N38" s="14"/>
      <c r="O38" s="17">
        <f t="shared" si="2"/>
        <v>0</v>
      </c>
      <c r="P38" s="114"/>
      <c r="Q38" s="114"/>
      <c r="R38" s="14">
        <v>110500</v>
      </c>
      <c r="S38" s="17">
        <f t="shared" si="3"/>
        <v>110500</v>
      </c>
      <c r="T38" s="14">
        <f t="shared" si="4"/>
        <v>110500</v>
      </c>
      <c r="U38" s="23">
        <f t="shared" si="11"/>
        <v>0</v>
      </c>
    </row>
    <row r="39" spans="1:21" s="88" customFormat="1" ht="18.75" customHeight="1">
      <c r="A39" s="120">
        <v>2</v>
      </c>
      <c r="B39" s="45" t="s">
        <v>114</v>
      </c>
      <c r="C39" s="124">
        <v>220000</v>
      </c>
      <c r="D39" s="14"/>
      <c r="E39" s="14"/>
      <c r="F39" s="128"/>
      <c r="G39" s="17">
        <f t="shared" si="0"/>
        <v>0</v>
      </c>
      <c r="H39" s="109"/>
      <c r="I39" s="14"/>
      <c r="J39" s="14"/>
      <c r="K39" s="17">
        <f t="shared" si="1"/>
        <v>0</v>
      </c>
      <c r="L39" s="14"/>
      <c r="M39" s="14"/>
      <c r="N39" s="14"/>
      <c r="O39" s="17">
        <f t="shared" si="2"/>
        <v>0</v>
      </c>
      <c r="P39" s="14"/>
      <c r="Q39" s="14">
        <v>0</v>
      </c>
      <c r="R39" s="14">
        <v>220000</v>
      </c>
      <c r="S39" s="17">
        <f t="shared" si="3"/>
        <v>220000</v>
      </c>
      <c r="T39" s="14">
        <f t="shared" si="4"/>
        <v>220000</v>
      </c>
      <c r="U39" s="23">
        <f t="shared" si="11"/>
        <v>0</v>
      </c>
    </row>
    <row r="40" spans="1:21" s="88" customFormat="1" ht="29.25">
      <c r="A40" s="120">
        <v>3</v>
      </c>
      <c r="B40" s="45" t="s">
        <v>123</v>
      </c>
      <c r="C40" s="124">
        <v>205600</v>
      </c>
      <c r="D40" s="14">
        <f>1200+800</f>
        <v>2000</v>
      </c>
      <c r="E40" s="14">
        <f>2000+2400</f>
        <v>4400</v>
      </c>
      <c r="F40" s="14"/>
      <c r="G40" s="17">
        <f t="shared" si="0"/>
        <v>6400</v>
      </c>
      <c r="H40" s="14">
        <v>3200</v>
      </c>
      <c r="I40" s="14">
        <v>3200</v>
      </c>
      <c r="J40" s="14">
        <v>3200</v>
      </c>
      <c r="K40" s="17">
        <f t="shared" si="1"/>
        <v>9600</v>
      </c>
      <c r="L40" s="14">
        <v>3200</v>
      </c>
      <c r="M40" s="14">
        <v>3200</v>
      </c>
      <c r="N40" s="14">
        <v>38000</v>
      </c>
      <c r="O40" s="17">
        <f t="shared" si="2"/>
        <v>44400</v>
      </c>
      <c r="P40" s="14">
        <v>48400</v>
      </c>
      <c r="Q40" s="14">
        <v>48400</v>
      </c>
      <c r="R40" s="14">
        <v>48400</v>
      </c>
      <c r="S40" s="17">
        <f t="shared" si="3"/>
        <v>145200</v>
      </c>
      <c r="T40" s="14">
        <f t="shared" si="4"/>
        <v>205600</v>
      </c>
      <c r="U40" s="23">
        <f t="shared" si="11"/>
        <v>0</v>
      </c>
    </row>
    <row r="41" spans="1:21" s="47" customFormat="1" ht="15" customHeight="1">
      <c r="A41" s="151" t="s">
        <v>8</v>
      </c>
      <c r="B41" s="151"/>
      <c r="C41" s="32">
        <f>SUM(C42:C45)</f>
        <v>102039.2</v>
      </c>
      <c r="D41" s="31">
        <f>SUM(D42:D45)</f>
        <v>0</v>
      </c>
      <c r="E41" s="31">
        <f>SUM(E42:E45)</f>
        <v>0</v>
      </c>
      <c r="F41" s="31">
        <f>SUM(F42:F45)</f>
        <v>0</v>
      </c>
      <c r="G41" s="138">
        <f t="shared" si="0"/>
        <v>0</v>
      </c>
      <c r="H41" s="31">
        <f t="shared" ref="H41:J41" si="46">SUM(H42:H45)</f>
        <v>0</v>
      </c>
      <c r="I41" s="31">
        <f t="shared" si="46"/>
        <v>0</v>
      </c>
      <c r="J41" s="31">
        <f t="shared" si="46"/>
        <v>0</v>
      </c>
      <c r="K41" s="138">
        <f t="shared" si="1"/>
        <v>0</v>
      </c>
      <c r="L41" s="31">
        <f t="shared" ref="L41:N41" si="47">SUM(L42:L45)</f>
        <v>0</v>
      </c>
      <c r="M41" s="31">
        <f t="shared" si="47"/>
        <v>0</v>
      </c>
      <c r="N41" s="31">
        <f t="shared" si="47"/>
        <v>0</v>
      </c>
      <c r="O41" s="138">
        <f t="shared" si="2"/>
        <v>0</v>
      </c>
      <c r="P41" s="31">
        <f t="shared" ref="P41:R41" si="48">SUM(P42:P45)</f>
        <v>0</v>
      </c>
      <c r="Q41" s="31">
        <f t="shared" si="48"/>
        <v>102039.2</v>
      </c>
      <c r="R41" s="31">
        <f t="shared" si="48"/>
        <v>0</v>
      </c>
      <c r="S41" s="138">
        <f t="shared" si="3"/>
        <v>102039.2</v>
      </c>
      <c r="T41" s="29">
        <f t="shared" si="4"/>
        <v>102039.2</v>
      </c>
      <c r="U41" s="29">
        <f>SUM(U45:U45)</f>
        <v>0</v>
      </c>
    </row>
    <row r="42" spans="1:21" s="43" customFormat="1" ht="39">
      <c r="A42" s="119">
        <v>1</v>
      </c>
      <c r="B42" s="122" t="s">
        <v>137</v>
      </c>
      <c r="C42" s="129">
        <v>20000</v>
      </c>
      <c r="D42" s="23"/>
      <c r="E42" s="23"/>
      <c r="F42" s="23"/>
      <c r="G42" s="26">
        <f t="shared" si="0"/>
        <v>0</v>
      </c>
      <c r="H42" s="23"/>
      <c r="I42" s="23"/>
      <c r="J42" s="23"/>
      <c r="K42" s="26">
        <f t="shared" si="1"/>
        <v>0</v>
      </c>
      <c r="L42" s="23"/>
      <c r="M42" s="23"/>
      <c r="N42" s="23"/>
      <c r="O42" s="26">
        <f t="shared" si="2"/>
        <v>0</v>
      </c>
      <c r="P42" s="23"/>
      <c r="Q42" s="23">
        <v>20000</v>
      </c>
      <c r="R42" s="23">
        <v>0</v>
      </c>
      <c r="S42" s="24">
        <f t="shared" si="3"/>
        <v>20000</v>
      </c>
      <c r="T42" s="23">
        <f t="shared" si="4"/>
        <v>20000</v>
      </c>
      <c r="U42" s="23">
        <f t="shared" ref="U42:U44" si="49">C42-T42</f>
        <v>0</v>
      </c>
    </row>
    <row r="43" spans="1:21" s="43" customFormat="1" ht="39">
      <c r="A43" s="119">
        <v>2</v>
      </c>
      <c r="B43" s="122" t="s">
        <v>138</v>
      </c>
      <c r="C43" s="129">
        <v>20000</v>
      </c>
      <c r="D43" s="23"/>
      <c r="E43" s="23"/>
      <c r="F43" s="23"/>
      <c r="G43" s="26">
        <f t="shared" si="0"/>
        <v>0</v>
      </c>
      <c r="H43" s="23"/>
      <c r="I43" s="23"/>
      <c r="J43" s="23"/>
      <c r="K43" s="26">
        <f t="shared" si="1"/>
        <v>0</v>
      </c>
      <c r="L43" s="23"/>
      <c r="M43" s="23"/>
      <c r="N43" s="23"/>
      <c r="O43" s="26">
        <f t="shared" si="2"/>
        <v>0</v>
      </c>
      <c r="P43" s="23"/>
      <c r="Q43" s="23">
        <v>20000</v>
      </c>
      <c r="R43" s="23">
        <v>0</v>
      </c>
      <c r="S43" s="24">
        <f t="shared" si="3"/>
        <v>20000</v>
      </c>
      <c r="T43" s="23">
        <f t="shared" si="4"/>
        <v>20000</v>
      </c>
      <c r="U43" s="23">
        <f t="shared" si="49"/>
        <v>0</v>
      </c>
    </row>
    <row r="44" spans="1:21" s="43" customFormat="1" ht="29.25">
      <c r="A44" s="119">
        <v>3</v>
      </c>
      <c r="B44" s="122" t="s">
        <v>139</v>
      </c>
      <c r="C44" s="129">
        <v>54539.199999999997</v>
      </c>
      <c r="D44" s="23"/>
      <c r="E44" s="23"/>
      <c r="F44" s="23"/>
      <c r="G44" s="26">
        <f t="shared" ref="G44" si="50">SUM(D44:F44)</f>
        <v>0</v>
      </c>
      <c r="H44" s="23"/>
      <c r="I44" s="23"/>
      <c r="J44" s="23"/>
      <c r="K44" s="26">
        <f t="shared" ref="K44" si="51">SUM(H44:J44)</f>
        <v>0</v>
      </c>
      <c r="L44" s="23"/>
      <c r="M44" s="23"/>
      <c r="N44" s="23"/>
      <c r="O44" s="26">
        <f t="shared" ref="O44" si="52">SUM(L44:N44)</f>
        <v>0</v>
      </c>
      <c r="P44" s="23"/>
      <c r="Q44" s="23">
        <v>54539.199999999997</v>
      </c>
      <c r="R44" s="23">
        <v>0</v>
      </c>
      <c r="S44" s="24">
        <f t="shared" ref="S44" si="53">SUM(P44:R44)</f>
        <v>54539.199999999997</v>
      </c>
      <c r="T44" s="23">
        <f t="shared" ref="T44" si="54">G44+K44+O44+S44</f>
        <v>54539.199999999997</v>
      </c>
      <c r="U44" s="23">
        <f t="shared" si="49"/>
        <v>0</v>
      </c>
    </row>
    <row r="45" spans="1:21" s="43" customFormat="1" ht="29.25">
      <c r="A45" s="119">
        <v>4</v>
      </c>
      <c r="B45" s="122" t="s">
        <v>140</v>
      </c>
      <c r="C45" s="129">
        <v>7500</v>
      </c>
      <c r="D45" s="23"/>
      <c r="E45" s="23"/>
      <c r="F45" s="23"/>
      <c r="G45" s="26">
        <f t="shared" si="0"/>
        <v>0</v>
      </c>
      <c r="H45" s="23"/>
      <c r="I45" s="23"/>
      <c r="J45" s="23"/>
      <c r="K45" s="26">
        <f t="shared" si="1"/>
        <v>0</v>
      </c>
      <c r="L45" s="23"/>
      <c r="M45" s="23"/>
      <c r="N45" s="23"/>
      <c r="O45" s="26">
        <f t="shared" si="2"/>
        <v>0</v>
      </c>
      <c r="P45" s="23"/>
      <c r="Q45" s="23">
        <v>7500</v>
      </c>
      <c r="R45" s="23">
        <v>0</v>
      </c>
      <c r="S45" s="24">
        <f t="shared" si="3"/>
        <v>7500</v>
      </c>
      <c r="T45" s="23">
        <f t="shared" si="4"/>
        <v>7500</v>
      </c>
      <c r="U45" s="23">
        <f t="shared" si="11"/>
        <v>0</v>
      </c>
    </row>
    <row r="46" spans="1:21" s="47" customFormat="1" ht="13.5" customHeight="1">
      <c r="A46" s="151" t="s">
        <v>7</v>
      </c>
      <c r="B46" s="151"/>
      <c r="C46" s="32">
        <f>SUM(C47:C51)</f>
        <v>877215.21</v>
      </c>
      <c r="D46" s="31">
        <f>SUM(D47:D51)</f>
        <v>0</v>
      </c>
      <c r="E46" s="31">
        <f>SUM(E47:E51)</f>
        <v>0</v>
      </c>
      <c r="F46" s="31">
        <f>SUM(F47:F51)</f>
        <v>0</v>
      </c>
      <c r="G46" s="138">
        <f t="shared" si="0"/>
        <v>0</v>
      </c>
      <c r="H46" s="31">
        <f>SUM(H47:H51)</f>
        <v>0</v>
      </c>
      <c r="I46" s="31">
        <f>SUM(I47:I51)</f>
        <v>0</v>
      </c>
      <c r="J46" s="31">
        <f>SUM(J47:J51)</f>
        <v>20000</v>
      </c>
      <c r="K46" s="138">
        <f t="shared" si="1"/>
        <v>20000</v>
      </c>
      <c r="L46" s="31">
        <f>SUM(L47:L51)</f>
        <v>0</v>
      </c>
      <c r="M46" s="31">
        <f>SUM(M47:M51)</f>
        <v>757754.21</v>
      </c>
      <c r="N46" s="31">
        <f>SUM(N47:N51)</f>
        <v>20000</v>
      </c>
      <c r="O46" s="138">
        <f t="shared" si="2"/>
        <v>777754.21</v>
      </c>
      <c r="P46" s="30">
        <f>SUM(P47:P51)</f>
        <v>36000</v>
      </c>
      <c r="Q46" s="30">
        <f>SUM(Q47:Q51)</f>
        <v>43461</v>
      </c>
      <c r="R46" s="30">
        <f>SUM(R47:R51)</f>
        <v>0</v>
      </c>
      <c r="S46" s="138">
        <f t="shared" si="3"/>
        <v>79461</v>
      </c>
      <c r="T46" s="29">
        <f t="shared" si="4"/>
        <v>877215.21</v>
      </c>
      <c r="U46" s="29">
        <f>SUM(U47:U51)</f>
        <v>0</v>
      </c>
    </row>
    <row r="47" spans="1:21" s="42" customFormat="1" ht="19.5">
      <c r="A47" s="120">
        <v>1</v>
      </c>
      <c r="B47" s="45" t="s">
        <v>141</v>
      </c>
      <c r="C47" s="125">
        <v>60000</v>
      </c>
      <c r="D47" s="20"/>
      <c r="E47" s="20"/>
      <c r="F47" s="20"/>
      <c r="G47" s="17">
        <f t="shared" si="0"/>
        <v>0</v>
      </c>
      <c r="H47" s="20"/>
      <c r="I47" s="20"/>
      <c r="J47" s="20">
        <v>20000</v>
      </c>
      <c r="K47" s="15">
        <f t="shared" si="1"/>
        <v>20000</v>
      </c>
      <c r="L47" s="20"/>
      <c r="M47" s="20"/>
      <c r="N47" s="20">
        <v>20000</v>
      </c>
      <c r="O47" s="15">
        <f t="shared" si="2"/>
        <v>20000</v>
      </c>
      <c r="P47" s="20"/>
      <c r="Q47" s="20">
        <v>20000</v>
      </c>
      <c r="R47" s="20"/>
      <c r="S47" s="17">
        <f t="shared" si="3"/>
        <v>20000</v>
      </c>
      <c r="T47" s="14">
        <f t="shared" si="4"/>
        <v>60000</v>
      </c>
      <c r="U47" s="23">
        <f t="shared" si="11"/>
        <v>0</v>
      </c>
    </row>
    <row r="48" spans="1:21" s="42" customFormat="1" ht="29.25" customHeight="1">
      <c r="A48" s="120">
        <v>2</v>
      </c>
      <c r="B48" s="45" t="s">
        <v>124</v>
      </c>
      <c r="C48" s="126">
        <v>23461</v>
      </c>
      <c r="D48" s="20"/>
      <c r="E48" s="20"/>
      <c r="F48" s="20"/>
      <c r="G48" s="17">
        <f t="shared" si="0"/>
        <v>0</v>
      </c>
      <c r="H48" s="20"/>
      <c r="I48" s="20"/>
      <c r="J48" s="20"/>
      <c r="K48" s="17">
        <f t="shared" si="1"/>
        <v>0</v>
      </c>
      <c r="L48" s="20"/>
      <c r="M48" s="20"/>
      <c r="N48" s="20"/>
      <c r="O48" s="17">
        <f t="shared" si="2"/>
        <v>0</v>
      </c>
      <c r="P48" s="20"/>
      <c r="Q48" s="20">
        <v>23461</v>
      </c>
      <c r="R48" s="20"/>
      <c r="S48" s="17">
        <f t="shared" si="3"/>
        <v>23461</v>
      </c>
      <c r="T48" s="14">
        <f t="shared" si="4"/>
        <v>23461</v>
      </c>
      <c r="U48" s="23">
        <f t="shared" si="11"/>
        <v>0</v>
      </c>
    </row>
    <row r="49" spans="1:22" s="42" customFormat="1" ht="29.25" customHeight="1">
      <c r="A49" s="120">
        <v>3</v>
      </c>
      <c r="B49" s="45" t="s">
        <v>142</v>
      </c>
      <c r="C49" s="130">
        <v>457754.21</v>
      </c>
      <c r="D49" s="20"/>
      <c r="E49" s="20"/>
      <c r="F49" s="20"/>
      <c r="G49" s="17">
        <f t="shared" si="0"/>
        <v>0</v>
      </c>
      <c r="H49" s="20"/>
      <c r="I49" s="20"/>
      <c r="J49" s="20"/>
      <c r="K49" s="17">
        <f t="shared" si="1"/>
        <v>0</v>
      </c>
      <c r="L49" s="20"/>
      <c r="M49" s="20">
        <v>457754.21</v>
      </c>
      <c r="N49" s="20"/>
      <c r="O49" s="17">
        <f t="shared" si="2"/>
        <v>457754.21</v>
      </c>
      <c r="P49" s="20"/>
      <c r="Q49" s="20"/>
      <c r="R49" s="20"/>
      <c r="S49" s="17">
        <f t="shared" si="3"/>
        <v>0</v>
      </c>
      <c r="T49" s="14">
        <f t="shared" si="4"/>
        <v>457754.21</v>
      </c>
      <c r="U49" s="23">
        <f t="shared" si="11"/>
        <v>0</v>
      </c>
    </row>
    <row r="50" spans="1:22" s="42" customFormat="1" ht="14.25" customHeight="1">
      <c r="A50" s="120">
        <v>4</v>
      </c>
      <c r="B50" s="45" t="s">
        <v>143</v>
      </c>
      <c r="C50" s="126">
        <v>36000</v>
      </c>
      <c r="D50" s="20"/>
      <c r="E50" s="20"/>
      <c r="F50" s="20"/>
      <c r="G50" s="17">
        <f t="shared" si="0"/>
        <v>0</v>
      </c>
      <c r="H50" s="20"/>
      <c r="I50" s="20"/>
      <c r="J50" s="20"/>
      <c r="K50" s="17">
        <f t="shared" si="1"/>
        <v>0</v>
      </c>
      <c r="L50" s="20"/>
      <c r="M50" s="20"/>
      <c r="N50" s="20"/>
      <c r="O50" s="17">
        <f t="shared" si="2"/>
        <v>0</v>
      </c>
      <c r="P50" s="20">
        <v>36000</v>
      </c>
      <c r="Q50" s="20"/>
      <c r="R50" s="20"/>
      <c r="S50" s="17">
        <f t="shared" si="3"/>
        <v>36000</v>
      </c>
      <c r="T50" s="14">
        <f t="shared" si="4"/>
        <v>36000</v>
      </c>
      <c r="U50" s="23">
        <f t="shared" si="11"/>
        <v>0</v>
      </c>
    </row>
    <row r="51" spans="1:22" s="42" customFormat="1" ht="29.25" customHeight="1">
      <c r="A51" s="120">
        <v>5</v>
      </c>
      <c r="B51" s="45" t="s">
        <v>144</v>
      </c>
      <c r="C51" s="126">
        <v>300000</v>
      </c>
      <c r="D51" s="20"/>
      <c r="E51" s="20"/>
      <c r="F51" s="20"/>
      <c r="G51" s="17">
        <f t="shared" si="0"/>
        <v>0</v>
      </c>
      <c r="H51" s="20"/>
      <c r="I51" s="20"/>
      <c r="J51" s="20"/>
      <c r="K51" s="17">
        <f t="shared" si="1"/>
        <v>0</v>
      </c>
      <c r="L51" s="20"/>
      <c r="M51" s="20">
        <v>300000</v>
      </c>
      <c r="N51" s="20"/>
      <c r="O51" s="17">
        <f t="shared" si="2"/>
        <v>300000</v>
      </c>
      <c r="P51" s="20"/>
      <c r="Q51" s="20"/>
      <c r="R51" s="20"/>
      <c r="S51" s="17">
        <f t="shared" si="3"/>
        <v>0</v>
      </c>
      <c r="T51" s="14">
        <f t="shared" si="4"/>
        <v>300000</v>
      </c>
      <c r="U51" s="23">
        <f t="shared" si="11"/>
        <v>0</v>
      </c>
    </row>
    <row r="52" spans="1:22" s="28" customFormat="1" ht="16.5" customHeight="1">
      <c r="A52" s="151" t="s">
        <v>6</v>
      </c>
      <c r="B52" s="151"/>
      <c r="C52" s="32">
        <f t="shared" ref="C52:F52" si="55">SUM(C53:C53)</f>
        <v>0</v>
      </c>
      <c r="D52" s="31">
        <f t="shared" si="55"/>
        <v>0</v>
      </c>
      <c r="E52" s="31">
        <f t="shared" si="55"/>
        <v>0</v>
      </c>
      <c r="F52" s="31">
        <f t="shared" si="55"/>
        <v>0</v>
      </c>
      <c r="G52" s="138">
        <f t="shared" si="0"/>
        <v>0</v>
      </c>
      <c r="H52" s="31">
        <f>SUM(H53:H53)</f>
        <v>0</v>
      </c>
      <c r="I52" s="31">
        <f>SUM(I53:I53)</f>
        <v>0</v>
      </c>
      <c r="J52" s="31">
        <f>SUM(J53:J53)</f>
        <v>0</v>
      </c>
      <c r="K52" s="138">
        <f t="shared" si="1"/>
        <v>0</v>
      </c>
      <c r="L52" s="31">
        <f>SUM(L53:L53)</f>
        <v>0</v>
      </c>
      <c r="M52" s="31">
        <f>SUM(M53:M53)</f>
        <v>0</v>
      </c>
      <c r="N52" s="31">
        <f>SUM(N53:N53)</f>
        <v>0</v>
      </c>
      <c r="O52" s="138">
        <f t="shared" si="2"/>
        <v>0</v>
      </c>
      <c r="P52" s="30">
        <f>SUM(P53:P53)</f>
        <v>0</v>
      </c>
      <c r="Q52" s="30">
        <f>SUM(Q53:Q53)</f>
        <v>0</v>
      </c>
      <c r="R52" s="30">
        <f>SUM(R53:R53)</f>
        <v>0</v>
      </c>
      <c r="S52" s="138">
        <f t="shared" si="3"/>
        <v>0</v>
      </c>
      <c r="T52" s="29">
        <f t="shared" si="4"/>
        <v>0</v>
      </c>
      <c r="U52" s="29">
        <f>SUM(U53:U53)</f>
        <v>0</v>
      </c>
    </row>
    <row r="53" spans="1:22" s="13" customFormat="1" ht="15" customHeight="1">
      <c r="A53" s="36"/>
      <c r="B53" s="41" t="s">
        <v>4</v>
      </c>
      <c r="C53" s="40"/>
      <c r="D53" s="39"/>
      <c r="E53" s="39"/>
      <c r="F53" s="39"/>
      <c r="G53" s="17"/>
      <c r="H53" s="39"/>
      <c r="I53" s="39"/>
      <c r="J53" s="39"/>
      <c r="K53" s="15"/>
      <c r="L53" s="39"/>
      <c r="M53" s="39"/>
      <c r="N53" s="39"/>
      <c r="O53" s="15"/>
      <c r="P53" s="39"/>
      <c r="Q53" s="39"/>
      <c r="R53" s="39"/>
      <c r="S53" s="15"/>
      <c r="T53" s="14"/>
      <c r="U53" s="23">
        <f t="shared" si="11"/>
        <v>0</v>
      </c>
    </row>
    <row r="54" spans="1:22" s="28" customFormat="1" ht="14.25" customHeight="1">
      <c r="A54" s="151" t="s">
        <v>5</v>
      </c>
      <c r="B54" s="151"/>
      <c r="C54" s="32">
        <f>SUM(C55:C55)</f>
        <v>0</v>
      </c>
      <c r="D54" s="38">
        <f>SUM(D55)</f>
        <v>0</v>
      </c>
      <c r="E54" s="38">
        <f>SUM(E55)</f>
        <v>0</v>
      </c>
      <c r="F54" s="38">
        <f>SUM(F55)</f>
        <v>0</v>
      </c>
      <c r="G54" s="138">
        <f t="shared" ref="G54:G77" si="56">SUM(D54:F54)</f>
        <v>0</v>
      </c>
      <c r="H54" s="38">
        <f>SUM(H55)</f>
        <v>0</v>
      </c>
      <c r="I54" s="38">
        <f>SUM(I55)</f>
        <v>0</v>
      </c>
      <c r="J54" s="38">
        <f>SUM(J55)</f>
        <v>0</v>
      </c>
      <c r="K54" s="138">
        <f t="shared" ref="K54:K68" si="57">SUM(H54:J54)</f>
        <v>0</v>
      </c>
      <c r="L54" s="38">
        <f>SUM(L55)</f>
        <v>0</v>
      </c>
      <c r="M54" s="38">
        <f>SUM(M55)</f>
        <v>0</v>
      </c>
      <c r="N54" s="38">
        <f>SUM(N55)</f>
        <v>0</v>
      </c>
      <c r="O54" s="138">
        <f t="shared" ref="O54:O68" si="58">SUM(L54:N54)</f>
        <v>0</v>
      </c>
      <c r="P54" s="37">
        <f>SUM(P55)</f>
        <v>0</v>
      </c>
      <c r="Q54" s="37">
        <f>SUM(Q55)</f>
        <v>0</v>
      </c>
      <c r="R54" s="37">
        <f>SUM(R55)</f>
        <v>0</v>
      </c>
      <c r="S54" s="138">
        <f t="shared" ref="S54:S68" si="59">SUM(P54:R54)</f>
        <v>0</v>
      </c>
      <c r="T54" s="29">
        <f t="shared" ref="T54:T70" si="60">G54+K54+O54+S54</f>
        <v>0</v>
      </c>
      <c r="U54" s="29">
        <f>SUM(U55)</f>
        <v>0</v>
      </c>
    </row>
    <row r="55" spans="1:22" s="33" customFormat="1" ht="16.5" customHeight="1">
      <c r="A55" s="36"/>
      <c r="B55" s="35" t="s">
        <v>4</v>
      </c>
      <c r="C55" s="34"/>
      <c r="D55" s="14"/>
      <c r="E55" s="14"/>
      <c r="F55" s="14"/>
      <c r="G55" s="17">
        <f t="shared" si="56"/>
        <v>0</v>
      </c>
      <c r="H55" s="14"/>
      <c r="I55" s="14"/>
      <c r="J55" s="14"/>
      <c r="K55" s="15">
        <f t="shared" si="57"/>
        <v>0</v>
      </c>
      <c r="L55" s="14"/>
      <c r="M55" s="14"/>
      <c r="N55" s="14"/>
      <c r="O55" s="15">
        <f t="shared" si="58"/>
        <v>0</v>
      </c>
      <c r="P55" s="14"/>
      <c r="Q55" s="14"/>
      <c r="R55" s="14"/>
      <c r="S55" s="15">
        <f t="shared" si="59"/>
        <v>0</v>
      </c>
      <c r="T55" s="14">
        <f t="shared" si="60"/>
        <v>0</v>
      </c>
      <c r="U55" s="23">
        <f t="shared" si="11"/>
        <v>0</v>
      </c>
      <c r="V55" s="13"/>
    </row>
    <row r="56" spans="1:22" s="137" customFormat="1" ht="16.5" customHeight="1">
      <c r="A56" s="151" t="s">
        <v>3</v>
      </c>
      <c r="B56" s="151"/>
      <c r="C56" s="53">
        <f>SUM(C57:C77)</f>
        <v>3523377</v>
      </c>
      <c r="D56" s="135">
        <f>SUM(D57:D77)</f>
        <v>8240</v>
      </c>
      <c r="E56" s="135">
        <f t="shared" ref="E56:F56" si="61">SUM(E57:E77)</f>
        <v>211748.43</v>
      </c>
      <c r="F56" s="135">
        <f t="shared" si="61"/>
        <v>302836.5</v>
      </c>
      <c r="G56" s="138">
        <f t="shared" si="56"/>
        <v>522824.93</v>
      </c>
      <c r="H56" s="135">
        <f>SUM(H57:H77)</f>
        <v>186400</v>
      </c>
      <c r="I56" s="135">
        <f t="shared" ref="I56:J56" si="62">SUM(I57:I77)</f>
        <v>139500</v>
      </c>
      <c r="J56" s="135">
        <f t="shared" si="62"/>
        <v>94500</v>
      </c>
      <c r="K56" s="138">
        <f t="shared" si="57"/>
        <v>420400</v>
      </c>
      <c r="L56" s="135">
        <f>SUM(L57:L77)</f>
        <v>119500</v>
      </c>
      <c r="M56" s="135">
        <f t="shared" ref="M56:N56" si="63">SUM(M57:M77)</f>
        <v>14500</v>
      </c>
      <c r="N56" s="135">
        <f t="shared" si="63"/>
        <v>403808</v>
      </c>
      <c r="O56" s="138">
        <f t="shared" si="58"/>
        <v>537808</v>
      </c>
      <c r="P56" s="136">
        <f>SUM(P57:P77)</f>
        <v>427000</v>
      </c>
      <c r="Q56" s="136">
        <f t="shared" ref="Q56:R56" si="64">SUM(Q57:Q77)</f>
        <v>414000</v>
      </c>
      <c r="R56" s="136">
        <f t="shared" si="64"/>
        <v>815567</v>
      </c>
      <c r="S56" s="138">
        <f t="shared" si="59"/>
        <v>1656567</v>
      </c>
      <c r="T56" s="29">
        <f t="shared" si="60"/>
        <v>3137599.9299999997</v>
      </c>
      <c r="U56" s="29">
        <f>SUM(U57:U75)</f>
        <v>385777.07</v>
      </c>
    </row>
    <row r="57" spans="1:22" s="91" customFormat="1" ht="29.25">
      <c r="A57" s="120">
        <v>1</v>
      </c>
      <c r="B57" s="21" t="s">
        <v>125</v>
      </c>
      <c r="C57" s="127">
        <v>54000</v>
      </c>
      <c r="D57" s="90"/>
      <c r="E57" s="90"/>
      <c r="F57" s="90"/>
      <c r="G57" s="17">
        <f t="shared" si="56"/>
        <v>0</v>
      </c>
      <c r="H57" s="90">
        <f>4500*4</f>
        <v>18000</v>
      </c>
      <c r="I57" s="90">
        <v>4500</v>
      </c>
      <c r="J57" s="90">
        <v>4500</v>
      </c>
      <c r="K57" s="17">
        <f t="shared" si="57"/>
        <v>27000</v>
      </c>
      <c r="L57" s="90">
        <v>4500</v>
      </c>
      <c r="M57" s="90">
        <v>4500</v>
      </c>
      <c r="N57" s="90">
        <v>4500</v>
      </c>
      <c r="O57" s="17">
        <f t="shared" si="58"/>
        <v>13500</v>
      </c>
      <c r="P57" s="90">
        <v>4500</v>
      </c>
      <c r="Q57" s="90">
        <v>4500</v>
      </c>
      <c r="R57" s="90">
        <v>4500</v>
      </c>
      <c r="S57" s="17">
        <f t="shared" si="59"/>
        <v>13500</v>
      </c>
      <c r="T57" s="14">
        <f t="shared" si="60"/>
        <v>54000</v>
      </c>
      <c r="U57" s="23">
        <f t="shared" si="11"/>
        <v>0</v>
      </c>
    </row>
    <row r="58" spans="1:22" s="91" customFormat="1" ht="15.75" customHeight="1">
      <c r="A58" s="120">
        <v>2</v>
      </c>
      <c r="B58" s="18" t="s">
        <v>145</v>
      </c>
      <c r="C58" s="127">
        <v>24000</v>
      </c>
      <c r="D58" s="90">
        <v>2000</v>
      </c>
      <c r="E58" s="90">
        <v>2000</v>
      </c>
      <c r="F58" s="90">
        <v>2000</v>
      </c>
      <c r="G58" s="17">
        <f t="shared" si="56"/>
        <v>6000</v>
      </c>
      <c r="H58" s="90">
        <v>2000</v>
      </c>
      <c r="I58" s="90">
        <v>2000</v>
      </c>
      <c r="J58" s="90">
        <v>2000</v>
      </c>
      <c r="K58" s="17">
        <f t="shared" si="57"/>
        <v>6000</v>
      </c>
      <c r="L58" s="90">
        <v>2000</v>
      </c>
      <c r="M58" s="90">
        <v>2000</v>
      </c>
      <c r="N58" s="90">
        <v>2000</v>
      </c>
      <c r="O58" s="17">
        <f t="shared" si="58"/>
        <v>6000</v>
      </c>
      <c r="P58" s="90">
        <v>2000</v>
      </c>
      <c r="Q58" s="90">
        <v>2000</v>
      </c>
      <c r="R58" s="90">
        <v>2000</v>
      </c>
      <c r="S58" s="17">
        <f t="shared" si="59"/>
        <v>6000</v>
      </c>
      <c r="T58" s="14">
        <f t="shared" si="60"/>
        <v>24000</v>
      </c>
      <c r="U58" s="23">
        <f t="shared" si="11"/>
        <v>0</v>
      </c>
    </row>
    <row r="59" spans="1:22" s="22" customFormat="1" ht="18" customHeight="1">
      <c r="A59" s="120">
        <v>3</v>
      </c>
      <c r="B59" s="133" t="s">
        <v>163</v>
      </c>
      <c r="C59" s="127">
        <v>150000</v>
      </c>
      <c r="D59" s="25"/>
      <c r="E59" s="25"/>
      <c r="F59" s="25"/>
      <c r="G59" s="26">
        <f t="shared" si="56"/>
        <v>0</v>
      </c>
      <c r="H59" s="25">
        <v>50000</v>
      </c>
      <c r="I59" s="25"/>
      <c r="J59" s="25">
        <v>0</v>
      </c>
      <c r="K59" s="26">
        <f t="shared" si="57"/>
        <v>50000</v>
      </c>
      <c r="L59" s="25">
        <v>50000</v>
      </c>
      <c r="M59" s="25"/>
      <c r="N59" s="25">
        <v>0</v>
      </c>
      <c r="O59" s="26">
        <f t="shared" si="58"/>
        <v>50000</v>
      </c>
      <c r="P59" s="25">
        <v>50000</v>
      </c>
      <c r="Q59" s="25">
        <v>0</v>
      </c>
      <c r="R59" s="25">
        <v>0</v>
      </c>
      <c r="S59" s="26">
        <f t="shared" si="59"/>
        <v>50000</v>
      </c>
      <c r="T59" s="23">
        <f t="shared" si="60"/>
        <v>150000</v>
      </c>
      <c r="U59" s="23">
        <f t="shared" si="11"/>
        <v>0</v>
      </c>
    </row>
    <row r="60" spans="1:22" s="13" customFormat="1" ht="15.75" customHeight="1">
      <c r="A60" s="120">
        <v>4</v>
      </c>
      <c r="B60" s="21" t="s">
        <v>146</v>
      </c>
      <c r="C60" s="127">
        <v>96000</v>
      </c>
      <c r="D60" s="16">
        <v>6240</v>
      </c>
      <c r="E60" s="90">
        <f>137.8+106+640.86+1647.8+758.96+2639.4+345.61</f>
        <v>6276.4299999999994</v>
      </c>
      <c r="F60" s="16">
        <f>34.36+5672.14</f>
        <v>5706.5</v>
      </c>
      <c r="G60" s="17">
        <f t="shared" si="56"/>
        <v>18222.93</v>
      </c>
      <c r="H60" s="16">
        <v>6000</v>
      </c>
      <c r="I60" s="16"/>
      <c r="J60" s="16"/>
      <c r="K60" s="17">
        <f t="shared" si="57"/>
        <v>6000</v>
      </c>
      <c r="L60" s="16"/>
      <c r="M60" s="16"/>
      <c r="N60" s="16">
        <v>12000</v>
      </c>
      <c r="O60" s="17">
        <f t="shared" si="58"/>
        <v>12000</v>
      </c>
      <c r="P60" s="16"/>
      <c r="Q60" s="16">
        <v>12000</v>
      </c>
      <c r="R60" s="16">
        <v>12000</v>
      </c>
      <c r="S60" s="17">
        <f t="shared" si="59"/>
        <v>24000</v>
      </c>
      <c r="T60" s="14">
        <f t="shared" si="60"/>
        <v>60222.93</v>
      </c>
      <c r="U60" s="23">
        <f t="shared" si="11"/>
        <v>35777.07</v>
      </c>
    </row>
    <row r="61" spans="1:22" s="13" customFormat="1">
      <c r="A61" s="120">
        <v>5</v>
      </c>
      <c r="B61" s="18" t="s">
        <v>147</v>
      </c>
      <c r="C61" s="127">
        <v>54000</v>
      </c>
      <c r="D61" s="16"/>
      <c r="E61" s="16"/>
      <c r="F61" s="16"/>
      <c r="G61" s="17">
        <f t="shared" si="56"/>
        <v>0</v>
      </c>
      <c r="H61" s="16"/>
      <c r="I61" s="16"/>
      <c r="J61" s="16"/>
      <c r="K61" s="17">
        <f t="shared" si="57"/>
        <v>0</v>
      </c>
      <c r="L61" s="16"/>
      <c r="M61" s="16"/>
      <c r="N61" s="16">
        <v>54000</v>
      </c>
      <c r="O61" s="17">
        <f t="shared" si="58"/>
        <v>54000</v>
      </c>
      <c r="P61" s="16"/>
      <c r="Q61" s="16"/>
      <c r="R61" s="16"/>
      <c r="S61" s="17">
        <f t="shared" si="59"/>
        <v>0</v>
      </c>
      <c r="T61" s="14">
        <f t="shared" si="60"/>
        <v>54000</v>
      </c>
      <c r="U61" s="23">
        <f t="shared" si="11"/>
        <v>0</v>
      </c>
    </row>
    <row r="62" spans="1:22" s="91" customFormat="1" ht="19.5">
      <c r="A62" s="120">
        <v>6</v>
      </c>
      <c r="B62" s="18" t="s">
        <v>148</v>
      </c>
      <c r="C62" s="127">
        <v>5000</v>
      </c>
      <c r="D62" s="90"/>
      <c r="E62" s="90"/>
      <c r="F62" s="90"/>
      <c r="G62" s="17">
        <f t="shared" si="56"/>
        <v>0</v>
      </c>
      <c r="H62" s="90"/>
      <c r="I62" s="90"/>
      <c r="J62" s="90"/>
      <c r="K62" s="17">
        <f t="shared" si="57"/>
        <v>0</v>
      </c>
      <c r="L62" s="90"/>
      <c r="M62" s="90">
        <v>0</v>
      </c>
      <c r="N62" s="90">
        <v>5000</v>
      </c>
      <c r="O62" s="17">
        <f t="shared" si="58"/>
        <v>5000</v>
      </c>
      <c r="P62" s="90"/>
      <c r="Q62" s="90"/>
      <c r="R62" s="90"/>
      <c r="S62" s="17">
        <f t="shared" si="59"/>
        <v>0</v>
      </c>
      <c r="T62" s="14">
        <f t="shared" si="60"/>
        <v>5000</v>
      </c>
      <c r="U62" s="23">
        <f t="shared" si="11"/>
        <v>0</v>
      </c>
    </row>
    <row r="63" spans="1:22" s="13" customFormat="1">
      <c r="A63" s="120">
        <v>7</v>
      </c>
      <c r="B63" s="18" t="s">
        <v>149</v>
      </c>
      <c r="C63" s="127">
        <v>25000</v>
      </c>
      <c r="D63" s="16"/>
      <c r="E63" s="16"/>
      <c r="F63" s="16"/>
      <c r="G63" s="17">
        <f t="shared" si="56"/>
        <v>0</v>
      </c>
      <c r="H63" s="16"/>
      <c r="I63" s="16"/>
      <c r="J63" s="16"/>
      <c r="K63" s="17">
        <f t="shared" si="57"/>
        <v>0</v>
      </c>
      <c r="L63" s="16">
        <v>0</v>
      </c>
      <c r="M63" s="16"/>
      <c r="N63" s="16"/>
      <c r="O63" s="17">
        <f t="shared" si="58"/>
        <v>0</v>
      </c>
      <c r="P63" s="16"/>
      <c r="Q63" s="16"/>
      <c r="R63" s="16">
        <v>25000</v>
      </c>
      <c r="S63" s="17">
        <f t="shared" si="59"/>
        <v>25000</v>
      </c>
      <c r="T63" s="14">
        <f t="shared" si="60"/>
        <v>25000</v>
      </c>
      <c r="U63" s="23">
        <f t="shared" si="11"/>
        <v>0</v>
      </c>
    </row>
    <row r="64" spans="1:22" s="13" customFormat="1" ht="19.5">
      <c r="A64" s="120">
        <v>8</v>
      </c>
      <c r="B64" s="18" t="s">
        <v>150</v>
      </c>
      <c r="C64" s="127">
        <v>15000</v>
      </c>
      <c r="D64" s="16"/>
      <c r="E64" s="16"/>
      <c r="F64" s="16"/>
      <c r="G64" s="17">
        <f t="shared" si="56"/>
        <v>0</v>
      </c>
      <c r="H64" s="16"/>
      <c r="I64" s="16"/>
      <c r="J64" s="16">
        <v>0</v>
      </c>
      <c r="K64" s="17">
        <f t="shared" si="57"/>
        <v>0</v>
      </c>
      <c r="L64" s="16"/>
      <c r="M64" s="16"/>
      <c r="N64" s="16">
        <v>0</v>
      </c>
      <c r="O64" s="17">
        <f t="shared" si="58"/>
        <v>0</v>
      </c>
      <c r="P64" s="16"/>
      <c r="Q64" s="16"/>
      <c r="R64" s="16">
        <v>15000</v>
      </c>
      <c r="S64" s="17">
        <f t="shared" si="59"/>
        <v>15000</v>
      </c>
      <c r="T64" s="14">
        <f t="shared" si="60"/>
        <v>15000</v>
      </c>
      <c r="U64" s="23">
        <f t="shared" si="11"/>
        <v>0</v>
      </c>
    </row>
    <row r="65" spans="1:21" s="13" customFormat="1" ht="39">
      <c r="A65" s="120">
        <v>9</v>
      </c>
      <c r="B65" s="18" t="s">
        <v>151</v>
      </c>
      <c r="C65" s="127">
        <v>20000</v>
      </c>
      <c r="D65" s="16"/>
      <c r="E65" s="16"/>
      <c r="F65" s="16"/>
      <c r="G65" s="17">
        <f t="shared" si="56"/>
        <v>0</v>
      </c>
      <c r="H65" s="16"/>
      <c r="I65" s="16"/>
      <c r="J65" s="16"/>
      <c r="K65" s="17">
        <f t="shared" si="57"/>
        <v>0</v>
      </c>
      <c r="L65" s="16"/>
      <c r="M65" s="16"/>
      <c r="N65" s="16"/>
      <c r="O65" s="17">
        <f t="shared" si="58"/>
        <v>0</v>
      </c>
      <c r="P65" s="16"/>
      <c r="Q65" s="16"/>
      <c r="R65" s="16">
        <v>20000</v>
      </c>
      <c r="S65" s="17">
        <f t="shared" si="59"/>
        <v>20000</v>
      </c>
      <c r="T65" s="14">
        <f t="shared" si="60"/>
        <v>20000</v>
      </c>
      <c r="U65" s="23">
        <f t="shared" si="11"/>
        <v>0</v>
      </c>
    </row>
    <row r="66" spans="1:21" s="13" customFormat="1" ht="21" customHeight="1">
      <c r="A66" s="120">
        <v>10</v>
      </c>
      <c r="B66" s="18" t="s">
        <v>152</v>
      </c>
      <c r="C66" s="127">
        <v>60000</v>
      </c>
      <c r="D66" s="16"/>
      <c r="E66" s="16"/>
      <c r="F66" s="16"/>
      <c r="G66" s="17">
        <f t="shared" si="56"/>
        <v>0</v>
      </c>
      <c r="H66" s="16"/>
      <c r="I66" s="16"/>
      <c r="J66" s="16"/>
      <c r="K66" s="17">
        <f t="shared" si="57"/>
        <v>0</v>
      </c>
      <c r="L66" s="16"/>
      <c r="M66" s="16"/>
      <c r="N66" s="16"/>
      <c r="O66" s="17">
        <f t="shared" si="58"/>
        <v>0</v>
      </c>
      <c r="P66" s="16"/>
      <c r="Q66" s="16"/>
      <c r="R66" s="16">
        <v>60000</v>
      </c>
      <c r="S66" s="17">
        <f t="shared" si="59"/>
        <v>60000</v>
      </c>
      <c r="T66" s="14">
        <f t="shared" si="60"/>
        <v>60000</v>
      </c>
      <c r="U66" s="23">
        <f t="shared" si="11"/>
        <v>0</v>
      </c>
    </row>
    <row r="67" spans="1:21" s="13" customFormat="1" ht="19.5">
      <c r="A67" s="120">
        <v>11</v>
      </c>
      <c r="B67" s="18" t="s">
        <v>153</v>
      </c>
      <c r="C67" s="131">
        <v>750000</v>
      </c>
      <c r="D67" s="16"/>
      <c r="E67" s="16"/>
      <c r="F67" s="16"/>
      <c r="G67" s="17">
        <f t="shared" si="56"/>
        <v>0</v>
      </c>
      <c r="H67" s="16"/>
      <c r="I67" s="16"/>
      <c r="J67" s="16"/>
      <c r="K67" s="17">
        <f t="shared" si="57"/>
        <v>0</v>
      </c>
      <c r="L67" s="16"/>
      <c r="M67" s="16"/>
      <c r="N67" s="16">
        <v>187500</v>
      </c>
      <c r="O67" s="17">
        <f t="shared" si="58"/>
        <v>187500</v>
      </c>
      <c r="P67" s="16">
        <v>187500</v>
      </c>
      <c r="Q67" s="16">
        <v>187500</v>
      </c>
      <c r="R67" s="16">
        <v>187500</v>
      </c>
      <c r="S67" s="17">
        <f t="shared" si="59"/>
        <v>562500</v>
      </c>
      <c r="T67" s="14">
        <f t="shared" si="60"/>
        <v>750000</v>
      </c>
      <c r="U67" s="23">
        <f t="shared" si="11"/>
        <v>0</v>
      </c>
    </row>
    <row r="68" spans="1:21" s="13" customFormat="1" ht="21.75" customHeight="1">
      <c r="A68" s="120">
        <v>12</v>
      </c>
      <c r="B68" s="18" t="s">
        <v>126</v>
      </c>
      <c r="C68" s="131">
        <v>300000</v>
      </c>
      <c r="D68" s="16"/>
      <c r="E68" s="16">
        <v>76680</v>
      </c>
      <c r="F68" s="16">
        <f>71340+57590</f>
        <v>128930</v>
      </c>
      <c r="G68" s="17">
        <f t="shared" si="56"/>
        <v>205610</v>
      </c>
      <c r="H68" s="16">
        <v>20000</v>
      </c>
      <c r="I68" s="16">
        <v>10000</v>
      </c>
      <c r="J68" s="16">
        <v>10000</v>
      </c>
      <c r="K68" s="17">
        <f t="shared" si="57"/>
        <v>40000</v>
      </c>
      <c r="L68" s="16"/>
      <c r="M68" s="16"/>
      <c r="N68" s="16">
        <v>10000</v>
      </c>
      <c r="O68" s="17">
        <f t="shared" si="58"/>
        <v>10000</v>
      </c>
      <c r="P68" s="16">
        <v>10000</v>
      </c>
      <c r="Q68" s="16">
        <v>15000</v>
      </c>
      <c r="R68" s="16">
        <v>19390</v>
      </c>
      <c r="S68" s="17">
        <f t="shared" si="59"/>
        <v>44390</v>
      </c>
      <c r="T68" s="14">
        <f t="shared" si="60"/>
        <v>300000</v>
      </c>
      <c r="U68" s="23">
        <f t="shared" si="11"/>
        <v>0</v>
      </c>
    </row>
    <row r="69" spans="1:21" s="13" customFormat="1" ht="21" customHeight="1">
      <c r="A69" s="120">
        <v>13</v>
      </c>
      <c r="B69" s="132" t="s">
        <v>162</v>
      </c>
      <c r="C69" s="131">
        <v>600000</v>
      </c>
      <c r="D69" s="16"/>
      <c r="E69" s="117">
        <v>78792</v>
      </c>
      <c r="F69" s="16">
        <v>30400</v>
      </c>
      <c r="G69" s="17">
        <f t="shared" ref="G69:G70" si="65">SUM(D69:F69)</f>
        <v>109192</v>
      </c>
      <c r="H69" s="16">
        <v>30000</v>
      </c>
      <c r="I69" s="16">
        <v>30000</v>
      </c>
      <c r="J69" s="16">
        <v>30000</v>
      </c>
      <c r="K69" s="17">
        <f t="shared" ref="K69:K70" si="66">SUM(H69:J69)</f>
        <v>90000</v>
      </c>
      <c r="L69" s="16">
        <v>30000</v>
      </c>
      <c r="M69" s="16"/>
      <c r="N69" s="16">
        <v>70808</v>
      </c>
      <c r="O69" s="17">
        <f t="shared" ref="O69:O70" si="67">SUM(L69:N69)</f>
        <v>100808</v>
      </c>
      <c r="P69" s="16">
        <v>100000</v>
      </c>
      <c r="Q69" s="16">
        <v>100000</v>
      </c>
      <c r="R69" s="16">
        <v>100000</v>
      </c>
      <c r="S69" s="17">
        <f t="shared" ref="S69:S70" si="68">SUM(P69:R69)</f>
        <v>300000</v>
      </c>
      <c r="T69" s="14">
        <f t="shared" si="60"/>
        <v>600000</v>
      </c>
      <c r="U69" s="23">
        <f t="shared" si="11"/>
        <v>0</v>
      </c>
    </row>
    <row r="70" spans="1:21" s="13" customFormat="1" ht="19.5">
      <c r="A70" s="120">
        <v>14</v>
      </c>
      <c r="B70" s="18" t="s">
        <v>154</v>
      </c>
      <c r="C70" s="131">
        <v>200000</v>
      </c>
      <c r="D70" s="16"/>
      <c r="E70" s="16">
        <v>19200</v>
      </c>
      <c r="F70" s="16">
        <f>18200+60200</f>
        <v>78400</v>
      </c>
      <c r="G70" s="17">
        <f t="shared" si="65"/>
        <v>97600</v>
      </c>
      <c r="H70" s="16">
        <v>17400</v>
      </c>
      <c r="I70" s="16">
        <v>15000</v>
      </c>
      <c r="J70" s="16">
        <v>10000</v>
      </c>
      <c r="K70" s="17">
        <f t="shared" si="66"/>
        <v>42400</v>
      </c>
      <c r="L70" s="16">
        <v>10000</v>
      </c>
      <c r="M70" s="16"/>
      <c r="N70" s="16">
        <v>10000</v>
      </c>
      <c r="O70" s="17">
        <f t="shared" si="67"/>
        <v>20000</v>
      </c>
      <c r="P70" s="16">
        <v>10000</v>
      </c>
      <c r="Q70" s="16">
        <v>15000</v>
      </c>
      <c r="R70" s="16">
        <v>15000</v>
      </c>
      <c r="S70" s="17">
        <f t="shared" si="68"/>
        <v>40000</v>
      </c>
      <c r="T70" s="14">
        <f t="shared" si="60"/>
        <v>200000</v>
      </c>
      <c r="U70" s="23">
        <f t="shared" si="11"/>
        <v>0</v>
      </c>
    </row>
    <row r="71" spans="1:21" s="13" customFormat="1" ht="29.25">
      <c r="A71" s="120">
        <v>15</v>
      </c>
      <c r="B71" s="18" t="s">
        <v>155</v>
      </c>
      <c r="C71" s="87">
        <v>280000</v>
      </c>
      <c r="D71" s="16"/>
      <c r="E71" s="16">
        <v>23800</v>
      </c>
      <c r="F71" s="16">
        <f>18400+19000</f>
        <v>37400</v>
      </c>
      <c r="G71" s="17">
        <f t="shared" ref="G71:G74" si="69">SUM(D71:F71)</f>
        <v>61200</v>
      </c>
      <c r="H71" s="16">
        <v>20000</v>
      </c>
      <c r="I71" s="16">
        <v>20000</v>
      </c>
      <c r="J71" s="16">
        <v>20000</v>
      </c>
      <c r="K71" s="17">
        <f t="shared" ref="K71:K77" si="70">SUM(H71:J71)</f>
        <v>60000</v>
      </c>
      <c r="L71" s="16">
        <v>10000</v>
      </c>
      <c r="M71" s="16"/>
      <c r="N71" s="16">
        <v>30000</v>
      </c>
      <c r="O71" s="17">
        <f t="shared" ref="O71:O77" si="71">SUM(L71:N71)</f>
        <v>40000</v>
      </c>
      <c r="P71" s="16">
        <v>40000</v>
      </c>
      <c r="Q71" s="16">
        <v>40000</v>
      </c>
      <c r="R71" s="16">
        <v>38800</v>
      </c>
      <c r="S71" s="17">
        <f t="shared" ref="S71:S77" si="72">SUM(P71:R71)</f>
        <v>118800</v>
      </c>
      <c r="T71" s="14">
        <f t="shared" ref="T71:T77" si="73">G71+K71+O71+S71</f>
        <v>280000</v>
      </c>
      <c r="U71" s="23">
        <f t="shared" ref="U71:U77" si="74">C71-T71</f>
        <v>0</v>
      </c>
    </row>
    <row r="72" spans="1:21" s="13" customFormat="1" ht="29.25">
      <c r="A72" s="120">
        <v>16</v>
      </c>
      <c r="B72" s="18" t="s">
        <v>156</v>
      </c>
      <c r="C72" s="131">
        <v>160000</v>
      </c>
      <c r="D72" s="16"/>
      <c r="E72" s="16">
        <v>5000</v>
      </c>
      <c r="F72" s="16">
        <f>9000+11000</f>
        <v>20000</v>
      </c>
      <c r="G72" s="17">
        <f t="shared" si="69"/>
        <v>25000</v>
      </c>
      <c r="H72" s="16">
        <v>15000</v>
      </c>
      <c r="I72" s="16">
        <v>10000</v>
      </c>
      <c r="J72" s="16">
        <v>10000</v>
      </c>
      <c r="K72" s="17">
        <f t="shared" si="70"/>
        <v>35000</v>
      </c>
      <c r="L72" s="16">
        <v>5000</v>
      </c>
      <c r="M72" s="16"/>
      <c r="N72" s="16">
        <v>10000</v>
      </c>
      <c r="O72" s="17">
        <f t="shared" si="71"/>
        <v>15000</v>
      </c>
      <c r="P72" s="16">
        <v>15000</v>
      </c>
      <c r="Q72" s="16">
        <v>30000</v>
      </c>
      <c r="R72" s="16">
        <v>40000</v>
      </c>
      <c r="S72" s="17">
        <f t="shared" si="72"/>
        <v>85000</v>
      </c>
      <c r="T72" s="14">
        <f t="shared" si="73"/>
        <v>160000</v>
      </c>
      <c r="U72" s="23">
        <f t="shared" si="74"/>
        <v>0</v>
      </c>
    </row>
    <row r="73" spans="1:21" s="13" customFormat="1" ht="29.25">
      <c r="A73" s="120">
        <v>17</v>
      </c>
      <c r="B73" s="18" t="s">
        <v>157</v>
      </c>
      <c r="C73" s="131">
        <v>50000</v>
      </c>
      <c r="D73" s="16"/>
      <c r="E73" s="16"/>
      <c r="F73" s="16"/>
      <c r="G73" s="17">
        <f t="shared" si="69"/>
        <v>0</v>
      </c>
      <c r="H73" s="16"/>
      <c r="I73" s="16"/>
      <c r="J73" s="16"/>
      <c r="K73" s="17">
        <f t="shared" si="70"/>
        <v>0</v>
      </c>
      <c r="L73" s="16"/>
      <c r="M73" s="16"/>
      <c r="N73" s="16"/>
      <c r="O73" s="17">
        <f t="shared" si="71"/>
        <v>0</v>
      </c>
      <c r="P73" s="16"/>
      <c r="Q73" s="16"/>
      <c r="R73" s="16"/>
      <c r="S73" s="17">
        <f t="shared" si="72"/>
        <v>0</v>
      </c>
      <c r="T73" s="14">
        <f t="shared" si="73"/>
        <v>0</v>
      </c>
      <c r="U73" s="23">
        <f t="shared" si="74"/>
        <v>50000</v>
      </c>
    </row>
    <row r="74" spans="1:21" s="13" customFormat="1" ht="19.5">
      <c r="A74" s="120">
        <v>18</v>
      </c>
      <c r="B74" s="18" t="s">
        <v>158</v>
      </c>
      <c r="C74" s="127">
        <v>200000</v>
      </c>
      <c r="D74" s="16"/>
      <c r="E74" s="16"/>
      <c r="F74" s="16"/>
      <c r="G74" s="17">
        <f t="shared" si="69"/>
        <v>0</v>
      </c>
      <c r="H74" s="16"/>
      <c r="I74" s="16"/>
      <c r="J74" s="16"/>
      <c r="K74" s="17">
        <f t="shared" si="70"/>
        <v>0</v>
      </c>
      <c r="L74" s="16"/>
      <c r="M74" s="16"/>
      <c r="N74" s="16"/>
      <c r="O74" s="17">
        <f t="shared" si="71"/>
        <v>0</v>
      </c>
      <c r="P74" s="16"/>
      <c r="Q74" s="16"/>
      <c r="R74" s="16"/>
      <c r="S74" s="17">
        <f t="shared" si="72"/>
        <v>0</v>
      </c>
      <c r="T74" s="14">
        <f t="shared" si="73"/>
        <v>0</v>
      </c>
      <c r="U74" s="23">
        <f t="shared" si="74"/>
        <v>200000</v>
      </c>
    </row>
    <row r="75" spans="1:21" s="13" customFormat="1" ht="29.25">
      <c r="A75" s="120">
        <v>19</v>
      </c>
      <c r="B75" s="18" t="s">
        <v>159</v>
      </c>
      <c r="C75" s="127">
        <v>368377</v>
      </c>
      <c r="D75" s="16"/>
      <c r="E75" s="16"/>
      <c r="F75" s="16"/>
      <c r="G75" s="17">
        <f t="shared" si="56"/>
        <v>0</v>
      </c>
      <c r="H75" s="16"/>
      <c r="I75" s="16"/>
      <c r="J75" s="16">
        <v>0</v>
      </c>
      <c r="K75" s="17">
        <f t="shared" si="70"/>
        <v>0</v>
      </c>
      <c r="L75" s="16"/>
      <c r="M75" s="16"/>
      <c r="N75" s="16"/>
      <c r="O75" s="17">
        <f t="shared" si="71"/>
        <v>0</v>
      </c>
      <c r="P75" s="16"/>
      <c r="Q75" s="16"/>
      <c r="R75" s="16">
        <v>268377</v>
      </c>
      <c r="S75" s="17">
        <f t="shared" si="72"/>
        <v>268377</v>
      </c>
      <c r="T75" s="14">
        <f t="shared" si="73"/>
        <v>268377</v>
      </c>
      <c r="U75" s="23">
        <f t="shared" si="74"/>
        <v>100000</v>
      </c>
    </row>
    <row r="76" spans="1:21" s="13" customFormat="1" ht="18.75" customHeight="1">
      <c r="A76" s="120">
        <v>20</v>
      </c>
      <c r="B76" s="132" t="s">
        <v>164</v>
      </c>
      <c r="C76" s="131">
        <v>72000</v>
      </c>
      <c r="D76" s="134"/>
      <c r="E76" s="134"/>
      <c r="F76" s="134"/>
      <c r="G76" s="17">
        <f t="shared" si="56"/>
        <v>0</v>
      </c>
      <c r="H76" s="134">
        <v>8000</v>
      </c>
      <c r="I76" s="134">
        <v>8000</v>
      </c>
      <c r="J76" s="134">
        <v>8000</v>
      </c>
      <c r="K76" s="17">
        <f t="shared" si="70"/>
        <v>24000</v>
      </c>
      <c r="L76" s="134">
        <v>8000</v>
      </c>
      <c r="M76" s="134">
        <v>8000</v>
      </c>
      <c r="N76" s="134">
        <v>8000</v>
      </c>
      <c r="O76" s="17">
        <f t="shared" si="71"/>
        <v>24000</v>
      </c>
      <c r="P76" s="134">
        <v>8000</v>
      </c>
      <c r="Q76" s="134">
        <v>8000</v>
      </c>
      <c r="R76" s="134">
        <v>8000</v>
      </c>
      <c r="S76" s="17">
        <f t="shared" si="72"/>
        <v>24000</v>
      </c>
      <c r="T76" s="14">
        <f t="shared" si="73"/>
        <v>72000</v>
      </c>
      <c r="U76" s="23">
        <f t="shared" si="74"/>
        <v>0</v>
      </c>
    </row>
    <row r="77" spans="1:21" s="13" customFormat="1" ht="19.5">
      <c r="A77" s="120">
        <v>21</v>
      </c>
      <c r="B77" s="132" t="s">
        <v>165</v>
      </c>
      <c r="C77" s="131">
        <v>40000</v>
      </c>
      <c r="D77" s="134"/>
      <c r="E77" s="134"/>
      <c r="F77" s="134"/>
      <c r="G77" s="17">
        <f t="shared" si="56"/>
        <v>0</v>
      </c>
      <c r="H77" s="134"/>
      <c r="I77" s="134">
        <v>40000</v>
      </c>
      <c r="J77" s="134"/>
      <c r="K77" s="17">
        <f t="shared" si="70"/>
        <v>40000</v>
      </c>
      <c r="L77" s="134"/>
      <c r="M77" s="134"/>
      <c r="N77" s="134"/>
      <c r="O77" s="17">
        <f t="shared" si="71"/>
        <v>0</v>
      </c>
      <c r="P77" s="134"/>
      <c r="Q77" s="134"/>
      <c r="R77" s="134"/>
      <c r="S77" s="17">
        <f t="shared" si="72"/>
        <v>0</v>
      </c>
      <c r="T77" s="14">
        <f t="shared" si="73"/>
        <v>40000</v>
      </c>
      <c r="U77" s="23">
        <f t="shared" si="74"/>
        <v>0</v>
      </c>
    </row>
    <row r="78" spans="1:21" s="8" customFormat="1" ht="18" customHeight="1">
      <c r="A78" s="152" t="s">
        <v>115</v>
      </c>
      <c r="B78" s="153"/>
      <c r="C78" s="12">
        <f t="shared" ref="C78:U78" si="75">C6+C28+C37+C41+C46+C52+C54+C56</f>
        <v>15376451.41</v>
      </c>
      <c r="D78" s="11">
        <f t="shared" si="75"/>
        <v>772730</v>
      </c>
      <c r="E78" s="11">
        <f t="shared" si="75"/>
        <v>1005958.4299999999</v>
      </c>
      <c r="F78" s="11">
        <f t="shared" si="75"/>
        <v>1137396.5</v>
      </c>
      <c r="G78" s="139">
        <f t="shared" si="75"/>
        <v>2916084.93</v>
      </c>
      <c r="H78" s="11">
        <f t="shared" si="75"/>
        <v>1006440</v>
      </c>
      <c r="I78" s="11">
        <f t="shared" si="75"/>
        <v>956540</v>
      </c>
      <c r="J78" s="11">
        <f t="shared" si="75"/>
        <v>927620</v>
      </c>
      <c r="K78" s="139">
        <f t="shared" si="75"/>
        <v>2890600</v>
      </c>
      <c r="L78" s="11">
        <f t="shared" si="75"/>
        <v>928700</v>
      </c>
      <c r="M78" s="11">
        <f t="shared" si="75"/>
        <v>1438924.21</v>
      </c>
      <c r="N78" s="11">
        <f t="shared" si="75"/>
        <v>1316218</v>
      </c>
      <c r="O78" s="139">
        <f t="shared" si="75"/>
        <v>3683842.21</v>
      </c>
      <c r="P78" s="11">
        <f t="shared" si="75"/>
        <v>1367770</v>
      </c>
      <c r="Q78" s="11">
        <f t="shared" si="75"/>
        <v>1466230.2</v>
      </c>
      <c r="R78" s="11">
        <f t="shared" si="75"/>
        <v>2076837</v>
      </c>
      <c r="S78" s="139">
        <f t="shared" si="75"/>
        <v>4910837.2</v>
      </c>
      <c r="T78" s="10">
        <f t="shared" si="75"/>
        <v>14401364.34</v>
      </c>
      <c r="U78" s="9">
        <f t="shared" si="75"/>
        <v>975087.07000000007</v>
      </c>
    </row>
    <row r="79" spans="1:21" ht="15.75" customHeight="1">
      <c r="B79" s="1" t="s">
        <v>166</v>
      </c>
      <c r="C79" s="5">
        <f>SUM(D78:E78)</f>
        <v>1778688.43</v>
      </c>
    </row>
    <row r="80" spans="1:21" ht="15.75" customHeight="1">
      <c r="B80" s="142" t="s">
        <v>167</v>
      </c>
      <c r="C80" s="143">
        <f>345.61+78792</f>
        <v>79137.61</v>
      </c>
    </row>
    <row r="81" spans="2:6" ht="17.25" customHeight="1">
      <c r="B81" s="140" t="s">
        <v>168</v>
      </c>
      <c r="C81" s="141">
        <f>C79-C80</f>
        <v>1699550.8199999998</v>
      </c>
    </row>
    <row r="85" spans="2:6" ht="78">
      <c r="F85" s="86" t="s">
        <v>0</v>
      </c>
    </row>
    <row r="86" spans="2:6" ht="78">
      <c r="F86" s="86" t="s">
        <v>1</v>
      </c>
    </row>
  </sheetData>
  <mergeCells count="14">
    <mergeCell ref="A1:G1"/>
    <mergeCell ref="D4:G4"/>
    <mergeCell ref="H4:K4"/>
    <mergeCell ref="L4:O4"/>
    <mergeCell ref="P4:S4"/>
    <mergeCell ref="A6:B6"/>
    <mergeCell ref="A56:B56"/>
    <mergeCell ref="A78:B78"/>
    <mergeCell ref="A28:B28"/>
    <mergeCell ref="A37:B37"/>
    <mergeCell ref="A41:B41"/>
    <mergeCell ref="A46:B46"/>
    <mergeCell ref="A52:B52"/>
    <mergeCell ref="A54:B54"/>
  </mergeCells>
  <printOptions horizontalCentered="1"/>
  <pageMargins left="0" right="0" top="0.55118110236220474" bottom="0.35433070866141736" header="0.31496062992125984" footer="0.3149606299212598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5" sqref="G25"/>
    </sheetView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Budget Plan</vt:lpstr>
      <vt:lpstr>Budget Plan (2)</vt:lpstr>
      <vt:lpstr>3rd Revised</vt:lpstr>
      <vt:lpstr>Sheet2</vt:lpstr>
      <vt:lpstr>Sheet3</vt:lpstr>
      <vt:lpstr>'3rd Revised'!Print_Titles</vt:lpstr>
      <vt:lpstr>'Budget Plan'!Print_Titles</vt:lpstr>
      <vt:lpstr>'Budget Plan (2)'!Print_Titles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pjeab1</dc:creator>
  <cp:lastModifiedBy>GAP3</cp:lastModifiedBy>
  <cp:lastPrinted>2017-12-15T07:43:29Z</cp:lastPrinted>
  <dcterms:created xsi:type="dcterms:W3CDTF">2009-10-30T05:02:04Z</dcterms:created>
  <dcterms:modified xsi:type="dcterms:W3CDTF">2017-12-15T07:43:32Z</dcterms:modified>
</cp:coreProperties>
</file>