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en\Downloads\"/>
    </mc:Choice>
  </mc:AlternateContent>
  <bookViews>
    <workbookView xWindow="0" yWindow="0" windowWidth="20490" windowHeight="7665" firstSheet="3" activeTab="7"/>
  </bookViews>
  <sheets>
    <sheet name="Cronograma actividades" sheetId="4" r:id="rId1"/>
    <sheet name="Costo por Actividades" sheetId="12" r:id="rId2"/>
    <sheet name="Presupuesto del proyecto" sheetId="13" r:id="rId3"/>
    <sheet name="Oferta economica" sheetId="10" r:id="rId4"/>
    <sheet name="costo x actividades" sheetId="7" state="hidden" r:id="rId5"/>
    <sheet name="Presupuesto " sheetId="9" state="hidden" r:id="rId6"/>
    <sheet name="Depreciasion" sheetId="11" state="hidden" r:id="rId7"/>
    <sheet name="Flujo de Efectivos" sheetId="18" r:id="rId8"/>
    <sheet name="Estado de Perdidas y Ganacias" sheetId="19" r:id="rId9"/>
    <sheet name="Balance General" sheetId="20" r:id="rId10"/>
  </sheets>
  <calcPr calcId="162913"/>
</workbook>
</file>

<file path=xl/calcChain.xml><?xml version="1.0" encoding="utf-8"?>
<calcChain xmlns="http://schemas.openxmlformats.org/spreadsheetml/2006/main">
  <c r="T53" i="12" l="1"/>
  <c r="T52" i="12"/>
  <c r="T51" i="12"/>
  <c r="T49" i="12"/>
  <c r="S50" i="12"/>
  <c r="S54" i="12"/>
  <c r="S53" i="12"/>
  <c r="S52" i="12"/>
  <c r="S51" i="12"/>
  <c r="S49" i="12"/>
  <c r="F7" i="13"/>
  <c r="F5" i="19"/>
  <c r="W87" i="12" l="1"/>
  <c r="W86" i="12"/>
  <c r="W85" i="12"/>
  <c r="W84" i="12"/>
  <c r="S85" i="12"/>
  <c r="S87" i="12"/>
  <c r="S86" i="12"/>
  <c r="S84" i="12"/>
  <c r="T78" i="12"/>
  <c r="I20" i="18" s="1"/>
  <c r="T77" i="12"/>
  <c r="T76" i="12"/>
  <c r="I17" i="18" s="1"/>
  <c r="T75" i="12"/>
  <c r="T73" i="12"/>
  <c r="I13" i="18" s="1"/>
  <c r="I24" i="18" s="1"/>
  <c r="T67" i="12"/>
  <c r="T66" i="12"/>
  <c r="T63" i="12" s="1"/>
  <c r="T65" i="12"/>
  <c r="T64" i="12"/>
  <c r="T62" i="12"/>
  <c r="W78" i="12"/>
  <c r="W77" i="12"/>
  <c r="W76" i="12"/>
  <c r="W75" i="12"/>
  <c r="W73" i="12"/>
  <c r="T74" i="12"/>
  <c r="I16" i="18" s="1"/>
  <c r="S78" i="12"/>
  <c r="S77" i="12"/>
  <c r="S74" i="12" s="1"/>
  <c r="H16" i="18" s="1"/>
  <c r="S76" i="12"/>
  <c r="H17" i="18" s="1"/>
  <c r="S75" i="12"/>
  <c r="S73" i="12"/>
  <c r="H13" i="18" s="1"/>
  <c r="T54" i="12"/>
  <c r="T50" i="12" s="1"/>
  <c r="J23" i="18"/>
  <c r="I23" i="18"/>
  <c r="H23" i="18"/>
  <c r="G23" i="18"/>
  <c r="J22" i="18"/>
  <c r="W74" i="12" l="1"/>
  <c r="H20" i="18"/>
  <c r="H24" i="18" s="1"/>
  <c r="K86" i="12"/>
  <c r="K82" i="12"/>
  <c r="K78" i="12"/>
  <c r="K74" i="12"/>
  <c r="K73" i="12"/>
  <c r="K69" i="12"/>
  <c r="K63" i="12"/>
  <c r="K59" i="12"/>
  <c r="K55" i="12"/>
  <c r="K49" i="12"/>
  <c r="K45" i="12"/>
  <c r="K40" i="12"/>
  <c r="K33" i="12"/>
  <c r="K29" i="12"/>
  <c r="K24" i="12"/>
  <c r="K18" i="12"/>
  <c r="K12" i="12"/>
  <c r="K5" i="12"/>
  <c r="O87" i="12"/>
  <c r="P87" i="12" s="1"/>
  <c r="J18" i="18" s="1"/>
  <c r="O43" i="12"/>
  <c r="O88" i="12"/>
  <c r="O86" i="12"/>
  <c r="P88" i="12"/>
  <c r="P86" i="12"/>
  <c r="L86" i="12"/>
  <c r="L89" i="12" s="1"/>
  <c r="H89" i="12"/>
  <c r="H77" i="12"/>
  <c r="D91" i="12"/>
  <c r="P89" i="12" l="1"/>
  <c r="Q86" i="12" s="1"/>
  <c r="O82" i="12"/>
  <c r="O78" i="12"/>
  <c r="O73" i="12"/>
  <c r="P73" i="12" s="1"/>
  <c r="O6" i="12"/>
  <c r="O69" i="12"/>
  <c r="O63" i="12"/>
  <c r="O59" i="12"/>
  <c r="O66" i="12"/>
  <c r="O65" i="12"/>
  <c r="P65" i="12" s="1"/>
  <c r="O55" i="12"/>
  <c r="O49" i="12"/>
  <c r="O51" i="12"/>
  <c r="P51" i="12" s="1"/>
  <c r="O9" i="12"/>
  <c r="O45" i="12"/>
  <c r="O47" i="12"/>
  <c r="O40" i="12"/>
  <c r="O24" i="12"/>
  <c r="O38" i="12"/>
  <c r="O35" i="12"/>
  <c r="O33" i="12"/>
  <c r="O31" i="12"/>
  <c r="O29" i="12"/>
  <c r="O19" i="12"/>
  <c r="O21" i="12"/>
  <c r="O13" i="12"/>
  <c r="O16" i="12"/>
  <c r="O15" i="12"/>
  <c r="P6" i="12" l="1"/>
  <c r="O8" i="12"/>
  <c r="O5" i="12"/>
  <c r="P5" i="12" s="1"/>
  <c r="H17" i="12" l="1"/>
  <c r="O22" i="12" l="1"/>
  <c r="P22" i="12" s="1"/>
  <c r="P21" i="12"/>
  <c r="P19" i="12"/>
  <c r="P18" i="12"/>
  <c r="L18" i="12"/>
  <c r="L23" i="12" s="1"/>
  <c r="H23" i="12"/>
  <c r="O20" i="12" l="1"/>
  <c r="P20" i="12" s="1"/>
  <c r="P23" i="12" s="1"/>
  <c r="Q18" i="12" s="1"/>
  <c r="E6" i="13"/>
  <c r="C19" i="10" s="1"/>
  <c r="D19" i="10" s="1"/>
  <c r="O75" i="12"/>
  <c r="P75" i="12" s="1"/>
  <c r="O76" i="12"/>
  <c r="P76" i="12" s="1"/>
  <c r="P66" i="12"/>
  <c r="O52" i="12"/>
  <c r="P52" i="12" s="1"/>
  <c r="P9" i="12"/>
  <c r="O84" i="12"/>
  <c r="P84" i="12" s="1"/>
  <c r="J17" i="18" s="1"/>
  <c r="P82" i="12"/>
  <c r="J13" i="18" s="1"/>
  <c r="L82" i="12"/>
  <c r="H82" i="12"/>
  <c r="H85" i="12" s="1"/>
  <c r="P78" i="12"/>
  <c r="O80" i="12"/>
  <c r="P80" i="12" s="1"/>
  <c r="L78" i="12"/>
  <c r="H81" i="12"/>
  <c r="L74" i="12"/>
  <c r="L73" i="12"/>
  <c r="O71" i="12"/>
  <c r="P71" i="12" s="1"/>
  <c r="G17" i="18" s="1"/>
  <c r="P69" i="12"/>
  <c r="G13" i="18" s="1"/>
  <c r="H72" i="12"/>
  <c r="L69" i="12"/>
  <c r="H68" i="12"/>
  <c r="O67" i="12"/>
  <c r="P67" i="12" s="1"/>
  <c r="P63" i="12"/>
  <c r="L63" i="12"/>
  <c r="O61" i="12"/>
  <c r="P61" i="12" s="1"/>
  <c r="P59" i="12"/>
  <c r="L59" i="12"/>
  <c r="L62" i="12" s="1"/>
  <c r="H62" i="12"/>
  <c r="H58" i="12"/>
  <c r="O57" i="12"/>
  <c r="P57" i="12" s="1"/>
  <c r="P55" i="12"/>
  <c r="P49" i="12"/>
  <c r="O53" i="12"/>
  <c r="P53" i="12" s="1"/>
  <c r="L55" i="12"/>
  <c r="L49" i="12"/>
  <c r="O50" i="12" s="1"/>
  <c r="H54" i="12"/>
  <c r="L85" i="12" l="1"/>
  <c r="J20" i="18"/>
  <c r="L72" i="12"/>
  <c r="G20" i="18"/>
  <c r="D18" i="13"/>
  <c r="E18" i="13" s="1"/>
  <c r="L54" i="12"/>
  <c r="D9" i="13"/>
  <c r="E9" i="13" s="1"/>
  <c r="L68" i="12"/>
  <c r="D11" i="13"/>
  <c r="E11" i="13" s="1"/>
  <c r="D10" i="13"/>
  <c r="L77" i="12"/>
  <c r="O56" i="12"/>
  <c r="P56" i="12" s="1"/>
  <c r="L58" i="12"/>
  <c r="P58" i="12"/>
  <c r="O79" i="12"/>
  <c r="P79" i="12" s="1"/>
  <c r="P81" i="12" s="1"/>
  <c r="L81" i="12"/>
  <c r="E7" i="13"/>
  <c r="G11" i="13" s="1"/>
  <c r="E7" i="19" s="1"/>
  <c r="O83" i="12"/>
  <c r="P83" i="12" s="1"/>
  <c r="O74" i="12"/>
  <c r="P74" i="12" s="1"/>
  <c r="P77" i="12" s="1"/>
  <c r="Q73" i="12" s="1"/>
  <c r="O70" i="12"/>
  <c r="P70" i="12" s="1"/>
  <c r="O64" i="12"/>
  <c r="P64" i="12" s="1"/>
  <c r="P68" i="12" s="1"/>
  <c r="Q63" i="12" s="1"/>
  <c r="O60" i="12"/>
  <c r="P60" i="12" s="1"/>
  <c r="P62" i="12" s="1"/>
  <c r="Q59" i="12" s="1"/>
  <c r="P50" i="12"/>
  <c r="P54" i="12" s="1"/>
  <c r="Q49" i="12" s="1"/>
  <c r="P72" i="12" l="1"/>
  <c r="Q69" i="12" s="1"/>
  <c r="G16" i="18"/>
  <c r="G24" i="18" s="1"/>
  <c r="P85" i="12"/>
  <c r="Q82" i="12" s="1"/>
  <c r="J16" i="18"/>
  <c r="J24" i="18" s="1"/>
  <c r="Q55" i="12"/>
  <c r="Q78" i="12"/>
  <c r="H48" i="12"/>
  <c r="P47" i="12"/>
  <c r="F17" i="18" s="1"/>
  <c r="P45" i="12"/>
  <c r="F13" i="18" s="1"/>
  <c r="L45" i="12"/>
  <c r="L48" i="12" l="1"/>
  <c r="F20" i="18"/>
  <c r="O46" i="12"/>
  <c r="P46" i="12" s="1"/>
  <c r="P48" i="12" l="1"/>
  <c r="Q45" i="12" s="1"/>
  <c r="F16" i="18"/>
  <c r="F24" i="18" s="1"/>
  <c r="H44" i="12"/>
  <c r="P43" i="12"/>
  <c r="O42" i="12"/>
  <c r="P42" i="12" s="1"/>
  <c r="P40" i="12"/>
  <c r="L40" i="12"/>
  <c r="L33" i="12"/>
  <c r="P36" i="12"/>
  <c r="P37" i="12"/>
  <c r="P38" i="12"/>
  <c r="P33" i="12"/>
  <c r="P35" i="12"/>
  <c r="H39" i="12"/>
  <c r="P31" i="12"/>
  <c r="D17" i="13" s="1"/>
  <c r="E17" i="13" s="1"/>
  <c r="P29" i="12"/>
  <c r="E15" i="18" s="1"/>
  <c r="L29" i="12"/>
  <c r="L32" i="12" s="1"/>
  <c r="H32" i="12"/>
  <c r="L12" i="12"/>
  <c r="L17" i="12" s="1"/>
  <c r="L5" i="12"/>
  <c r="D20" i="18" s="1"/>
  <c r="P24" i="12"/>
  <c r="E13" i="18" s="1"/>
  <c r="O26" i="12"/>
  <c r="P26" i="12" s="1"/>
  <c r="E17" i="18" s="1"/>
  <c r="O27" i="12"/>
  <c r="P27" i="12" s="1"/>
  <c r="E18" i="18" s="1"/>
  <c r="P12" i="12"/>
  <c r="D14" i="18" s="1"/>
  <c r="L24" i="12"/>
  <c r="H28" i="12"/>
  <c r="P13" i="12"/>
  <c r="D13" i="18" s="1"/>
  <c r="P16" i="12"/>
  <c r="P15" i="12"/>
  <c r="P8" i="12"/>
  <c r="O10" i="12"/>
  <c r="P10" i="12" s="1"/>
  <c r="D18" i="18" s="1"/>
  <c r="H11" i="12"/>
  <c r="D17" i="18" l="1"/>
  <c r="L28" i="12"/>
  <c r="E20" i="18"/>
  <c r="M27" i="18"/>
  <c r="D19" i="13"/>
  <c r="E19" i="13" s="1"/>
  <c r="D20" i="13"/>
  <c r="D15" i="13"/>
  <c r="E15" i="13" s="1"/>
  <c r="D8" i="13"/>
  <c r="L11" i="12"/>
  <c r="D14" i="13"/>
  <c r="E14" i="13" s="1"/>
  <c r="O34" i="12"/>
  <c r="P34" i="12" s="1"/>
  <c r="P39" i="12" s="1"/>
  <c r="L39" i="12"/>
  <c r="D21" i="13"/>
  <c r="E21" i="13" s="1"/>
  <c r="D16" i="13"/>
  <c r="E16" i="13" s="1"/>
  <c r="O41" i="12"/>
  <c r="L44" i="12"/>
  <c r="H91" i="12"/>
  <c r="E8" i="13"/>
  <c r="O14" i="12"/>
  <c r="P14" i="12" s="1"/>
  <c r="P17" i="12" s="1"/>
  <c r="Q12" i="12" s="1"/>
  <c r="O7" i="12"/>
  <c r="P7" i="12" s="1"/>
  <c r="P41" i="12"/>
  <c r="P44" i="12" s="1"/>
  <c r="Q40" i="12" s="1"/>
  <c r="O30" i="12"/>
  <c r="P30" i="12" s="1"/>
  <c r="P32" i="12" s="1"/>
  <c r="Q29" i="12" s="1"/>
  <c r="O25" i="12"/>
  <c r="P25" i="12" s="1"/>
  <c r="P28" i="12" l="1"/>
  <c r="Q24" i="12" s="1"/>
  <c r="E16" i="18"/>
  <c r="E24" i="18" s="1"/>
  <c r="P11" i="12"/>
  <c r="Q5" i="12" s="1"/>
  <c r="D16" i="18"/>
  <c r="D24" i="18" s="1"/>
  <c r="Q33" i="12"/>
  <c r="Q90" i="12"/>
  <c r="H11" i="13"/>
  <c r="L91" i="12"/>
  <c r="D13" i="13"/>
  <c r="E13" i="13" s="1"/>
  <c r="I11" i="13" l="1"/>
  <c r="E8" i="19"/>
  <c r="F9" i="19" s="1"/>
  <c r="F11" i="19" s="1"/>
  <c r="F12" i="19" s="1"/>
  <c r="P91" i="12"/>
  <c r="Q91" i="12" s="1"/>
  <c r="E10" i="13"/>
  <c r="E12" i="13" s="1"/>
  <c r="G14" i="13" l="1"/>
  <c r="N82" i="7"/>
  <c r="N7" i="7"/>
  <c r="J6" i="7"/>
  <c r="K6" i="7" s="1"/>
  <c r="N96" i="7" l="1"/>
  <c r="O96" i="7" s="1"/>
  <c r="O97" i="7" s="1"/>
  <c r="N93" i="7"/>
  <c r="O93" i="7" s="1"/>
  <c r="N94" i="7"/>
  <c r="O94" i="7" s="1"/>
  <c r="N90" i="7"/>
  <c r="N89" i="7"/>
  <c r="O89" i="7" s="1"/>
  <c r="O90" i="7"/>
  <c r="O82" i="7"/>
  <c r="N86" i="7"/>
  <c r="O86" i="7"/>
  <c r="N85" i="7"/>
  <c r="O85" i="7" s="1"/>
  <c r="N81" i="7"/>
  <c r="O81" i="7" s="1"/>
  <c r="O83" i="7" s="1"/>
  <c r="J96" i="7"/>
  <c r="K96" i="7" s="1"/>
  <c r="K97" i="7" s="1"/>
  <c r="J93" i="7"/>
  <c r="J92" i="7"/>
  <c r="K93" i="7"/>
  <c r="K92" i="7"/>
  <c r="J82" i="7"/>
  <c r="J84" i="7"/>
  <c r="K84" i="7" s="1"/>
  <c r="J85" i="7"/>
  <c r="J88" i="7"/>
  <c r="K88" i="7" s="1"/>
  <c r="K91" i="7" s="1"/>
  <c r="N88" i="7" s="1"/>
  <c r="O88" i="7" s="1"/>
  <c r="K85" i="7"/>
  <c r="J81" i="7"/>
  <c r="K82" i="7"/>
  <c r="K81" i="7"/>
  <c r="C98" i="7"/>
  <c r="G92" i="7"/>
  <c r="G95" i="7"/>
  <c r="G87" i="7"/>
  <c r="G91" i="7"/>
  <c r="G97" i="7" s="1"/>
  <c r="G83" i="7"/>
  <c r="N79" i="7"/>
  <c r="O79" i="7" s="1"/>
  <c r="N78" i="7"/>
  <c r="O78" i="7" s="1"/>
  <c r="J78" i="7"/>
  <c r="K78" i="7" s="1"/>
  <c r="J79" i="7"/>
  <c r="K79" i="7" s="1"/>
  <c r="N75" i="7"/>
  <c r="O75" i="7" s="1"/>
  <c r="O76" i="7" s="1"/>
  <c r="J75" i="7"/>
  <c r="K75" i="7" s="1"/>
  <c r="J74" i="7"/>
  <c r="K74" i="7" s="1"/>
  <c r="K76" i="7" s="1"/>
  <c r="G76" i="7"/>
  <c r="G80" i="7" s="1"/>
  <c r="N67" i="7"/>
  <c r="O67" i="7" s="1"/>
  <c r="O73" i="7" s="1"/>
  <c r="N70" i="7"/>
  <c r="O70" i="7" s="1"/>
  <c r="J72" i="7"/>
  <c r="K72" i="7" s="1"/>
  <c r="K73" i="7" s="1"/>
  <c r="G73" i="7"/>
  <c r="N65" i="7"/>
  <c r="O65" i="7" s="1"/>
  <c r="O66" i="7" s="1"/>
  <c r="J65" i="7"/>
  <c r="K65" i="7" s="1"/>
  <c r="K66" i="7" s="1"/>
  <c r="N62" i="7"/>
  <c r="O62" i="7" s="1"/>
  <c r="N61" i="7"/>
  <c r="O61" i="7" s="1"/>
  <c r="J60" i="7"/>
  <c r="K60" i="7" s="1"/>
  <c r="J62" i="7"/>
  <c r="K62" i="7" s="1"/>
  <c r="J61" i="7"/>
  <c r="K61" i="7" s="1"/>
  <c r="N58" i="7"/>
  <c r="O58" i="7" s="1"/>
  <c r="N57" i="7"/>
  <c r="O57" i="7" s="1"/>
  <c r="J58" i="7"/>
  <c r="K58" i="7" s="1"/>
  <c r="J57" i="7"/>
  <c r="K57" i="7" s="1"/>
  <c r="N54" i="7"/>
  <c r="O54" i="7" s="1"/>
  <c r="N53" i="7"/>
  <c r="O53" i="7" s="1"/>
  <c r="J53" i="7"/>
  <c r="K53" i="7" s="1"/>
  <c r="J48" i="7"/>
  <c r="K48" i="7" s="1"/>
  <c r="J54" i="7"/>
  <c r="K54" i="7"/>
  <c r="N49" i="7"/>
  <c r="N48" i="7"/>
  <c r="J47" i="7"/>
  <c r="K47" i="7" s="1"/>
  <c r="G51" i="7"/>
  <c r="N43" i="7"/>
  <c r="N44" i="7"/>
  <c r="O44" i="7" s="1"/>
  <c r="O43" i="7"/>
  <c r="J43" i="7"/>
  <c r="K43" i="7" s="1"/>
  <c r="J42" i="7"/>
  <c r="K42" i="7" s="1"/>
  <c r="N32" i="7"/>
  <c r="O32" i="7" s="1"/>
  <c r="N36" i="7"/>
  <c r="N39" i="7"/>
  <c r="N40" i="7"/>
  <c r="O40" i="7" s="1"/>
  <c r="O39" i="7"/>
  <c r="G41" i="7"/>
  <c r="J40" i="7"/>
  <c r="K40" i="7" s="1"/>
  <c r="J39" i="7"/>
  <c r="J38" i="7"/>
  <c r="K39" i="7"/>
  <c r="N35" i="7"/>
  <c r="O36" i="7"/>
  <c r="J35" i="7"/>
  <c r="K35" i="7" s="1"/>
  <c r="J34" i="7"/>
  <c r="K34" i="7" s="1"/>
  <c r="G37" i="7"/>
  <c r="N31" i="7"/>
  <c r="O31" i="7" s="1"/>
  <c r="J31" i="7"/>
  <c r="J30" i="7"/>
  <c r="J28" i="7"/>
  <c r="K28" i="7" s="1"/>
  <c r="G33" i="7"/>
  <c r="G29" i="7"/>
  <c r="N27" i="7"/>
  <c r="O27" i="7" s="1"/>
  <c r="N28" i="7"/>
  <c r="O28" i="7" s="1"/>
  <c r="J27" i="7"/>
  <c r="K27" i="7" s="1"/>
  <c r="J26" i="7"/>
  <c r="K26" i="7" s="1"/>
  <c r="N24" i="7"/>
  <c r="O24" i="7" s="1"/>
  <c r="N23" i="7"/>
  <c r="O23" i="7" s="1"/>
  <c r="J24" i="7"/>
  <c r="K24" i="7" s="1"/>
  <c r="J23" i="7"/>
  <c r="K23" i="7" s="1"/>
  <c r="J22" i="7"/>
  <c r="K22" i="7" s="1"/>
  <c r="G25" i="7"/>
  <c r="N20" i="7"/>
  <c r="N19" i="7"/>
  <c r="O20" i="7"/>
  <c r="O19" i="7"/>
  <c r="N17" i="7"/>
  <c r="N16" i="7"/>
  <c r="N14" i="7"/>
  <c r="O14" i="7" s="1"/>
  <c r="J20" i="7"/>
  <c r="K20" i="7" s="1"/>
  <c r="J19" i="7"/>
  <c r="K19" i="7" s="1"/>
  <c r="G21" i="7"/>
  <c r="O17" i="7"/>
  <c r="O16" i="7"/>
  <c r="J16" i="7"/>
  <c r="J17" i="7"/>
  <c r="K17" i="7" s="1"/>
  <c r="K16" i="7"/>
  <c r="G18" i="7"/>
  <c r="G12" i="7"/>
  <c r="N13" i="7"/>
  <c r="J14" i="7"/>
  <c r="K14" i="7" s="1"/>
  <c r="J13" i="7"/>
  <c r="K13" i="7" s="1"/>
  <c r="G15" i="7"/>
  <c r="N11" i="7"/>
  <c r="O11" i="7" s="1"/>
  <c r="N9" i="7"/>
  <c r="O9" i="7" s="1"/>
  <c r="O7" i="7"/>
  <c r="G8" i="7"/>
  <c r="J10" i="7"/>
  <c r="K10" i="7" s="1"/>
  <c r="J7" i="7"/>
  <c r="K7" i="7" s="1"/>
  <c r="J9" i="7"/>
  <c r="K9" i="7" s="1"/>
  <c r="N10" i="7" s="1"/>
  <c r="N6" i="7"/>
  <c r="O6" i="7" s="1"/>
  <c r="O18" i="7" l="1"/>
  <c r="O21" i="7"/>
  <c r="K63" i="7"/>
  <c r="N60" i="7" s="1"/>
  <c r="O60" i="7" s="1"/>
  <c r="O63" i="7" s="1"/>
  <c r="P60" i="7" s="1"/>
  <c r="P64" i="7"/>
  <c r="E20" i="13"/>
  <c r="K59" i="7"/>
  <c r="N56" i="7" s="1"/>
  <c r="O56" i="7" s="1"/>
  <c r="O59" i="7" s="1"/>
  <c r="P56" i="7" s="1"/>
  <c r="O91" i="7"/>
  <c r="K87" i="7"/>
  <c r="N84" i="7" s="1"/>
  <c r="K95" i="7"/>
  <c r="N92" i="7" s="1"/>
  <c r="O92" i="7" s="1"/>
  <c r="O95" i="7" s="1"/>
  <c r="P92" i="7" s="1"/>
  <c r="O8" i="7"/>
  <c r="K18" i="7"/>
  <c r="K21" i="7"/>
  <c r="K25" i="7"/>
  <c r="N22" i="7" s="1"/>
  <c r="O22" i="7" s="1"/>
  <c r="K29" i="7"/>
  <c r="N26" i="7" s="1"/>
  <c r="O26" i="7" s="1"/>
  <c r="O29" i="7" s="1"/>
  <c r="P26" i="7" s="1"/>
  <c r="K46" i="7"/>
  <c r="N42" i="7" s="1"/>
  <c r="O42" i="7" s="1"/>
  <c r="O46" i="7" s="1"/>
  <c r="P42" i="7" s="1"/>
  <c r="K51" i="7"/>
  <c r="N47" i="7" s="1"/>
  <c r="K55" i="7"/>
  <c r="N52" i="7" s="1"/>
  <c r="O52" i="7" s="1"/>
  <c r="O55" i="7" s="1"/>
  <c r="P52" i="7" s="1"/>
  <c r="K15" i="7"/>
  <c r="P96" i="7"/>
  <c r="P88" i="7"/>
  <c r="G98" i="7"/>
  <c r="O84" i="7"/>
  <c r="O87" i="7" s="1"/>
  <c r="P84" i="7" s="1"/>
  <c r="K83" i="7"/>
  <c r="P81" i="7" s="1"/>
  <c r="P74" i="7"/>
  <c r="P69" i="7"/>
  <c r="O71" i="7"/>
  <c r="P16" i="7"/>
  <c r="P19" i="7"/>
  <c r="O25" i="7"/>
  <c r="P22" i="7" s="1"/>
  <c r="K12" i="7"/>
  <c r="O10" i="7"/>
  <c r="O12" i="7" s="1"/>
  <c r="K8" i="7"/>
  <c r="E22" i="13" l="1"/>
  <c r="E23" i="13" s="1"/>
  <c r="C6" i="18" s="1"/>
  <c r="C25" i="18" s="1"/>
  <c r="H14" i="13"/>
  <c r="I14" i="13" s="1"/>
  <c r="F13" i="19" s="1"/>
  <c r="F14" i="19" s="1"/>
  <c r="F16" i="19" s="1"/>
  <c r="F11" i="20" s="1"/>
  <c r="E13" i="20" s="1"/>
  <c r="P9" i="7"/>
  <c r="P5" i="7"/>
  <c r="K80" i="7"/>
  <c r="N77" i="7" s="1"/>
  <c r="O77" i="7" s="1"/>
  <c r="O80" i="7" s="1"/>
  <c r="P77" i="7" s="1"/>
  <c r="C23" i="9" l="1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D6" i="9" l="1"/>
  <c r="D8" i="9"/>
  <c r="D10" i="9"/>
  <c r="D12" i="9"/>
  <c r="D14" i="9"/>
  <c r="D16" i="9"/>
  <c r="D18" i="9"/>
  <c r="D20" i="9"/>
  <c r="D22" i="9"/>
  <c r="D5" i="9"/>
  <c r="D7" i="9"/>
  <c r="D9" i="9"/>
  <c r="D11" i="9"/>
  <c r="D13" i="9"/>
  <c r="D15" i="9"/>
  <c r="D17" i="9"/>
  <c r="D19" i="9"/>
  <c r="D21" i="9"/>
  <c r="D23" i="9"/>
  <c r="J69" i="7"/>
  <c r="K69" i="7" s="1"/>
  <c r="O48" i="7"/>
  <c r="O49" i="7"/>
  <c r="O47" i="7"/>
  <c r="K38" i="7"/>
  <c r="K41" i="7" s="1"/>
  <c r="O35" i="7"/>
  <c r="K31" i="7"/>
  <c r="K30" i="7"/>
  <c r="K33" i="7" l="1"/>
  <c r="O51" i="7"/>
  <c r="I16" i="13"/>
  <c r="I17" i="13" s="1"/>
  <c r="P47" i="7"/>
  <c r="N38" i="7"/>
  <c r="O38" i="7" s="1"/>
  <c r="O41" i="7" s="1"/>
  <c r="P38" i="7" s="1"/>
  <c r="N30" i="7"/>
  <c r="O30" i="7" s="1"/>
  <c r="O33" i="7" s="1"/>
  <c r="P30" i="7" s="1"/>
  <c r="D24" i="9"/>
  <c r="K37" i="7"/>
  <c r="K98" i="7" s="1"/>
  <c r="O68" i="7"/>
  <c r="C27" i="9"/>
  <c r="D27" i="9" s="1"/>
  <c r="C36" i="9"/>
  <c r="D36" i="9" s="1"/>
  <c r="C31" i="9"/>
  <c r="D31" i="9" s="1"/>
  <c r="G5" i="9"/>
  <c r="K68" i="7"/>
  <c r="O13" i="7"/>
  <c r="O15" i="7" s="1"/>
  <c r="P13" i="7" s="1"/>
  <c r="C26" i="9"/>
  <c r="D26" i="9" s="1"/>
  <c r="C20" i="10" l="1"/>
  <c r="D20" i="10" s="1"/>
  <c r="D22" i="10" s="1"/>
  <c r="N34" i="7"/>
  <c r="O34" i="7" s="1"/>
  <c r="O37" i="7" s="1"/>
  <c r="P34" i="7" s="1"/>
  <c r="P98" i="7" s="1"/>
  <c r="C25" i="9"/>
  <c r="D25" i="9" s="1"/>
  <c r="C29" i="9"/>
  <c r="D29" i="9" s="1"/>
  <c r="D28" i="9"/>
  <c r="G8" i="9" s="1"/>
  <c r="C32" i="9"/>
  <c r="D32" i="9" s="1"/>
  <c r="C33" i="9"/>
  <c r="D33" i="9" s="1"/>
  <c r="C30" i="9"/>
  <c r="D30" i="9" s="1"/>
  <c r="C34" i="9"/>
  <c r="D34" i="9" s="1"/>
  <c r="C35" i="9"/>
  <c r="D35" i="9" s="1"/>
  <c r="I18" i="13" l="1"/>
  <c r="H5" i="9"/>
  <c r="O98" i="7"/>
  <c r="C37" i="9"/>
  <c r="D37" i="9" s="1"/>
  <c r="H8" i="9" s="1"/>
  <c r="I8" i="9" s="1"/>
  <c r="D38" i="9"/>
  <c r="D39" i="9" s="1"/>
  <c r="I5" i="9"/>
  <c r="I10" i="9" l="1"/>
  <c r="I11" i="9" s="1"/>
  <c r="I12" i="9" s="1"/>
  <c r="H14" i="9"/>
  <c r="D31" i="10" l="1"/>
  <c r="D9" i="18" s="1"/>
  <c r="D10" i="18" s="1"/>
  <c r="D25" i="18" s="1"/>
  <c r="E8" i="18" l="1"/>
  <c r="E10" i="18" s="1"/>
  <c r="E25" i="18" s="1"/>
  <c r="F8" i="18" s="1"/>
  <c r="F10" i="18" s="1"/>
  <c r="F25" i="18" s="1"/>
  <c r="G8" i="18" s="1"/>
  <c r="G10" i="18" s="1"/>
  <c r="G25" i="18" s="1"/>
  <c r="H8" i="18" s="1"/>
  <c r="H10" i="18" s="1"/>
  <c r="H25" i="18" s="1"/>
  <c r="I8" i="18" s="1"/>
  <c r="I10" i="18" s="1"/>
  <c r="I25" i="18" s="1"/>
  <c r="J8" i="18" s="1"/>
  <c r="J10" i="18" s="1"/>
  <c r="J25" i="18" s="1"/>
  <c r="B6" i="20" s="1"/>
  <c r="B9" i="20" s="1"/>
  <c r="D28" i="18"/>
  <c r="D29" i="18" l="1"/>
</calcChain>
</file>

<file path=xl/comments1.xml><?xml version="1.0" encoding="utf-8"?>
<comments xmlns="http://schemas.openxmlformats.org/spreadsheetml/2006/main">
  <authors>
    <author>Fabiola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Fabiola:</t>
        </r>
        <r>
          <rPr>
            <sz val="9"/>
            <color indexed="81"/>
            <rFont val="Tahoma"/>
            <family val="2"/>
          </rPr>
          <t xml:space="preserve">
Se obtuve a través de préstamos.</t>
        </r>
      </text>
    </comment>
  </commentList>
</comments>
</file>

<file path=xl/sharedStrings.xml><?xml version="1.0" encoding="utf-8"?>
<sst xmlns="http://schemas.openxmlformats.org/spreadsheetml/2006/main" count="690" uniqueCount="291">
  <si>
    <t>Switch Cisco Small Businnes -SF200-48P-10/100-SLM248PT-NA</t>
  </si>
  <si>
    <t>Media Converte Vertical TFC-110 MSC-10/100-SC Multi Mode-10-100-1000</t>
  </si>
  <si>
    <t>Patch Cord Cat 6/15FT/Azul/UL724M815BU</t>
  </si>
  <si>
    <t>Patch Cord Cat 6/1 Metro/Azul/UL724M803BU</t>
  </si>
  <si>
    <t>Jack hembra Shaxon Cat 6 Azul/BM703R810</t>
  </si>
  <si>
    <t>Face Place de 2 puertos, Blancas BM303-P2 Shaxon</t>
  </si>
  <si>
    <t>Patch Panel  Cat 6/Rack/48 puertos/MP117HA488</t>
  </si>
  <si>
    <t>Gabinete pared 6U/12PLG C/ABAN. Negro</t>
  </si>
  <si>
    <t>Cable UTP Cat 6 Azul (Caja). Levinton</t>
  </si>
  <si>
    <t xml:space="preserve"> UPS Tripp-Lite 550 VA 300W 120V 8Tomas</t>
  </si>
  <si>
    <t>Servidor Dell PowerRedge T110 II Intel Xeon 20GHz/2GB/500GB/DVD-ROM</t>
  </si>
  <si>
    <t xml:space="preserve">Canaleta NRS-2508 6FT 3/4 Quest Adhesivas </t>
  </si>
  <si>
    <t>Organizador Horizontal Quest con tapa 2 RMS-Negro-HF19-02-200</t>
  </si>
  <si>
    <t>Licencia Eset Smart Security 4.2 Business para empresas  por un año</t>
  </si>
  <si>
    <t>Licencia Redhat   Premium subcription por un año</t>
  </si>
  <si>
    <t>Tubo  cond. 2"  10  PVC CH Elect_CH</t>
  </si>
  <si>
    <t>Tubo  cond. 1/2"  10  PVC CH Elect_CH</t>
  </si>
  <si>
    <t>Cinta Velcro 8Pulg (Bsa 25 UDS) Negro</t>
  </si>
  <si>
    <t>Teléfono</t>
  </si>
  <si>
    <t>Internet</t>
  </si>
  <si>
    <t>Actividades</t>
  </si>
  <si>
    <t xml:space="preserve">Actividad 2: Análisis </t>
  </si>
  <si>
    <t>Actividad 1: Recopilación de la información</t>
  </si>
  <si>
    <t>Pruebas de montaje final</t>
  </si>
  <si>
    <t>Papeleria</t>
  </si>
  <si>
    <t>Cantidad</t>
  </si>
  <si>
    <t>Descripción</t>
  </si>
  <si>
    <t>Semana 1</t>
  </si>
  <si>
    <t>Semana 2</t>
  </si>
  <si>
    <t>Semana 3</t>
  </si>
  <si>
    <t>Semana 4</t>
  </si>
  <si>
    <t>Actividad 3:   Diseño</t>
  </si>
  <si>
    <t>Actividad 4:   Ejecución</t>
  </si>
  <si>
    <t>Materiales directos</t>
  </si>
  <si>
    <t>Costos Indirectos</t>
  </si>
  <si>
    <t>Costo Unidad</t>
  </si>
  <si>
    <t>Total</t>
  </si>
  <si>
    <t>Producto</t>
  </si>
  <si>
    <t>Analista</t>
  </si>
  <si>
    <t>supervisor</t>
  </si>
  <si>
    <t>Transporte de mano de obra</t>
  </si>
  <si>
    <t>Impuestos Servicios profesionales (10%)</t>
  </si>
  <si>
    <t>Depreciación de computador</t>
  </si>
  <si>
    <t>Duracion dias</t>
  </si>
  <si>
    <t>Mano de obra Directa</t>
  </si>
  <si>
    <t>Costo Total x actividad</t>
  </si>
  <si>
    <t>Diseñador</t>
  </si>
  <si>
    <t>papeleria</t>
  </si>
  <si>
    <t>Transporte de materiales</t>
  </si>
  <si>
    <t>Supervisor</t>
  </si>
  <si>
    <t xml:space="preserve">cantidad </t>
  </si>
  <si>
    <t>Productos</t>
  </si>
  <si>
    <t>costo unitario</t>
  </si>
  <si>
    <t>analista</t>
  </si>
  <si>
    <t>disenador</t>
  </si>
  <si>
    <t>Total de Mano de Obra Directa</t>
  </si>
  <si>
    <t>Total de Materiales</t>
  </si>
  <si>
    <r>
      <t>Wall Mount Bracket Quest 6 RMS 12"</t>
    </r>
    <r>
      <rPr>
        <sz val="10"/>
        <color rgb="FF000000"/>
        <rFont val="Calibri"/>
        <family val="2"/>
      </rPr>
      <t xml:space="preserve"> Depth hingrd-WB19-0612H</t>
    </r>
  </si>
  <si>
    <t xml:space="preserve">Total de mano de obra </t>
  </si>
  <si>
    <t>Depreciación de equipos y herramientas</t>
  </si>
  <si>
    <t>viáticos</t>
  </si>
  <si>
    <t>Energia eléctrica</t>
  </si>
  <si>
    <t>Total de costos indirectos</t>
  </si>
  <si>
    <t xml:space="preserve">Total de Costos  </t>
  </si>
  <si>
    <t>Elaborado Por:</t>
  </si>
  <si>
    <t>____________________________</t>
  </si>
  <si>
    <t>Aprobado Por:</t>
  </si>
  <si>
    <t>Fecha de elaboración:  ___________________________________.</t>
  </si>
  <si>
    <t>Nº de Referencia:</t>
  </si>
  <si>
    <t>Datos completos: dirección, teléfono, fax, e-mail, fax,</t>
  </si>
  <si>
    <t>PRESUPUESTO</t>
  </si>
  <si>
    <t>Cliente:</t>
  </si>
  <si>
    <t>Varios:</t>
  </si>
  <si>
    <t>Nombre:</t>
  </si>
  <si>
    <t>Dirección:</t>
  </si>
  <si>
    <t>Este presupuesto tendrá una validez</t>
  </si>
  <si>
    <t>Teléfono:</t>
  </si>
  <si>
    <t>Fax:</t>
  </si>
  <si>
    <t>Precio unitario</t>
  </si>
  <si>
    <t>Subtotal:</t>
  </si>
  <si>
    <t>(o Base Imponible)</t>
  </si>
  <si>
    <t>TOTAL:</t>
  </si>
  <si>
    <t>Datos bancarios de la empresa emisora de la factura para que el cliente pueda efectuar el pago en caso de transferencias.</t>
  </si>
  <si>
    <t>FIRMA ACEPTACIÓN DEL PRESUPUESTO</t>
  </si>
  <si>
    <t>Nombre y apellidos de la persona que confecciona</t>
  </si>
  <si>
    <t>el presupuesto:</t>
  </si>
  <si>
    <t>(A rellenar por el cliente)</t>
  </si>
  <si>
    <t>Departamento:</t>
  </si>
  <si>
    <t>Firma:</t>
  </si>
  <si>
    <t>Rogamos nos envíen este presupuesto firmado y sellado.</t>
  </si>
  <si>
    <t xml:space="preserve">Descripcion de Producto: </t>
  </si>
  <si>
    <t>Materiales</t>
  </si>
  <si>
    <t>Materiales Indirectos</t>
  </si>
  <si>
    <t>Total de materiales</t>
  </si>
  <si>
    <t>M de Obra Directa</t>
  </si>
  <si>
    <t>M.O. Indirecta</t>
  </si>
  <si>
    <t>Total de M. de obra</t>
  </si>
  <si>
    <t>Total de Presupuesto</t>
  </si>
  <si>
    <t>Monto a cobrar al cliente</t>
  </si>
  <si>
    <t>de:  "15"  días</t>
  </si>
  <si>
    <t>Ciudad: Managua</t>
  </si>
  <si>
    <t>001</t>
  </si>
  <si>
    <t>Utilidad 10%</t>
  </si>
  <si>
    <t>2da. Quincena Octubre</t>
  </si>
  <si>
    <t>Proyecto "Preescolar Mariona"</t>
  </si>
  <si>
    <t>Periodo de Ejecución de Octubre a  Diciembre del 2013</t>
  </si>
  <si>
    <t>Diagramacion [Diagrama de clases](2)</t>
  </si>
  <si>
    <t>Especificar e incluir requisitos adisionales(1)</t>
  </si>
  <si>
    <t>Diseño de arquitectura e interfaz del sotftware (3)</t>
  </si>
  <si>
    <t>Codificación y pruebas</t>
  </si>
  <si>
    <t>Costo del activo</t>
  </si>
  <si>
    <t>valor residual</t>
  </si>
  <si>
    <t>Tasa de amortización</t>
  </si>
  <si>
    <t>Tasa de depresiacion</t>
  </si>
  <si>
    <t xml:space="preserve">Costo </t>
  </si>
  <si>
    <t>tiempo de actividad</t>
  </si>
  <si>
    <t>tiempo de uso(semanal)</t>
  </si>
  <si>
    <t xml:space="preserve">Inspección del sitio </t>
  </si>
  <si>
    <t xml:space="preserve">Obtencion de los datos </t>
  </si>
  <si>
    <t>analisis y especificacion de escenarios</t>
  </si>
  <si>
    <t>clasificacion de los datos [requisitos funcionales y no funcionales]</t>
  </si>
  <si>
    <t>Analisis de los datos por clasificacion</t>
  </si>
  <si>
    <t>comprobar la exactitud de los requisitos</t>
  </si>
  <si>
    <t> Realizar el plan de desarrollo del software</t>
  </si>
  <si>
    <t>Realizar el modelado del negosio[casos de uso y objetos]</t>
  </si>
  <si>
    <t>Gastos basicos(energia)</t>
  </si>
  <si>
    <t>Diagramacion de hardware y software requerido</t>
  </si>
  <si>
    <t>Especificar e incluir requisitos adisionales</t>
  </si>
  <si>
    <t>Diagramacion [Diagrama de clases]</t>
  </si>
  <si>
    <t>Realizar modelo de  base de datos</t>
  </si>
  <si>
    <t xml:space="preserve">Diseño de arquitectura e interfaz del sotftware </t>
  </si>
  <si>
    <t xml:space="preserve">Cotización de precios </t>
  </si>
  <si>
    <t xml:space="preserve">Presupuesto </t>
  </si>
  <si>
    <t xml:space="preserve">Presentación de propuesta </t>
  </si>
  <si>
    <t xml:space="preserve">Aprobación de propuesta </t>
  </si>
  <si>
    <t>Efectuar la Compra de materiales[licencias]</t>
  </si>
  <si>
    <t>Documentación de apoyo</t>
  </si>
  <si>
    <t>Modificaciones</t>
  </si>
  <si>
    <t>Instalacion del Sistema</t>
  </si>
  <si>
    <t xml:space="preserve">entrega del producto final </t>
  </si>
  <si>
    <t>Transporte mano de obra</t>
  </si>
  <si>
    <t>Implementador</t>
  </si>
  <si>
    <t>Disco de inatalacion</t>
  </si>
  <si>
    <t>Total costo indirecto</t>
  </si>
  <si>
    <t>L</t>
  </si>
  <si>
    <t>M</t>
  </si>
  <si>
    <t>J</t>
  </si>
  <si>
    <t>V</t>
  </si>
  <si>
    <t>S</t>
  </si>
  <si>
    <t>D</t>
  </si>
  <si>
    <t>Realización de la lista de riesgos(1)</t>
  </si>
  <si>
    <t>Realizar modelo de base de datos(3)</t>
  </si>
  <si>
    <t>Costo x Unidad</t>
  </si>
  <si>
    <t>No se comenzará trabajo alguno sin la aceptación previa de este presupuesto. Muchas gracias.</t>
  </si>
  <si>
    <t>luz electrica</t>
  </si>
  <si>
    <t>Luz eléctrica</t>
  </si>
  <si>
    <t>Programador</t>
  </si>
  <si>
    <t>Realizar modelo de base de datos</t>
  </si>
  <si>
    <t>Cronograma de actividades para el desarrollo del proyecto: Expediente clinico</t>
  </si>
  <si>
    <t>2da. Quincena agosto</t>
  </si>
  <si>
    <t>2da. Quincena Septiembre</t>
  </si>
  <si>
    <t>1era. Quincena Octubre</t>
  </si>
  <si>
    <t>1ra. Quincena Noviembre</t>
  </si>
  <si>
    <t>Actividad 3: Implementación(40)</t>
  </si>
  <si>
    <t>Observación directa de diferentes instituciones del area salud (2)</t>
  </si>
  <si>
    <t>Actividad 1:planificación y análisis (20)</t>
  </si>
  <si>
    <t>Realizacion de Estudio de mercado del proyecto (5)</t>
  </si>
  <si>
    <t>Elaboracion de Anteproyecto (4)</t>
  </si>
  <si>
    <t>Aplicación de entrevistas a diferentes funcionarios de las instituciones visitadas (3)</t>
  </si>
  <si>
    <t>Realizar el modelado del proyecto[casos de uso y objetos](3)</t>
  </si>
  <si>
    <t>Realizacion del Estudio Financiero(4)</t>
  </si>
  <si>
    <t>1ra. Quincena agosto</t>
  </si>
  <si>
    <t>Actividad 4. Pruebas (10)</t>
  </si>
  <si>
    <t>Realizacion de pruebas al sistema (10)</t>
  </si>
  <si>
    <t xml:space="preserve">Actividad 5: Implantacion </t>
  </si>
  <si>
    <t>Costo por actividades para el desarrollo del proyecto: Expediente clinico</t>
  </si>
  <si>
    <t>Elaboracion de Anteproyecto</t>
  </si>
  <si>
    <t>Observación directa de diferentes instituciones del area salud</t>
  </si>
  <si>
    <t>Aplicación de entrevistas a diferentes funcionarios de las instituciones visitadas</t>
  </si>
  <si>
    <t>Analis de entrevistas realizadas para obtencion de requerimientos bases del sistema</t>
  </si>
  <si>
    <t>Realizacion del Estudio Técnico</t>
  </si>
  <si>
    <t>Refinamiento de los requisitos funcionales y no funcionales</t>
  </si>
  <si>
    <t>Realizar el modelado del proyecto[casos de uso y objetos]</t>
  </si>
  <si>
    <t>Diseño de arquitectura e interfaz del sotftware</t>
  </si>
  <si>
    <t>Realizacion del Estudio Financiero</t>
  </si>
  <si>
    <t>Codificacion y documentacion del software</t>
  </si>
  <si>
    <t>Realizacion de pruebas al sistema</t>
  </si>
  <si>
    <t>Mejora de fallos de pruebas y Puesta en Marcha(3)</t>
  </si>
  <si>
    <t>Papelería</t>
  </si>
  <si>
    <t>Jefe de Proyecto</t>
  </si>
  <si>
    <t>Viaticos</t>
  </si>
  <si>
    <t>Libreta</t>
  </si>
  <si>
    <t>Lapiceros</t>
  </si>
  <si>
    <t>Depreciacion del celular</t>
  </si>
  <si>
    <t>Mejora de fallos de pruebas y Puesta en Marcha</t>
  </si>
  <si>
    <t>Web Designer</t>
  </si>
  <si>
    <t>DBA</t>
  </si>
  <si>
    <t>Servicio de
servidores(Hosting) </t>
  </si>
  <si>
    <t>Licencia-Paquete ofimatico</t>
  </si>
  <si>
    <t xml:space="preserve">Licencia de Herramienta para
Modelado 
</t>
  </si>
  <si>
    <t>Licencia para SBD</t>
  </si>
  <si>
    <t>Licencia Entorno de 
desarrollo </t>
  </si>
  <si>
    <t>Totales</t>
  </si>
  <si>
    <t>Total:Materiales directos</t>
  </si>
  <si>
    <t>Total:Mano de obra Directa</t>
  </si>
  <si>
    <t>Total:Costos Indirectos</t>
  </si>
  <si>
    <t>Proyecto "Expediente Clinico"</t>
  </si>
  <si>
    <t>1ra. Quincena Septiembre</t>
  </si>
  <si>
    <t>Periodo de Ejecución Comprendido entre Agosto y  Noviembre del 2016</t>
  </si>
  <si>
    <t>Servicio de servidores(Hosting) </t>
  </si>
  <si>
    <t>Depreciacion del Equipos</t>
  </si>
  <si>
    <t>Licenciamiento de software para el desarrollo del proyecto</t>
  </si>
  <si>
    <t>Viaticos a mano de obra</t>
  </si>
  <si>
    <t>Desarrolladores independientes</t>
  </si>
  <si>
    <t>Managua</t>
  </si>
  <si>
    <t>Insituciones de salud, publicas y privadas</t>
  </si>
  <si>
    <t>Fecha de emisión: 18 de agosto 2016</t>
  </si>
  <si>
    <t>Doc. Francisco Valle</t>
  </si>
  <si>
    <t>Centro de Salud Altagracia</t>
  </si>
  <si>
    <t>Elaboración de Software de Expediente Clinico de Pacientes</t>
  </si>
  <si>
    <t>Analisis, Diseño y desarrollo del sistema</t>
  </si>
  <si>
    <t>Actividad 2: Diseño(15)</t>
  </si>
  <si>
    <t>Codificacion y documentacion del software(40)</t>
  </si>
  <si>
    <t xml:space="preserve">Realizacion de Estudio de mercado del proyecto </t>
  </si>
  <si>
    <t>Actividad 6: Oferta del producto como servicio</t>
  </si>
  <si>
    <t>Publicidad a través de las redes sociales (2)</t>
  </si>
  <si>
    <t>Analista/Jefe de Proyecto</t>
  </si>
  <si>
    <t>Licencia Licencia-Paquete ofimatico</t>
  </si>
  <si>
    <t>Realizacion del Estudio Técnico(3)</t>
  </si>
  <si>
    <t>Analis de entrevistas realizadas para obtencion de requerimientos bases del sistema (3)</t>
  </si>
  <si>
    <t>Refinamiento de los requisitos funcionales y no funcionales (4)</t>
  </si>
  <si>
    <t>Actividad 4. Pruebas</t>
  </si>
  <si>
    <t>Actividad 2. Diseño</t>
  </si>
  <si>
    <t>Actividad 3. Codificación</t>
  </si>
  <si>
    <t>Actividad 6: Publicidad para venta del producto como servicio</t>
  </si>
  <si>
    <t>Publicidad en la Internet</t>
  </si>
  <si>
    <t>Papelería y de escritura</t>
  </si>
  <si>
    <t>Flujo de efectivo de Agosto a Noviembre del 2016</t>
  </si>
  <si>
    <t>1era. Quincena Agosto</t>
  </si>
  <si>
    <t>2da. Quincena Agosto</t>
  </si>
  <si>
    <t>1era. Quincena Septiembre</t>
  </si>
  <si>
    <t>1era. Quincena Noviembre</t>
  </si>
  <si>
    <t>Inversion</t>
  </si>
  <si>
    <t>Ingresos</t>
  </si>
  <si>
    <t xml:space="preserve">Ingresos del mes anterior  </t>
  </si>
  <si>
    <t xml:space="preserve">Ingresos del mes </t>
  </si>
  <si>
    <t>Total de Ingresos</t>
  </si>
  <si>
    <t>Egresos</t>
  </si>
  <si>
    <t>Depreciación Computador</t>
  </si>
  <si>
    <t>Compra de materiales</t>
  </si>
  <si>
    <t>Mano de obra Analista, supervisor y Desarrollador</t>
  </si>
  <si>
    <t>Prestamos</t>
  </si>
  <si>
    <t>Intereses</t>
  </si>
  <si>
    <t>total de egresos</t>
  </si>
  <si>
    <t>Flujo de Efectivos</t>
  </si>
  <si>
    <t>PRIMERA QUINCENA</t>
  </si>
  <si>
    <t>SEGUNDA QUINCENA</t>
  </si>
  <si>
    <t>ACTIVIDAD</t>
  </si>
  <si>
    <t>DETALLE CODIFICACION</t>
  </si>
  <si>
    <t>OCTUBRE</t>
  </si>
  <si>
    <t>NOVIEMBRE</t>
  </si>
  <si>
    <t>SEPTIEMBRE</t>
  </si>
  <si>
    <t>DETALLE PRUEBAS</t>
  </si>
  <si>
    <t>Estado de Resultado del 01 de Agosto al 31 de Noviembre del 2016</t>
  </si>
  <si>
    <t>ventas totales</t>
  </si>
  <si>
    <t>Inventario Inicial</t>
  </si>
  <si>
    <t>Compras</t>
  </si>
  <si>
    <t>gastos de Compras</t>
  </si>
  <si>
    <t>Compras totales</t>
  </si>
  <si>
    <t>Inventario final</t>
  </si>
  <si>
    <t>Costo de venta</t>
  </si>
  <si>
    <t>Utilidad Bruta</t>
  </si>
  <si>
    <t>Gastos de Operación</t>
  </si>
  <si>
    <t>Utilidad de Operación</t>
  </si>
  <si>
    <t>Utilidad antes de IR</t>
  </si>
  <si>
    <t>Utilidad Neta</t>
  </si>
  <si>
    <t>Autorizado por:</t>
  </si>
  <si>
    <t>Balnce General</t>
  </si>
  <si>
    <t>Activos</t>
  </si>
  <si>
    <t>Pasivo</t>
  </si>
  <si>
    <t>Caja y banco</t>
  </si>
  <si>
    <t>Total de Pasivo</t>
  </si>
  <si>
    <t>Total de Activo</t>
  </si>
  <si>
    <t>Capital</t>
  </si>
  <si>
    <t>Utilidades</t>
  </si>
  <si>
    <t>P + C =</t>
  </si>
  <si>
    <t>TIR</t>
  </si>
  <si>
    <t>VAN</t>
  </si>
  <si>
    <t>DETALLE POR QUINCENA</t>
  </si>
  <si>
    <t>DETALLE MODELADO BD</t>
  </si>
  <si>
    <t>Utilidad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</si>
</sst>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[$$-409]#,##0.00_);\([$$-409]#,##0.00\)"/>
    <numFmt numFmtId="165" formatCode="[$C$-4C0A]\ #,##0.00"/>
    <numFmt numFmtId="166" formatCode="_(* #,##0\ &quot;pta&quot;_);_(* \(#,##0\ &quot;pta&quot;\);_(* &quot;-&quot;??\ &quot;pta&quot;_);_(@_)"/>
    <numFmt numFmtId="167" formatCode="&quot;C$&quot;\ #,##0.00"/>
    <numFmt numFmtId="168" formatCode="&quot;C$&quot;\ #,##0"/>
    <numFmt numFmtId="169" formatCode="[$C$-4C0A]\ #,##0"/>
    <numFmt numFmtId="170" formatCode="_([$C$-4C0A]\ * #,##0.00_);_([$C$-4C0A]\ * \(#,##0.00\);_([$C$-4C0A]\ * &quot;-&quot;??_);_(@_)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sz val="10"/>
      <color rgb="FF000000"/>
      <name val="Book Antiqua"/>
      <family val="1"/>
    </font>
    <font>
      <sz val="11"/>
      <color rgb="FF000000"/>
      <name val="Book Antiqua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Book Antiqua"/>
      <family val="1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sz val="17.600000000000001"/>
      <color rgb="FF0000CC"/>
      <name val="Calibri"/>
      <family val="2"/>
    </font>
    <font>
      <b/>
      <sz val="10"/>
      <color rgb="FF0000CC"/>
      <name val="Calibri"/>
      <family val="2"/>
    </font>
    <font>
      <b/>
      <sz val="12.1"/>
      <color rgb="FF548DD4"/>
      <name val="Arial Black"/>
      <family val="2"/>
    </font>
    <font>
      <b/>
      <i/>
      <sz val="12.1"/>
      <color rgb="FF548DD4"/>
      <name val="Calibri"/>
      <family val="2"/>
    </font>
    <font>
      <sz val="12.1"/>
      <color rgb="FF000000"/>
      <name val="Calibri"/>
      <family val="2"/>
    </font>
    <font>
      <b/>
      <sz val="9.9"/>
      <color rgb="FF000000"/>
      <name val="Calibri"/>
      <family val="2"/>
    </font>
    <font>
      <sz val="12.1"/>
      <color rgb="FFFFFFFF"/>
      <name val="Calibri"/>
      <family val="2"/>
    </font>
    <font>
      <sz val="10"/>
      <color theme="1"/>
      <name val="Arial"/>
      <family val="2"/>
    </font>
    <font>
      <b/>
      <sz val="10"/>
      <color rgb="FF000000"/>
      <name val="Calibri"/>
      <family val="2"/>
    </font>
    <font>
      <sz val="12.1"/>
      <color rgb="FFFF6699"/>
      <name val="Calibri"/>
      <family val="2"/>
    </font>
    <font>
      <sz val="11"/>
      <name val="Calibri"/>
      <family val="2"/>
      <scheme val="minor"/>
    </font>
    <font>
      <b/>
      <u/>
      <sz val="17.600000000000001"/>
      <color rgb="FF0000CC"/>
      <name val="Calibri"/>
      <family val="2"/>
    </font>
    <font>
      <sz val="12.1"/>
      <name val="Calibri"/>
      <family val="2"/>
    </font>
    <font>
      <b/>
      <sz val="11"/>
      <name val="Calibri"/>
      <family val="2"/>
      <scheme val="minor"/>
    </font>
    <font>
      <b/>
      <sz val="16"/>
      <color rgb="FF000000"/>
      <name val="Bell MT"/>
      <family val="1"/>
    </font>
    <font>
      <b/>
      <sz val="9"/>
      <name val="Arial Black"/>
      <family val="2"/>
    </font>
    <font>
      <sz val="18"/>
      <color theme="1"/>
      <name val="Bell MT"/>
      <family val="1"/>
    </font>
    <font>
      <b/>
      <sz val="20"/>
      <color theme="1"/>
      <name val="Bell MT"/>
      <family val="1"/>
    </font>
    <font>
      <b/>
      <sz val="14"/>
      <name val="Bell MT"/>
      <family val="1"/>
    </font>
    <font>
      <b/>
      <sz val="14"/>
      <name val="Calibri"/>
      <family val="2"/>
      <scheme val="minor"/>
    </font>
    <font>
      <sz val="12.1"/>
      <color rgb="FFFF0000"/>
      <name val="Calibri"/>
      <family val="2"/>
    </font>
    <font>
      <sz val="11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BA75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AC6620"/>
        <bgColor indexed="64"/>
      </patternFill>
    </fill>
    <fill>
      <patternFill patternType="solid">
        <fgColor rgb="FF79F7AC"/>
        <bgColor indexed="64"/>
      </patternFill>
    </fill>
    <fill>
      <patternFill patternType="solid">
        <fgColor rgb="FFE5117B"/>
        <bgColor indexed="64"/>
      </patternFill>
    </fill>
    <fill>
      <patternFill patternType="solid">
        <fgColor rgb="FF22F6AF"/>
        <bgColor indexed="64"/>
      </patternFill>
    </fill>
    <fill>
      <patternFill patternType="solid">
        <fgColor rgb="FF0AF6EB"/>
        <bgColor indexed="64"/>
      </patternFill>
    </fill>
    <fill>
      <patternFill patternType="solid">
        <fgColor rgb="FFFABD44"/>
        <bgColor indexed="64"/>
      </patternFill>
    </fill>
    <fill>
      <patternFill patternType="solid">
        <fgColor rgb="FFD9151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450666829432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7BA0CD"/>
      </left>
      <right/>
      <top/>
      <bottom style="medium">
        <color rgb="FF7BA0CD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4">
    <xf numFmtId="164" fontId="0" fillId="0" borderId="0"/>
    <xf numFmtId="0" fontId="15" fillId="0" borderId="0"/>
    <xf numFmtId="166" fontId="15" fillId="0" borderId="0" applyFont="0" applyFill="0" applyBorder="0" applyAlignment="0" applyProtection="0"/>
    <xf numFmtId="0" fontId="52" fillId="0" borderId="0"/>
  </cellStyleXfs>
  <cellXfs count="661">
    <xf numFmtId="164" fontId="0" fillId="0" borderId="0" xfId="0"/>
    <xf numFmtId="164" fontId="0" fillId="0" borderId="1" xfId="0" applyBorder="1"/>
    <xf numFmtId="164" fontId="0" fillId="2" borderId="1" xfId="0" applyFill="1" applyBorder="1"/>
    <xf numFmtId="164" fontId="4" fillId="0" borderId="0" xfId="0" applyFont="1"/>
    <xf numFmtId="37" fontId="1" fillId="0" borderId="1" xfId="0" applyNumberFormat="1" applyFont="1" applyBorder="1" applyAlignment="1">
      <alignment horizontal="center" vertical="center"/>
    </xf>
    <xf numFmtId="164" fontId="0" fillId="0" borderId="11" xfId="0" applyBorder="1"/>
    <xf numFmtId="164" fontId="0" fillId="0" borderId="8" xfId="0" applyBorder="1" applyAlignment="1">
      <alignment horizontal="center" vertical="center" wrapText="1"/>
    </xf>
    <xf numFmtId="164" fontId="0" fillId="0" borderId="14" xfId="0" applyBorder="1" applyAlignment="1">
      <alignment horizontal="center" vertical="center" wrapText="1"/>
    </xf>
    <xf numFmtId="164" fontId="9" fillId="0" borderId="13" xfId="0" applyFont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0" fillId="0" borderId="11" xfId="0" applyNumberFormat="1" applyBorder="1" applyAlignment="1">
      <alignment horizontal="center" vertical="center" wrapText="1"/>
    </xf>
    <xf numFmtId="165" fontId="0" fillId="0" borderId="1" xfId="0" applyNumberFormat="1" applyBorder="1"/>
    <xf numFmtId="165" fontId="0" fillId="0" borderId="11" xfId="0" applyNumberFormat="1" applyBorder="1"/>
    <xf numFmtId="164" fontId="0" fillId="0" borderId="1" xfId="0" applyBorder="1" applyAlignment="1">
      <alignment horizontal="left" vertical="center" wrapText="1"/>
    </xf>
    <xf numFmtId="164" fontId="0" fillId="0" borderId="1" xfId="0" applyBorder="1" applyAlignment="1">
      <alignment horizontal="left"/>
    </xf>
    <xf numFmtId="164" fontId="11" fillId="0" borderId="1" xfId="0" applyFont="1" applyBorder="1" applyAlignment="1">
      <alignment horizontal="left" vertical="center" wrapText="1"/>
    </xf>
    <xf numFmtId="164" fontId="11" fillId="0" borderId="1" xfId="0" applyFont="1" applyBorder="1" applyAlignment="1">
      <alignment wrapText="1"/>
    </xf>
    <xf numFmtId="164" fontId="9" fillId="0" borderId="9" xfId="0" applyFont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vertical="center" wrapText="1"/>
    </xf>
    <xf numFmtId="1" fontId="4" fillId="2" borderId="4" xfId="0" applyNumberFormat="1" applyFont="1" applyFill="1" applyBorder="1" applyAlignment="1">
      <alignment horizontal="center" vertical="center" wrapText="1"/>
    </xf>
    <xf numFmtId="164" fontId="4" fillId="2" borderId="11" xfId="0" applyFont="1" applyFill="1" applyBorder="1"/>
    <xf numFmtId="1" fontId="4" fillId="2" borderId="21" xfId="0" applyNumberFormat="1" applyFont="1" applyFill="1" applyBorder="1" applyAlignment="1">
      <alignment horizontal="center" vertical="center" wrapText="1"/>
    </xf>
    <xf numFmtId="165" fontId="4" fillId="2" borderId="11" xfId="0" applyNumberFormat="1" applyFont="1" applyFill="1" applyBorder="1"/>
    <xf numFmtId="165" fontId="4" fillId="2" borderId="1" xfId="0" applyNumberFormat="1" applyFont="1" applyFill="1" applyBorder="1" applyAlignment="1">
      <alignment horizontal="center" vertical="center" wrapText="1"/>
    </xf>
    <xf numFmtId="165" fontId="4" fillId="2" borderId="1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64" fontId="9" fillId="2" borderId="9" xfId="0" applyFont="1" applyFill="1" applyBorder="1" applyAlignment="1">
      <alignment horizontal="center" vertical="center" wrapText="1"/>
    </xf>
    <xf numFmtId="164" fontId="0" fillId="2" borderId="8" xfId="0" applyFill="1" applyBorder="1" applyAlignment="1">
      <alignment horizontal="center" vertical="center" wrapText="1"/>
    </xf>
    <xf numFmtId="164" fontId="0" fillId="2" borderId="14" xfId="0" applyFill="1" applyBorder="1" applyAlignment="1">
      <alignment horizontal="center" vertical="center" wrapText="1"/>
    </xf>
    <xf numFmtId="164" fontId="9" fillId="2" borderId="13" xfId="0" applyFont="1" applyFill="1" applyBorder="1" applyAlignment="1">
      <alignment horizontal="center" vertical="center" wrapText="1"/>
    </xf>
    <xf numFmtId="1" fontId="0" fillId="2" borderId="10" xfId="0" applyNumberFormat="1" applyFill="1" applyBorder="1" applyAlignment="1">
      <alignment horizontal="center" vertical="center" wrapText="1"/>
    </xf>
    <xf numFmtId="164" fontId="0" fillId="2" borderId="8" xfId="0" applyFill="1" applyBorder="1" applyAlignment="1">
      <alignment horizontal="left" vertical="center" wrapText="1"/>
    </xf>
    <xf numFmtId="165" fontId="0" fillId="2" borderId="1" xfId="0" applyNumberFormat="1" applyFill="1" applyBorder="1" applyAlignment="1">
      <alignment horizontal="center" vertical="center" wrapText="1"/>
    </xf>
    <xf numFmtId="165" fontId="0" fillId="2" borderId="11" xfId="0" applyNumberFormat="1" applyFill="1" applyBorder="1" applyAlignment="1">
      <alignment horizontal="center" vertical="center" wrapText="1"/>
    </xf>
    <xf numFmtId="1" fontId="0" fillId="2" borderId="4" xfId="0" applyNumberFormat="1" applyFill="1" applyBorder="1" applyAlignment="1">
      <alignment horizontal="center" vertical="center" wrapText="1"/>
    </xf>
    <xf numFmtId="164" fontId="0" fillId="2" borderId="1" xfId="0" applyFill="1" applyBorder="1" applyAlignment="1">
      <alignment horizontal="center" vertical="center" wrapText="1"/>
    </xf>
    <xf numFmtId="164" fontId="0" fillId="2" borderId="11" xfId="0" applyFill="1" applyBorder="1" applyAlignment="1">
      <alignment horizontal="center" vertical="center" wrapText="1"/>
    </xf>
    <xf numFmtId="164" fontId="0" fillId="2" borderId="1" xfId="0" applyFill="1" applyBorder="1" applyAlignment="1">
      <alignment horizontal="left" vertical="center" wrapText="1"/>
    </xf>
    <xf numFmtId="164" fontId="0" fillId="2" borderId="11" xfId="0" applyFill="1" applyBorder="1"/>
    <xf numFmtId="164" fontId="0" fillId="2" borderId="1" xfId="0" applyFill="1" applyBorder="1" applyAlignment="1">
      <alignment horizontal="left"/>
    </xf>
    <xf numFmtId="165" fontId="0" fillId="2" borderId="11" xfId="0" applyNumberFormat="1" applyFill="1" applyBorder="1"/>
    <xf numFmtId="1" fontId="0" fillId="2" borderId="1" xfId="0" applyNumberFormat="1" applyFont="1" applyFill="1" applyBorder="1" applyAlignment="1">
      <alignment horizontal="left" vertical="center" wrapText="1"/>
    </xf>
    <xf numFmtId="165" fontId="9" fillId="0" borderId="1" xfId="0" applyNumberFormat="1" applyFont="1" applyBorder="1" applyAlignment="1">
      <alignment horizontal="center" vertical="center" wrapText="1"/>
    </xf>
    <xf numFmtId="165" fontId="9" fillId="0" borderId="1" xfId="0" applyNumberFormat="1" applyFont="1" applyBorder="1"/>
    <xf numFmtId="164" fontId="11" fillId="2" borderId="1" xfId="0" applyFont="1" applyFill="1" applyBorder="1"/>
    <xf numFmtId="165" fontId="12" fillId="2" borderId="11" xfId="0" applyNumberFormat="1" applyFont="1" applyFill="1" applyBorder="1"/>
    <xf numFmtId="164" fontId="0" fillId="0" borderId="2" xfId="0" applyBorder="1"/>
    <xf numFmtId="164" fontId="0" fillId="0" borderId="22" xfId="0" applyBorder="1"/>
    <xf numFmtId="164" fontId="0" fillId="0" borderId="2" xfId="0" applyBorder="1" applyAlignment="1">
      <alignment horizontal="left"/>
    </xf>
    <xf numFmtId="165" fontId="0" fillId="0" borderId="2" xfId="0" applyNumberFormat="1" applyBorder="1"/>
    <xf numFmtId="165" fontId="0" fillId="0" borderId="22" xfId="0" applyNumberFormat="1" applyBorder="1"/>
    <xf numFmtId="165" fontId="0" fillId="0" borderId="22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64" fontId="0" fillId="0" borderId="1" xfId="0" applyBorder="1" applyAlignment="1"/>
    <xf numFmtId="164" fontId="2" fillId="0" borderId="1" xfId="0" applyFont="1" applyBorder="1" applyAlignment="1">
      <alignment horizontal="justify" vertical="center"/>
    </xf>
    <xf numFmtId="164" fontId="2" fillId="0" borderId="1" xfId="0" applyFont="1" applyFill="1" applyBorder="1" applyAlignment="1">
      <alignment horizontal="left" vertical="center" wrapText="1"/>
    </xf>
    <xf numFmtId="164" fontId="2" fillId="0" borderId="1" xfId="0" applyFont="1" applyFill="1" applyBorder="1" applyAlignment="1">
      <alignment horizontal="left" vertical="center"/>
    </xf>
    <xf numFmtId="164" fontId="2" fillId="0" borderId="5" xfId="0" applyFont="1" applyBorder="1" applyAlignment="1">
      <alignment horizontal="justify" vertical="center"/>
    </xf>
    <xf numFmtId="164" fontId="14" fillId="0" borderId="2" xfId="0" applyFont="1" applyBorder="1" applyAlignment="1">
      <alignment vertical="center" wrapText="1"/>
    </xf>
    <xf numFmtId="165" fontId="7" fillId="0" borderId="1" xfId="0" applyNumberFormat="1" applyFont="1" applyBorder="1"/>
    <xf numFmtId="164" fontId="6" fillId="3" borderId="1" xfId="0" applyFont="1" applyFill="1" applyBorder="1" applyAlignment="1">
      <alignment horizontal="center" vertical="center"/>
    </xf>
    <xf numFmtId="164" fontId="6" fillId="3" borderId="1" xfId="0" applyFont="1" applyFill="1" applyBorder="1" applyAlignment="1">
      <alignment horizontal="center" vertical="center" wrapText="1"/>
    </xf>
    <xf numFmtId="164" fontId="0" fillId="0" borderId="1" xfId="0" applyFill="1" applyBorder="1"/>
    <xf numFmtId="37" fontId="3" fillId="0" borderId="1" xfId="0" applyNumberFormat="1" applyFont="1" applyBorder="1" applyAlignment="1">
      <alignment horizontal="center" vertical="center"/>
    </xf>
    <xf numFmtId="37" fontId="2" fillId="0" borderId="1" xfId="0" applyNumberFormat="1" applyFont="1" applyBorder="1" applyAlignment="1">
      <alignment horizontal="center" vertical="center"/>
    </xf>
    <xf numFmtId="37" fontId="2" fillId="0" borderId="1" xfId="0" applyNumberFormat="1" applyFont="1" applyFill="1" applyBorder="1" applyAlignment="1">
      <alignment horizontal="center" vertical="center"/>
    </xf>
    <xf numFmtId="37" fontId="2" fillId="0" borderId="0" xfId="0" applyNumberFormat="1" applyFont="1" applyBorder="1" applyAlignment="1">
      <alignment horizontal="center" vertical="center"/>
    </xf>
    <xf numFmtId="37" fontId="1" fillId="0" borderId="2" xfId="0" applyNumberFormat="1" applyFont="1" applyBorder="1" applyAlignment="1">
      <alignment horizontal="center" vertical="center"/>
    </xf>
    <xf numFmtId="165" fontId="9" fillId="0" borderId="2" xfId="0" applyNumberFormat="1" applyFont="1" applyBorder="1"/>
    <xf numFmtId="165" fontId="4" fillId="4" borderId="1" xfId="0" applyNumberFormat="1" applyFont="1" applyFill="1" applyBorder="1"/>
    <xf numFmtId="164" fontId="0" fillId="0" borderId="36" xfId="0" applyBorder="1"/>
    <xf numFmtId="164" fontId="0" fillId="0" borderId="0" xfId="0" applyBorder="1"/>
    <xf numFmtId="164" fontId="6" fillId="4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164" fontId="6" fillId="4" borderId="1" xfId="0" applyFont="1" applyFill="1" applyBorder="1" applyAlignment="1">
      <alignment horizontal="center" vertical="center" wrapText="1"/>
    </xf>
    <xf numFmtId="164" fontId="6" fillId="0" borderId="0" xfId="0" applyFont="1" applyAlignment="1">
      <alignment horizontal="center"/>
    </xf>
    <xf numFmtId="0" fontId="15" fillId="0" borderId="0" xfId="1" applyBorder="1"/>
    <xf numFmtId="0" fontId="15" fillId="0" borderId="0" xfId="1"/>
    <xf numFmtId="165" fontId="15" fillId="0" borderId="0" xfId="1" applyNumberFormat="1" applyBorder="1"/>
    <xf numFmtId="165" fontId="15" fillId="0" borderId="0" xfId="1" applyNumberFormat="1"/>
    <xf numFmtId="0" fontId="21" fillId="0" borderId="0" xfId="1" applyFont="1"/>
    <xf numFmtId="0" fontId="17" fillId="2" borderId="0" xfId="1" applyFont="1" applyFill="1" applyBorder="1" applyAlignment="1">
      <alignment horizontal="center"/>
    </xf>
    <xf numFmtId="0" fontId="15" fillId="0" borderId="46" xfId="1" applyBorder="1"/>
    <xf numFmtId="0" fontId="15" fillId="0" borderId="33" xfId="1" applyBorder="1"/>
    <xf numFmtId="0" fontId="15" fillId="0" borderId="46" xfId="1" applyFill="1" applyBorder="1"/>
    <xf numFmtId="0" fontId="15" fillId="0" borderId="0" xfId="1" applyFill="1" applyBorder="1"/>
    <xf numFmtId="0" fontId="15" fillId="0" borderId="33" xfId="1" applyFill="1" applyBorder="1"/>
    <xf numFmtId="37" fontId="3" fillId="0" borderId="10" xfId="0" applyNumberFormat="1" applyFont="1" applyBorder="1" applyAlignment="1">
      <alignment horizontal="center" vertical="center"/>
    </xf>
    <xf numFmtId="164" fontId="4" fillId="4" borderId="1" xfId="0" applyFont="1" applyFill="1" applyBorder="1" applyAlignment="1">
      <alignment horizontal="center" vertical="center"/>
    </xf>
    <xf numFmtId="165" fontId="4" fillId="2" borderId="0" xfId="0" applyNumberFormat="1" applyFont="1" applyFill="1" applyBorder="1" applyAlignment="1">
      <alignment horizontal="center" vertical="center"/>
    </xf>
    <xf numFmtId="165" fontId="4" fillId="5" borderId="1" xfId="0" applyNumberFormat="1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0" fillId="2" borderId="11" xfId="0" applyNumberFormat="1" applyFont="1" applyFill="1" applyBorder="1"/>
    <xf numFmtId="164" fontId="0" fillId="0" borderId="3" xfId="0" applyBorder="1"/>
    <xf numFmtId="164" fontId="0" fillId="0" borderId="1" xfId="0" applyBorder="1" applyAlignment="1">
      <alignment wrapText="1"/>
    </xf>
    <xf numFmtId="0" fontId="0" fillId="0" borderId="1" xfId="0" applyNumberFormat="1" applyBorder="1"/>
    <xf numFmtId="0" fontId="0" fillId="0" borderId="1" xfId="0" applyNumberFormat="1" applyFill="1" applyBorder="1"/>
    <xf numFmtId="164" fontId="0" fillId="0" borderId="49" xfId="0" applyBorder="1"/>
    <xf numFmtId="164" fontId="0" fillId="0" borderId="35" xfId="0" applyBorder="1" applyAlignment="1">
      <alignment wrapText="1"/>
    </xf>
    <xf numFmtId="164" fontId="0" fillId="0" borderId="0" xfId="0" applyBorder="1" applyAlignment="1">
      <alignment wrapText="1"/>
    </xf>
    <xf numFmtId="168" fontId="0" fillId="0" borderId="1" xfId="0" applyNumberFormat="1" applyBorder="1"/>
    <xf numFmtId="1" fontId="0" fillId="14" borderId="4" xfId="0" applyNumberFormat="1" applyFill="1" applyBorder="1" applyAlignment="1">
      <alignment horizontal="center"/>
    </xf>
    <xf numFmtId="165" fontId="4" fillId="12" borderId="11" xfId="0" applyNumberFormat="1" applyFont="1" applyFill="1" applyBorder="1"/>
    <xf numFmtId="1" fontId="4" fillId="12" borderId="10" xfId="0" applyNumberFormat="1" applyFont="1" applyFill="1" applyBorder="1" applyAlignment="1">
      <alignment horizontal="center" vertical="center" wrapText="1"/>
    </xf>
    <xf numFmtId="164" fontId="4" fillId="12" borderId="1" xfId="0" applyFont="1" applyFill="1" applyBorder="1"/>
    <xf numFmtId="165" fontId="4" fillId="12" borderId="1" xfId="0" applyNumberFormat="1" applyFont="1" applyFill="1" applyBorder="1" applyAlignment="1">
      <alignment horizontal="center" vertical="center" wrapText="1"/>
    </xf>
    <xf numFmtId="165" fontId="4" fillId="12" borderId="11" xfId="0" applyNumberFormat="1" applyFont="1" applyFill="1" applyBorder="1" applyAlignment="1">
      <alignment horizontal="center" vertical="center" wrapText="1"/>
    </xf>
    <xf numFmtId="165" fontId="7" fillId="12" borderId="11" xfId="0" applyNumberFormat="1" applyFont="1" applyFill="1" applyBorder="1"/>
    <xf numFmtId="1" fontId="0" fillId="2" borderId="6" xfId="0" applyNumberFormat="1" applyFill="1" applyBorder="1" applyAlignment="1">
      <alignment horizontal="center" vertical="center" wrapText="1"/>
    </xf>
    <xf numFmtId="1" fontId="4" fillId="12" borderId="6" xfId="0" applyNumberFormat="1" applyFont="1" applyFill="1" applyBorder="1" applyAlignment="1">
      <alignment horizontal="center" vertical="center" wrapText="1"/>
    </xf>
    <xf numFmtId="1" fontId="4" fillId="12" borderId="4" xfId="0" applyNumberFormat="1" applyFont="1" applyFill="1" applyBorder="1" applyAlignment="1">
      <alignment horizontal="center" vertical="center" wrapText="1"/>
    </xf>
    <xf numFmtId="1" fontId="4" fillId="12" borderId="21" xfId="0" applyNumberFormat="1" applyFont="1" applyFill="1" applyBorder="1" applyAlignment="1">
      <alignment horizontal="center" vertical="center" wrapText="1"/>
    </xf>
    <xf numFmtId="164" fontId="10" fillId="0" borderId="3" xfId="0" applyFont="1" applyBorder="1" applyAlignment="1">
      <alignment horizontal="left" vertical="center" wrapText="1"/>
    </xf>
    <xf numFmtId="165" fontId="5" fillId="12" borderId="12" xfId="0" applyNumberFormat="1" applyFont="1" applyFill="1" applyBorder="1" applyAlignment="1">
      <alignment horizontal="center" vertical="center" wrapText="1"/>
    </xf>
    <xf numFmtId="1" fontId="0" fillId="13" borderId="1" xfId="0" applyNumberFormat="1" applyFill="1" applyBorder="1" applyAlignment="1">
      <alignment horizontal="center" vertical="center" wrapText="1"/>
    </xf>
    <xf numFmtId="169" fontId="0" fillId="2" borderId="1" xfId="0" applyNumberFormat="1" applyFill="1" applyBorder="1" applyAlignment="1">
      <alignment horizontal="center" vertical="center" wrapText="1"/>
    </xf>
    <xf numFmtId="169" fontId="9" fillId="2" borderId="1" xfId="0" applyNumberFormat="1" applyFont="1" applyFill="1" applyBorder="1" applyAlignment="1">
      <alignment horizontal="center" vertical="center" wrapText="1"/>
    </xf>
    <xf numFmtId="169" fontId="0" fillId="2" borderId="11" xfId="0" applyNumberFormat="1" applyFill="1" applyBorder="1" applyAlignment="1">
      <alignment horizontal="center" vertical="center" wrapText="1"/>
    </xf>
    <xf numFmtId="164" fontId="8" fillId="12" borderId="8" xfId="0" applyFont="1" applyFill="1" applyBorder="1" applyAlignment="1">
      <alignment vertical="center" wrapText="1"/>
    </xf>
    <xf numFmtId="164" fontId="8" fillId="12" borderId="1" xfId="0" applyFont="1" applyFill="1" applyBorder="1" applyAlignment="1">
      <alignment vertical="center" wrapText="1"/>
    </xf>
    <xf numFmtId="164" fontId="8" fillId="12" borderId="39" xfId="0" applyFont="1" applyFill="1" applyBorder="1" applyAlignment="1">
      <alignment horizontal="center" vertical="center" wrapText="1"/>
    </xf>
    <xf numFmtId="1" fontId="0" fillId="12" borderId="7" xfId="0" applyNumberFormat="1" applyFill="1" applyBorder="1" applyAlignment="1">
      <alignment horizontal="center" vertical="center" wrapText="1"/>
    </xf>
    <xf numFmtId="1" fontId="0" fillId="12" borderId="4" xfId="0" applyNumberFormat="1" applyFill="1" applyBorder="1" applyAlignment="1">
      <alignment horizontal="center" vertical="center" wrapText="1"/>
    </xf>
    <xf numFmtId="164" fontId="0" fillId="12" borderId="1" xfId="0" applyFill="1" applyBorder="1" applyAlignment="1">
      <alignment horizontal="center" vertical="center" wrapText="1"/>
    </xf>
    <xf numFmtId="1" fontId="0" fillId="12" borderId="10" xfId="0" applyNumberFormat="1" applyFill="1" applyBorder="1" applyAlignment="1">
      <alignment horizontal="center" vertical="center" wrapText="1"/>
    </xf>
    <xf numFmtId="164" fontId="0" fillId="12" borderId="1" xfId="0" applyFill="1" applyBorder="1" applyAlignment="1">
      <alignment horizontal="left" vertical="center" wrapText="1"/>
    </xf>
    <xf numFmtId="169" fontId="9" fillId="12" borderId="1" xfId="0" applyNumberFormat="1" applyFont="1" applyFill="1" applyBorder="1" applyAlignment="1">
      <alignment horizontal="center" vertical="center" wrapText="1"/>
    </xf>
    <xf numFmtId="169" fontId="0" fillId="12" borderId="3" xfId="0" applyNumberFormat="1" applyFill="1" applyBorder="1" applyAlignment="1">
      <alignment horizontal="center" vertical="center" wrapText="1"/>
    </xf>
    <xf numFmtId="164" fontId="11" fillId="12" borderId="1" xfId="0" applyFont="1" applyFill="1" applyBorder="1" applyAlignment="1">
      <alignment horizontal="left" vertical="center" wrapText="1"/>
    </xf>
    <xf numFmtId="165" fontId="0" fillId="12" borderId="1" xfId="0" applyNumberFormat="1" applyFill="1" applyBorder="1" applyAlignment="1">
      <alignment horizontal="center" vertical="center" wrapText="1"/>
    </xf>
    <xf numFmtId="165" fontId="0" fillId="12" borderId="11" xfId="0" applyNumberFormat="1" applyFill="1" applyBorder="1" applyAlignment="1">
      <alignment horizontal="center" vertical="center" wrapText="1"/>
    </xf>
    <xf numFmtId="164" fontId="0" fillId="2" borderId="0" xfId="0" applyFill="1"/>
    <xf numFmtId="164" fontId="0" fillId="2" borderId="11" xfId="0" applyFill="1" applyBorder="1" applyAlignment="1">
      <alignment horizontal="right" vertical="center" wrapText="1"/>
    </xf>
    <xf numFmtId="164" fontId="4" fillId="12" borderId="11" xfId="0" applyFont="1" applyFill="1" applyBorder="1" applyAlignment="1">
      <alignment horizontal="right" vertical="center" wrapText="1"/>
    </xf>
    <xf numFmtId="169" fontId="9" fillId="2" borderId="3" xfId="0" applyNumberFormat="1" applyFont="1" applyFill="1" applyBorder="1" applyAlignment="1">
      <alignment horizontal="center" vertical="center" wrapText="1"/>
    </xf>
    <xf numFmtId="169" fontId="0" fillId="0" borderId="11" xfId="0" applyNumberFormat="1" applyBorder="1" applyAlignment="1">
      <alignment horizontal="center" vertical="center" wrapText="1"/>
    </xf>
    <xf numFmtId="169" fontId="0" fillId="0" borderId="1" xfId="0" applyNumberFormat="1" applyBorder="1" applyAlignment="1">
      <alignment horizontal="center" vertical="center" wrapText="1"/>
    </xf>
    <xf numFmtId="1" fontId="0" fillId="0" borderId="21" xfId="0" applyNumberFormat="1" applyBorder="1" applyAlignment="1">
      <alignment horizontal="center" vertical="center" wrapText="1"/>
    </xf>
    <xf numFmtId="169" fontId="0" fillId="0" borderId="4" xfId="0" applyNumberFormat="1" applyBorder="1" applyAlignment="1">
      <alignment horizontal="center" vertical="center" wrapText="1"/>
    </xf>
    <xf numFmtId="164" fontId="10" fillId="12" borderId="8" xfId="0" applyFont="1" applyFill="1" applyBorder="1" applyAlignment="1">
      <alignment vertical="center"/>
    </xf>
    <xf numFmtId="1" fontId="0" fillId="12" borderId="8" xfId="0" applyNumberFormat="1" applyFill="1" applyBorder="1" applyAlignment="1">
      <alignment vertical="center" wrapText="1"/>
    </xf>
    <xf numFmtId="1" fontId="4" fillId="12" borderId="1" xfId="0" applyNumberFormat="1" applyFont="1" applyFill="1" applyBorder="1" applyAlignment="1">
      <alignment horizontal="center" vertical="center" wrapText="1"/>
    </xf>
    <xf numFmtId="164" fontId="4" fillId="12" borderId="11" xfId="0" applyFont="1" applyFill="1" applyBorder="1"/>
    <xf numFmtId="1" fontId="0" fillId="12" borderId="21" xfId="0" applyNumberFormat="1" applyFill="1" applyBorder="1" applyAlignment="1">
      <alignment horizontal="center" vertical="center" wrapText="1"/>
    </xf>
    <xf numFmtId="169" fontId="0" fillId="12" borderId="4" xfId="0" applyNumberFormat="1" applyFill="1" applyBorder="1" applyAlignment="1">
      <alignment horizontal="center" vertical="center" wrapText="1"/>
    </xf>
    <xf numFmtId="169" fontId="0" fillId="12" borderId="11" xfId="0" applyNumberFormat="1" applyFill="1" applyBorder="1" applyAlignment="1">
      <alignment horizontal="center" vertical="center" wrapText="1"/>
    </xf>
    <xf numFmtId="164" fontId="10" fillId="12" borderId="3" xfId="0" applyFont="1" applyFill="1" applyBorder="1" applyAlignment="1">
      <alignment horizontal="left" vertical="center" wrapText="1"/>
    </xf>
    <xf numFmtId="1" fontId="0" fillId="12" borderId="1" xfId="0" applyNumberFormat="1" applyFill="1" applyBorder="1" applyAlignment="1">
      <alignment horizontal="center" vertical="center" wrapText="1"/>
    </xf>
    <xf numFmtId="1" fontId="0" fillId="2" borderId="1" xfId="0" applyNumberFormat="1" applyFill="1" applyBorder="1" applyAlignment="1">
      <alignment vertical="center" wrapText="1"/>
    </xf>
    <xf numFmtId="164" fontId="0" fillId="2" borderId="3" xfId="0" applyFill="1" applyBorder="1"/>
    <xf numFmtId="1" fontId="0" fillId="2" borderId="1" xfId="0" applyNumberFormat="1" applyFill="1" applyBorder="1" applyAlignment="1">
      <alignment horizontal="center" vertical="center" wrapText="1"/>
    </xf>
    <xf numFmtId="164" fontId="8" fillId="0" borderId="3" xfId="0" applyFont="1" applyBorder="1" applyAlignment="1">
      <alignment horizontal="left" vertical="center" wrapText="1"/>
    </xf>
    <xf numFmtId="164" fontId="8" fillId="12" borderId="3" xfId="0" applyFont="1" applyFill="1" applyBorder="1" applyAlignment="1">
      <alignment horizontal="left" vertical="center" wrapText="1"/>
    </xf>
    <xf numFmtId="1" fontId="0" fillId="0" borderId="6" xfId="0" applyNumberFormat="1" applyBorder="1" applyAlignment="1">
      <alignment horizontal="center" vertical="center" wrapText="1"/>
    </xf>
    <xf numFmtId="164" fontId="0" fillId="0" borderId="6" xfId="0" applyBorder="1"/>
    <xf numFmtId="164" fontId="0" fillId="0" borderId="4" xfId="0" applyBorder="1"/>
    <xf numFmtId="1" fontId="0" fillId="12" borderId="6" xfId="0" applyNumberFormat="1" applyFill="1" applyBorder="1" applyAlignment="1">
      <alignment horizontal="center" vertical="center" wrapText="1"/>
    </xf>
    <xf numFmtId="164" fontId="0" fillId="12" borderId="6" xfId="0" applyFill="1" applyBorder="1"/>
    <xf numFmtId="164" fontId="0" fillId="12" borderId="4" xfId="0" applyFill="1" applyBorder="1"/>
    <xf numFmtId="165" fontId="0" fillId="12" borderId="11" xfId="0" applyNumberFormat="1" applyFill="1" applyBorder="1"/>
    <xf numFmtId="164" fontId="11" fillId="12" borderId="1" xfId="0" applyFont="1" applyFill="1" applyBorder="1" applyAlignment="1">
      <alignment wrapText="1"/>
    </xf>
    <xf numFmtId="164" fontId="4" fillId="12" borderId="3" xfId="0" applyFont="1" applyFill="1" applyBorder="1"/>
    <xf numFmtId="164" fontId="0" fillId="12" borderId="1" xfId="0" applyFill="1" applyBorder="1" applyAlignment="1">
      <alignment horizontal="left"/>
    </xf>
    <xf numFmtId="164" fontId="4" fillId="2" borderId="1" xfId="0" applyFont="1" applyFill="1" applyBorder="1"/>
    <xf numFmtId="164" fontId="0" fillId="2" borderId="1" xfId="0" applyFill="1" applyBorder="1" applyAlignment="1">
      <alignment horizontal="left" vertical="center"/>
    </xf>
    <xf numFmtId="169" fontId="9" fillId="0" borderId="1" xfId="0" applyNumberFormat="1" applyFont="1" applyBorder="1" applyAlignment="1">
      <alignment horizontal="center" vertical="center" wrapText="1"/>
    </xf>
    <xf numFmtId="169" fontId="9" fillId="0" borderId="1" xfId="0" applyNumberFormat="1" applyFont="1" applyBorder="1" applyAlignment="1">
      <alignment horizontal="center" vertical="center"/>
    </xf>
    <xf numFmtId="169" fontId="0" fillId="0" borderId="11" xfId="0" applyNumberFormat="1" applyBorder="1" applyAlignment="1">
      <alignment horizontal="center" vertical="center"/>
    </xf>
    <xf numFmtId="165" fontId="4" fillId="2" borderId="1" xfId="0" applyNumberFormat="1" applyFont="1" applyFill="1" applyBorder="1"/>
    <xf numFmtId="1" fontId="4" fillId="2" borderId="1" xfId="0" applyNumberFormat="1" applyFont="1" applyFill="1" applyBorder="1" applyAlignment="1">
      <alignment vertical="center" wrapText="1"/>
    </xf>
    <xf numFmtId="165" fontId="7" fillId="2" borderId="11" xfId="0" applyNumberFormat="1" applyFont="1" applyFill="1" applyBorder="1"/>
    <xf numFmtId="165" fontId="4" fillId="2" borderId="3" xfId="0" applyNumberFormat="1" applyFont="1" applyFill="1" applyBorder="1" applyAlignment="1">
      <alignment horizontal="center" vertical="center" wrapText="1"/>
    </xf>
    <xf numFmtId="164" fontId="4" fillId="2" borderId="6" xfId="0" applyFont="1" applyFill="1" applyBorder="1"/>
    <xf numFmtId="165" fontId="4" fillId="2" borderId="4" xfId="0" applyNumberFormat="1" applyFont="1" applyFill="1" applyBorder="1" applyAlignment="1">
      <alignment horizontal="center" vertical="center" wrapText="1"/>
    </xf>
    <xf numFmtId="165" fontId="9" fillId="12" borderId="1" xfId="0" applyNumberFormat="1" applyFont="1" applyFill="1" applyBorder="1"/>
    <xf numFmtId="165" fontId="0" fillId="12" borderId="22" xfId="0" applyNumberFormat="1" applyFill="1" applyBorder="1" applyAlignment="1">
      <alignment horizontal="center" vertical="center" wrapText="1"/>
    </xf>
    <xf numFmtId="165" fontId="4" fillId="12" borderId="40" xfId="0" applyNumberFormat="1" applyFont="1" applyFill="1" applyBorder="1" applyAlignment="1"/>
    <xf numFmtId="165" fontId="4" fillId="12" borderId="36" xfId="0" applyNumberFormat="1" applyFont="1" applyFill="1" applyBorder="1" applyAlignment="1"/>
    <xf numFmtId="165" fontId="4" fillId="12" borderId="32" xfId="0" applyNumberFormat="1" applyFont="1" applyFill="1" applyBorder="1" applyAlignment="1"/>
    <xf numFmtId="165" fontId="4" fillId="2" borderId="1" xfId="0" applyNumberFormat="1" applyFont="1" applyFill="1" applyBorder="1" applyAlignment="1"/>
    <xf numFmtId="1" fontId="4" fillId="2" borderId="36" xfId="0" applyNumberFormat="1" applyFont="1" applyFill="1" applyBorder="1" applyAlignment="1">
      <alignment horizontal="center" vertical="center" wrapText="1"/>
    </xf>
    <xf numFmtId="165" fontId="9" fillId="2" borderId="4" xfId="0" applyNumberFormat="1" applyFont="1" applyFill="1" applyBorder="1"/>
    <xf numFmtId="167" fontId="4" fillId="2" borderId="1" xfId="0" applyNumberFormat="1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vertical="center"/>
    </xf>
    <xf numFmtId="165" fontId="4" fillId="2" borderId="3" xfId="0" applyNumberFormat="1" applyFont="1" applyFill="1" applyBorder="1" applyAlignment="1">
      <alignment vertical="center"/>
    </xf>
    <xf numFmtId="1" fontId="4" fillId="2" borderId="40" xfId="0" applyNumberFormat="1" applyFont="1" applyFill="1" applyBorder="1" applyAlignment="1">
      <alignment horizontal="center" vertical="center" wrapText="1"/>
    </xf>
    <xf numFmtId="167" fontId="4" fillId="2" borderId="36" xfId="0" applyNumberFormat="1" applyFont="1" applyFill="1" applyBorder="1" applyAlignment="1">
      <alignment horizontal="center" vertical="center" wrapText="1"/>
    </xf>
    <xf numFmtId="165" fontId="4" fillId="2" borderId="36" xfId="0" applyNumberFormat="1" applyFont="1" applyFill="1" applyBorder="1" applyAlignment="1">
      <alignment vertical="center"/>
    </xf>
    <xf numFmtId="165" fontId="4" fillId="2" borderId="36" xfId="0" applyNumberFormat="1" applyFont="1" applyFill="1" applyBorder="1"/>
    <xf numFmtId="1" fontId="0" fillId="14" borderId="7" xfId="0" applyNumberFormat="1" applyFill="1" applyBorder="1" applyAlignment="1">
      <alignment horizontal="center" vertical="center" wrapText="1"/>
    </xf>
    <xf numFmtId="164" fontId="8" fillId="2" borderId="7" xfId="0" applyFont="1" applyFill="1" applyBorder="1" applyAlignment="1">
      <alignment horizontal="center" vertical="center" wrapText="1"/>
    </xf>
    <xf numFmtId="164" fontId="29" fillId="0" borderId="54" xfId="0" applyFont="1" applyBorder="1" applyAlignment="1">
      <alignment horizontal="left" readingOrder="1"/>
    </xf>
    <xf numFmtId="164" fontId="29" fillId="18" borderId="54" xfId="0" applyFont="1" applyFill="1" applyBorder="1" applyAlignment="1">
      <alignment horizontal="left" readingOrder="1"/>
    </xf>
    <xf numFmtId="164" fontId="29" fillId="19" borderId="54" xfId="0" applyFont="1" applyFill="1" applyBorder="1"/>
    <xf numFmtId="164" fontId="29" fillId="0" borderId="54" xfId="0" applyFont="1" applyBorder="1"/>
    <xf numFmtId="164" fontId="29" fillId="18" borderId="54" xfId="0" applyFont="1" applyFill="1" applyBorder="1"/>
    <xf numFmtId="164" fontId="31" fillId="0" borderId="54" xfId="0" applyFont="1" applyBorder="1"/>
    <xf numFmtId="164" fontId="32" fillId="0" borderId="54" xfId="0" applyFont="1" applyBorder="1" applyAlignment="1">
      <alignment wrapText="1"/>
    </xf>
    <xf numFmtId="164" fontId="34" fillId="0" borderId="54" xfId="0" applyFont="1" applyBorder="1"/>
    <xf numFmtId="165" fontId="4" fillId="16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Fill="1" applyBorder="1" applyAlignment="1">
      <alignment horizontal="center"/>
    </xf>
    <xf numFmtId="167" fontId="0" fillId="0" borderId="1" xfId="0" applyNumberFormat="1" applyFill="1" applyBorder="1"/>
    <xf numFmtId="3" fontId="0" fillId="0" borderId="1" xfId="0" applyNumberFormat="1" applyBorder="1" applyAlignment="1">
      <alignment horizontal="left"/>
    </xf>
    <xf numFmtId="0" fontId="15" fillId="23" borderId="29" xfId="1" applyFont="1" applyFill="1" applyBorder="1"/>
    <xf numFmtId="0" fontId="16" fillId="23" borderId="41" xfId="1" applyFont="1" applyFill="1" applyBorder="1"/>
    <xf numFmtId="0" fontId="17" fillId="23" borderId="41" xfId="1" applyFont="1" applyFill="1" applyBorder="1"/>
    <xf numFmtId="49" fontId="23" fillId="23" borderId="30" xfId="1" applyNumberFormat="1" applyFont="1" applyFill="1" applyBorder="1" applyAlignment="1">
      <alignment horizontal="center" vertical="center"/>
    </xf>
    <xf numFmtId="0" fontId="16" fillId="23" borderId="46" xfId="1" applyFont="1" applyFill="1" applyBorder="1"/>
    <xf numFmtId="0" fontId="16" fillId="23" borderId="0" xfId="1" applyFont="1" applyFill="1" applyBorder="1"/>
    <xf numFmtId="0" fontId="16" fillId="23" borderId="33" xfId="1" applyFont="1" applyFill="1" applyBorder="1"/>
    <xf numFmtId="0" fontId="17" fillId="23" borderId="31" xfId="1" applyFont="1" applyFill="1" applyBorder="1"/>
    <xf numFmtId="0" fontId="17" fillId="23" borderId="36" xfId="1" applyFont="1" applyFill="1" applyBorder="1"/>
    <xf numFmtId="0" fontId="16" fillId="23" borderId="32" xfId="1" applyFont="1" applyFill="1" applyBorder="1"/>
    <xf numFmtId="0" fontId="18" fillId="23" borderId="45" xfId="1" applyFont="1" applyFill="1" applyBorder="1"/>
    <xf numFmtId="0" fontId="19" fillId="23" borderId="47" xfId="1" applyFont="1" applyFill="1" applyBorder="1"/>
    <xf numFmtId="0" fontId="15" fillId="23" borderId="35" xfId="1" applyFont="1" applyFill="1" applyBorder="1"/>
    <xf numFmtId="0" fontId="15" fillId="23" borderId="35" xfId="1" applyFill="1" applyBorder="1"/>
    <xf numFmtId="0" fontId="19" fillId="23" borderId="22" xfId="1" applyFont="1" applyFill="1" applyBorder="1"/>
    <xf numFmtId="0" fontId="15" fillId="23" borderId="46" xfId="1" applyFill="1" applyBorder="1"/>
    <xf numFmtId="0" fontId="15" fillId="23" borderId="0" xfId="1" applyFill="1" applyBorder="1"/>
    <xf numFmtId="0" fontId="17" fillId="23" borderId="23" xfId="1" applyFont="1" applyFill="1" applyBorder="1"/>
    <xf numFmtId="0" fontId="15" fillId="23" borderId="0" xfId="1" applyFont="1" applyFill="1" applyBorder="1"/>
    <xf numFmtId="0" fontId="16" fillId="23" borderId="31" xfId="1" applyFont="1" applyFill="1" applyBorder="1"/>
    <xf numFmtId="0" fontId="16" fillId="23" borderId="36" xfId="1" applyFont="1" applyFill="1" applyBorder="1" applyAlignment="1">
      <alignment horizontal="center"/>
    </xf>
    <xf numFmtId="0" fontId="16" fillId="23" borderId="36" xfId="1" applyFont="1" applyFill="1" applyBorder="1"/>
    <xf numFmtId="0" fontId="17" fillId="23" borderId="14" xfId="1" applyFont="1" applyFill="1" applyBorder="1"/>
    <xf numFmtId="0" fontId="17" fillId="23" borderId="47" xfId="1" applyFont="1" applyFill="1" applyBorder="1"/>
    <xf numFmtId="0" fontId="17" fillId="23" borderId="35" xfId="1" applyFont="1" applyFill="1" applyBorder="1"/>
    <xf numFmtId="0" fontId="15" fillId="23" borderId="48" xfId="1" applyFill="1" applyBorder="1"/>
    <xf numFmtId="0" fontId="15" fillId="23" borderId="31" xfId="1" applyFill="1" applyBorder="1"/>
    <xf numFmtId="0" fontId="15" fillId="23" borderId="36" xfId="1" applyFill="1" applyBorder="1"/>
    <xf numFmtId="0" fontId="15" fillId="23" borderId="32" xfId="1" applyFill="1" applyBorder="1"/>
    <xf numFmtId="0" fontId="17" fillId="23" borderId="10" xfId="1" applyFont="1" applyFill="1" applyBorder="1" applyAlignment="1">
      <alignment horizontal="center" vertical="center" wrapText="1"/>
    </xf>
    <xf numFmtId="0" fontId="17" fillId="23" borderId="3" xfId="1" applyFont="1" applyFill="1" applyBorder="1" applyAlignment="1">
      <alignment vertical="center" wrapText="1"/>
    </xf>
    <xf numFmtId="0" fontId="17" fillId="23" borderId="1" xfId="1" applyFont="1" applyFill="1" applyBorder="1" applyAlignment="1">
      <alignment horizontal="center" vertical="center" wrapText="1"/>
    </xf>
    <xf numFmtId="165" fontId="15" fillId="23" borderId="1" xfId="1" applyNumberFormat="1" applyFill="1" applyBorder="1" applyAlignment="1">
      <alignment horizontal="center"/>
    </xf>
    <xf numFmtId="165" fontId="17" fillId="23" borderId="2" xfId="1" applyNumberFormat="1" applyFont="1" applyFill="1" applyBorder="1"/>
    <xf numFmtId="165" fontId="15" fillId="23" borderId="8" xfId="1" applyNumberFormat="1" applyFill="1" applyBorder="1"/>
    <xf numFmtId="0" fontId="19" fillId="23" borderId="1" xfId="1" applyFont="1" applyFill="1" applyBorder="1"/>
    <xf numFmtId="165" fontId="22" fillId="23" borderId="1" xfId="1" applyNumberFormat="1" applyFont="1" applyFill="1" applyBorder="1" applyAlignment="1">
      <alignment horizontal="center"/>
    </xf>
    <xf numFmtId="0" fontId="20" fillId="23" borderId="1" xfId="1" applyFont="1" applyFill="1" applyBorder="1"/>
    <xf numFmtId="0" fontId="17" fillId="23" borderId="3" xfId="1" applyFont="1" applyFill="1" applyBorder="1"/>
    <xf numFmtId="0" fontId="17" fillId="23" borderId="6" xfId="1" applyFont="1" applyFill="1" applyBorder="1"/>
    <xf numFmtId="0" fontId="17" fillId="23" borderId="34" xfId="1" applyFont="1" applyFill="1" applyBorder="1"/>
    <xf numFmtId="0" fontId="17" fillId="23" borderId="37" xfId="1" applyFont="1" applyFill="1" applyBorder="1"/>
    <xf numFmtId="0" fontId="15" fillId="23" borderId="38" xfId="1" applyFill="1" applyBorder="1"/>
    <xf numFmtId="0" fontId="17" fillId="23" borderId="38" xfId="1" applyFont="1" applyFill="1" applyBorder="1"/>
    <xf numFmtId="0" fontId="17" fillId="23" borderId="39" xfId="1" applyFont="1" applyFill="1" applyBorder="1"/>
    <xf numFmtId="0" fontId="15" fillId="23" borderId="39" xfId="1" applyFill="1" applyBorder="1"/>
    <xf numFmtId="0" fontId="15" fillId="23" borderId="40" xfId="1" applyFill="1" applyBorder="1"/>
    <xf numFmtId="0" fontId="17" fillId="23" borderId="40" xfId="1" applyFont="1" applyFill="1" applyBorder="1"/>
    <xf numFmtId="0" fontId="15" fillId="23" borderId="9" xfId="1" applyFill="1" applyBorder="1"/>
    <xf numFmtId="0" fontId="20" fillId="23" borderId="29" xfId="1" applyFont="1" applyFill="1" applyBorder="1"/>
    <xf numFmtId="0" fontId="20" fillId="23" borderId="41" xfId="1" applyFont="1" applyFill="1" applyBorder="1"/>
    <xf numFmtId="0" fontId="20" fillId="23" borderId="30" xfId="1" applyFont="1" applyFill="1" applyBorder="1"/>
    <xf numFmtId="0" fontId="20" fillId="23" borderId="42" xfId="1" applyFont="1" applyFill="1" applyBorder="1"/>
    <xf numFmtId="0" fontId="20" fillId="23" borderId="43" xfId="1" applyFont="1" applyFill="1" applyBorder="1"/>
    <xf numFmtId="0" fontId="20" fillId="23" borderId="44" xfId="1" applyFont="1" applyFill="1" applyBorder="1"/>
    <xf numFmtId="167" fontId="35" fillId="0" borderId="1" xfId="0" applyNumberFormat="1" applyFont="1" applyBorder="1"/>
    <xf numFmtId="164" fontId="35" fillId="2" borderId="1" xfId="0" applyFont="1" applyFill="1" applyBorder="1" applyAlignment="1">
      <alignment horizontal="left" vertical="center" wrapText="1"/>
    </xf>
    <xf numFmtId="167" fontId="35" fillId="0" borderId="1" xfId="0" applyNumberFormat="1" applyFont="1" applyFill="1" applyBorder="1"/>
    <xf numFmtId="3" fontId="35" fillId="21" borderId="1" xfId="0" applyNumberFormat="1" applyFont="1" applyFill="1" applyBorder="1" applyAlignment="1">
      <alignment horizontal="center"/>
    </xf>
    <xf numFmtId="167" fontId="35" fillId="21" borderId="1" xfId="0" applyNumberFormat="1" applyFont="1" applyFill="1" applyBorder="1"/>
    <xf numFmtId="164" fontId="29" fillId="0" borderId="54" xfId="0" applyFont="1" applyFill="1" applyBorder="1"/>
    <xf numFmtId="164" fontId="32" fillId="0" borderId="54" xfId="0" applyFont="1" applyFill="1" applyBorder="1" applyAlignment="1">
      <alignment wrapText="1"/>
    </xf>
    <xf numFmtId="3" fontId="35" fillId="0" borderId="1" xfId="0" applyNumberFormat="1" applyFont="1" applyBorder="1" applyAlignment="1">
      <alignment horizontal="center"/>
    </xf>
    <xf numFmtId="164" fontId="30" fillId="0" borderId="2" xfId="0" applyFont="1" applyBorder="1" applyAlignment="1">
      <alignment horizontal="center" vertical="center" wrapText="1"/>
    </xf>
    <xf numFmtId="164" fontId="29" fillId="24" borderId="54" xfId="0" applyFont="1" applyFill="1" applyBorder="1"/>
    <xf numFmtId="164" fontId="30" fillId="0" borderId="59" xfId="0" applyFont="1" applyBorder="1" applyAlignment="1">
      <alignment horizontal="left" vertical="center" wrapText="1"/>
    </xf>
    <xf numFmtId="164" fontId="30" fillId="0" borderId="1" xfId="0" applyFont="1" applyBorder="1" applyAlignment="1">
      <alignment horizontal="left" vertical="center" wrapText="1"/>
    </xf>
    <xf numFmtId="164" fontId="30" fillId="0" borderId="54" xfId="0" applyFont="1" applyBorder="1" applyAlignment="1">
      <alignment horizontal="left" vertical="center" wrapText="1"/>
    </xf>
    <xf numFmtId="164" fontId="30" fillId="0" borderId="59" xfId="0" applyFont="1" applyBorder="1" applyAlignment="1">
      <alignment horizontal="left" vertical="center"/>
    </xf>
    <xf numFmtId="164" fontId="30" fillId="0" borderId="1" xfId="0" applyFont="1" applyBorder="1" applyAlignment="1">
      <alignment horizontal="left" vertical="center"/>
    </xf>
    <xf numFmtId="164" fontId="30" fillId="0" borderId="54" xfId="0" applyFont="1" applyBorder="1" applyAlignment="1">
      <alignment horizontal="left" vertical="center"/>
    </xf>
    <xf numFmtId="164" fontId="30" fillId="0" borderId="4" xfId="0" applyFont="1" applyBorder="1" applyAlignment="1">
      <alignment horizontal="left" vertical="center" wrapText="1"/>
    </xf>
    <xf numFmtId="164" fontId="0" fillId="0" borderId="0" xfId="0" applyAlignment="1">
      <alignment horizontal="left" vertical="center"/>
    </xf>
    <xf numFmtId="164" fontId="9" fillId="0" borderId="1" xfId="0" applyFont="1" applyBorder="1" applyAlignment="1">
      <alignment horizontal="center" vertical="center" wrapText="1"/>
    </xf>
    <xf numFmtId="164" fontId="0" fillId="0" borderId="1" xfId="0" applyBorder="1" applyAlignment="1">
      <alignment horizontal="center" vertical="center" wrapText="1"/>
    </xf>
    <xf numFmtId="164" fontId="35" fillId="0" borderId="1" xfId="0" applyFont="1" applyBorder="1" applyAlignment="1"/>
    <xf numFmtId="164" fontId="35" fillId="0" borderId="1" xfId="0" applyFont="1" applyFill="1" applyBorder="1" applyAlignment="1"/>
    <xf numFmtId="164" fontId="35" fillId="25" borderId="1" xfId="0" applyFont="1" applyFill="1" applyBorder="1" applyAlignment="1"/>
    <xf numFmtId="3" fontId="35" fillId="25" borderId="1" xfId="0" applyNumberFormat="1" applyFont="1" applyFill="1" applyBorder="1" applyAlignment="1">
      <alignment horizontal="center"/>
    </xf>
    <xf numFmtId="167" fontId="35" fillId="25" borderId="1" xfId="0" applyNumberFormat="1" applyFont="1" applyFill="1" applyBorder="1"/>
    <xf numFmtId="164" fontId="35" fillId="25" borderId="1" xfId="0" applyFont="1" applyFill="1" applyBorder="1" applyAlignment="1">
      <alignment horizontal="left" vertical="center" wrapText="1"/>
    </xf>
    <xf numFmtId="167" fontId="35" fillId="25" borderId="1" xfId="0" applyNumberFormat="1" applyFont="1" applyFill="1" applyBorder="1" applyAlignment="1"/>
    <xf numFmtId="0" fontId="9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 wrapText="1"/>
    </xf>
    <xf numFmtId="0" fontId="35" fillId="25" borderId="1" xfId="0" applyNumberFormat="1" applyFont="1" applyFill="1" applyBorder="1" applyAlignment="1">
      <alignment horizontal="center"/>
    </xf>
    <xf numFmtId="0" fontId="35" fillId="0" borderId="1" xfId="0" applyNumberFormat="1" applyFont="1" applyBorder="1" applyAlignment="1">
      <alignment horizontal="center"/>
    </xf>
    <xf numFmtId="0" fontId="35" fillId="21" borderId="1" xfId="0" applyNumberFormat="1" applyFont="1" applyFill="1" applyBorder="1" applyAlignment="1">
      <alignment horizontal="center"/>
    </xf>
    <xf numFmtId="167" fontId="35" fillId="0" borderId="1" xfId="0" applyNumberFormat="1" applyFont="1" applyFill="1" applyBorder="1" applyAlignment="1"/>
    <xf numFmtId="3" fontId="35" fillId="0" borderId="1" xfId="0" applyNumberFormat="1" applyFont="1" applyFill="1" applyBorder="1" applyAlignment="1">
      <alignment horizontal="center"/>
    </xf>
    <xf numFmtId="0" fontId="35" fillId="0" borderId="1" xfId="0" applyNumberFormat="1" applyFont="1" applyFill="1" applyBorder="1" applyAlignment="1">
      <alignment horizontal="center"/>
    </xf>
    <xf numFmtId="164" fontId="35" fillId="0" borderId="1" xfId="0" applyFont="1" applyFill="1" applyBorder="1" applyAlignment="1">
      <alignment horizontal="left" vertical="center" wrapText="1"/>
    </xf>
    <xf numFmtId="3" fontId="35" fillId="8" borderId="1" xfId="0" applyNumberFormat="1" applyFont="1" applyFill="1" applyBorder="1" applyAlignment="1">
      <alignment horizontal="center"/>
    </xf>
    <xf numFmtId="167" fontId="35" fillId="8" borderId="1" xfId="0" applyNumberFormat="1" applyFont="1" applyFill="1" applyBorder="1"/>
    <xf numFmtId="0" fontId="35" fillId="8" borderId="1" xfId="0" applyNumberFormat="1" applyFont="1" applyFill="1" applyBorder="1" applyAlignment="1">
      <alignment horizontal="center"/>
    </xf>
    <xf numFmtId="164" fontId="35" fillId="26" borderId="1" xfId="0" applyFont="1" applyFill="1" applyBorder="1" applyAlignment="1"/>
    <xf numFmtId="3" fontId="35" fillId="26" borderId="1" xfId="0" applyNumberFormat="1" applyFont="1" applyFill="1" applyBorder="1" applyAlignment="1">
      <alignment horizontal="center"/>
    </xf>
    <xf numFmtId="167" fontId="35" fillId="26" borderId="1" xfId="0" applyNumberFormat="1" applyFont="1" applyFill="1" applyBorder="1"/>
    <xf numFmtId="0" fontId="35" fillId="26" borderId="1" xfId="0" applyNumberFormat="1" applyFont="1" applyFill="1" applyBorder="1" applyAlignment="1">
      <alignment horizontal="center"/>
    </xf>
    <xf numFmtId="164" fontId="35" fillId="26" borderId="1" xfId="0" applyFont="1" applyFill="1" applyBorder="1" applyAlignment="1">
      <alignment horizontal="left" vertical="center" wrapText="1"/>
    </xf>
    <xf numFmtId="167" fontId="35" fillId="26" borderId="1" xfId="0" applyNumberFormat="1" applyFont="1" applyFill="1" applyBorder="1" applyAlignment="1"/>
    <xf numFmtId="164" fontId="35" fillId="21" borderId="1" xfId="0" applyFont="1" applyFill="1" applyBorder="1" applyAlignment="1"/>
    <xf numFmtId="164" fontId="35" fillId="21" borderId="1" xfId="0" applyFont="1" applyFill="1" applyBorder="1" applyAlignment="1">
      <alignment horizontal="left" vertical="center" wrapText="1"/>
    </xf>
    <xf numFmtId="167" fontId="35" fillId="21" borderId="1" xfId="0" applyNumberFormat="1" applyFont="1" applyFill="1" applyBorder="1" applyAlignment="1"/>
    <xf numFmtId="164" fontId="35" fillId="27" borderId="1" xfId="0" applyFont="1" applyFill="1" applyBorder="1" applyAlignment="1"/>
    <xf numFmtId="167" fontId="35" fillId="27" borderId="1" xfId="0" applyNumberFormat="1" applyFont="1" applyFill="1" applyBorder="1" applyAlignment="1"/>
    <xf numFmtId="3" fontId="35" fillId="27" borderId="1" xfId="0" applyNumberFormat="1" applyFont="1" applyFill="1" applyBorder="1" applyAlignment="1">
      <alignment horizontal="center"/>
    </xf>
    <xf numFmtId="167" fontId="35" fillId="27" borderId="1" xfId="0" applyNumberFormat="1" applyFont="1" applyFill="1" applyBorder="1"/>
    <xf numFmtId="0" fontId="35" fillId="27" borderId="1" xfId="0" applyNumberFormat="1" applyFont="1" applyFill="1" applyBorder="1" applyAlignment="1">
      <alignment horizontal="center"/>
    </xf>
    <xf numFmtId="164" fontId="35" fillId="27" borderId="1" xfId="0" applyFont="1" applyFill="1" applyBorder="1" applyAlignment="1">
      <alignment horizontal="left" vertical="center" wrapText="1"/>
    </xf>
    <xf numFmtId="164" fontId="35" fillId="28" borderId="1" xfId="0" applyFont="1" applyFill="1" applyBorder="1" applyAlignment="1"/>
    <xf numFmtId="0" fontId="35" fillId="28" borderId="1" xfId="0" applyNumberFormat="1" applyFont="1" applyFill="1" applyBorder="1" applyAlignment="1">
      <alignment horizontal="center"/>
    </xf>
    <xf numFmtId="164" fontId="35" fillId="28" borderId="1" xfId="0" applyFont="1" applyFill="1" applyBorder="1" applyAlignment="1">
      <alignment horizontal="left" vertical="center" wrapText="1"/>
    </xf>
    <xf numFmtId="167" fontId="35" fillId="28" borderId="1" xfId="0" applyNumberFormat="1" applyFont="1" applyFill="1" applyBorder="1"/>
    <xf numFmtId="167" fontId="35" fillId="28" borderId="1" xfId="0" applyNumberFormat="1" applyFont="1" applyFill="1" applyBorder="1" applyAlignment="1"/>
    <xf numFmtId="167" fontId="35" fillId="0" borderId="1" xfId="0" applyNumberFormat="1" applyFont="1" applyFill="1" applyBorder="1" applyAlignment="1">
      <alignment vertical="center"/>
    </xf>
    <xf numFmtId="167" fontId="35" fillId="0" borderId="1" xfId="0" applyNumberFormat="1" applyFont="1" applyFill="1" applyBorder="1" applyAlignment="1">
      <alignment horizontal="center" vertical="center"/>
    </xf>
    <xf numFmtId="3" fontId="35" fillId="0" borderId="1" xfId="0" applyNumberFormat="1" applyFont="1" applyFill="1" applyBorder="1" applyAlignment="1"/>
    <xf numFmtId="164" fontId="35" fillId="29" borderId="1" xfId="0" applyFont="1" applyFill="1" applyBorder="1" applyAlignment="1"/>
    <xf numFmtId="3" fontId="35" fillId="29" borderId="1" xfId="0" applyNumberFormat="1" applyFont="1" applyFill="1" applyBorder="1" applyAlignment="1"/>
    <xf numFmtId="167" fontId="35" fillId="29" borderId="1" xfId="0" applyNumberFormat="1" applyFont="1" applyFill="1" applyBorder="1" applyAlignment="1"/>
    <xf numFmtId="0" fontId="35" fillId="29" borderId="1" xfId="0" applyNumberFormat="1" applyFont="1" applyFill="1" applyBorder="1" applyAlignment="1">
      <alignment horizontal="center"/>
    </xf>
    <xf numFmtId="164" fontId="35" fillId="29" borderId="1" xfId="0" applyFont="1" applyFill="1" applyBorder="1"/>
    <xf numFmtId="167" fontId="35" fillId="29" borderId="1" xfId="0" applyNumberFormat="1" applyFont="1" applyFill="1" applyBorder="1"/>
    <xf numFmtId="3" fontId="35" fillId="0" borderId="1" xfId="0" applyNumberFormat="1" applyFont="1" applyFill="1" applyBorder="1" applyAlignment="1">
      <alignment horizontal="center" vertical="center"/>
    </xf>
    <xf numFmtId="164" fontId="35" fillId="0" borderId="1" xfId="0" applyFont="1" applyFill="1" applyBorder="1"/>
    <xf numFmtId="0" fontId="35" fillId="31" borderId="1" xfId="0" applyNumberFormat="1" applyFont="1" applyFill="1" applyBorder="1" applyAlignment="1">
      <alignment horizontal="center"/>
    </xf>
    <xf numFmtId="167" fontId="35" fillId="31" borderId="1" xfId="0" applyNumberFormat="1" applyFont="1" applyFill="1" applyBorder="1"/>
    <xf numFmtId="164" fontId="35" fillId="0" borderId="1" xfId="0" applyFont="1" applyFill="1" applyBorder="1" applyAlignment="1">
      <alignment vertical="center" wrapText="1"/>
    </xf>
    <xf numFmtId="3" fontId="35" fillId="0" borderId="1" xfId="0" applyNumberFormat="1" applyFont="1" applyFill="1" applyBorder="1" applyAlignment="1">
      <alignment vertical="center"/>
    </xf>
    <xf numFmtId="3" fontId="0" fillId="0" borderId="1" xfId="0" applyNumberFormat="1" applyFill="1" applyBorder="1" applyAlignment="1">
      <alignment horizontal="center" vertical="center"/>
    </xf>
    <xf numFmtId="167" fontId="0" fillId="0" borderId="1" xfId="0" applyNumberFormat="1" applyFill="1" applyBorder="1" applyAlignment="1">
      <alignment horizontal="center" vertical="center"/>
    </xf>
    <xf numFmtId="3" fontId="35" fillId="33" borderId="1" xfId="0" applyNumberFormat="1" applyFont="1" applyFill="1" applyBorder="1" applyAlignment="1">
      <alignment horizontal="center"/>
    </xf>
    <xf numFmtId="167" fontId="35" fillId="33" borderId="1" xfId="0" applyNumberFormat="1" applyFont="1" applyFill="1" applyBorder="1"/>
    <xf numFmtId="0" fontId="35" fillId="33" borderId="1" xfId="0" applyNumberFormat="1" applyFont="1" applyFill="1" applyBorder="1" applyAlignment="1">
      <alignment horizontal="center"/>
    </xf>
    <xf numFmtId="164" fontId="0" fillId="34" borderId="1" xfId="0" applyFill="1" applyBorder="1"/>
    <xf numFmtId="0" fontId="0" fillId="0" borderId="1" xfId="0" applyNumberFormat="1" applyBorder="1" applyAlignment="1">
      <alignment horizontal="center" vertical="center"/>
    </xf>
    <xf numFmtId="167" fontId="35" fillId="32" borderId="1" xfId="0" applyNumberFormat="1" applyFont="1" applyFill="1" applyBorder="1" applyAlignment="1">
      <alignment vertical="center"/>
    </xf>
    <xf numFmtId="3" fontId="35" fillId="28" borderId="1" xfId="0" applyNumberFormat="1" applyFont="1" applyFill="1" applyBorder="1" applyAlignment="1"/>
    <xf numFmtId="164" fontId="35" fillId="23" borderId="1" xfId="0" applyFont="1" applyFill="1" applyBorder="1"/>
    <xf numFmtId="167" fontId="35" fillId="23" borderId="1" xfId="0" applyNumberFormat="1" applyFont="1" applyFill="1" applyBorder="1"/>
    <xf numFmtId="3" fontId="35" fillId="23" borderId="1" xfId="0" applyNumberFormat="1" applyFont="1" applyFill="1" applyBorder="1" applyAlignment="1">
      <alignment horizontal="center"/>
    </xf>
    <xf numFmtId="0" fontId="35" fillId="23" borderId="1" xfId="0" applyNumberFormat="1" applyFont="1" applyFill="1" applyBorder="1" applyAlignment="1">
      <alignment horizontal="center"/>
    </xf>
    <xf numFmtId="164" fontId="35" fillId="8" borderId="1" xfId="0" applyFont="1" applyFill="1" applyBorder="1"/>
    <xf numFmtId="164" fontId="35" fillId="30" borderId="1" xfId="0" applyFont="1" applyFill="1" applyBorder="1"/>
    <xf numFmtId="167" fontId="35" fillId="30" borderId="1" xfId="0" applyNumberFormat="1" applyFont="1" applyFill="1" applyBorder="1"/>
    <xf numFmtId="3" fontId="35" fillId="30" borderId="1" xfId="0" applyNumberFormat="1" applyFont="1" applyFill="1" applyBorder="1" applyAlignment="1">
      <alignment horizontal="center"/>
    </xf>
    <xf numFmtId="0" fontId="35" fillId="30" borderId="1" xfId="0" applyNumberFormat="1" applyFont="1" applyFill="1" applyBorder="1" applyAlignment="1">
      <alignment horizontal="center"/>
    </xf>
    <xf numFmtId="164" fontId="35" fillId="31" borderId="1" xfId="0" applyFont="1" applyFill="1" applyBorder="1"/>
    <xf numFmtId="3" fontId="35" fillId="31" borderId="1" xfId="0" applyNumberFormat="1" applyFont="1" applyFill="1" applyBorder="1" applyAlignment="1">
      <alignment horizontal="center"/>
    </xf>
    <xf numFmtId="164" fontId="35" fillId="22" borderId="1" xfId="0" applyFont="1" applyFill="1" applyBorder="1"/>
    <xf numFmtId="167" fontId="35" fillId="22" borderId="1" xfId="0" applyNumberFormat="1" applyFont="1" applyFill="1" applyBorder="1"/>
    <xf numFmtId="3" fontId="35" fillId="22" borderId="1" xfId="0" applyNumberFormat="1" applyFont="1" applyFill="1" applyBorder="1" applyAlignment="1">
      <alignment horizontal="center"/>
    </xf>
    <xf numFmtId="0" fontId="35" fillId="22" borderId="1" xfId="0" applyNumberFormat="1" applyFont="1" applyFill="1" applyBorder="1" applyAlignment="1">
      <alignment horizontal="center"/>
    </xf>
    <xf numFmtId="3" fontId="35" fillId="32" borderId="1" xfId="0" applyNumberFormat="1" applyFont="1" applyFill="1" applyBorder="1" applyAlignment="1"/>
    <xf numFmtId="3" fontId="35" fillId="32" borderId="1" xfId="0" applyNumberFormat="1" applyFont="1" applyFill="1" applyBorder="1" applyAlignment="1">
      <alignment vertical="center"/>
    </xf>
    <xf numFmtId="164" fontId="35" fillId="32" borderId="1" xfId="0" applyFont="1" applyFill="1" applyBorder="1" applyAlignment="1">
      <alignment vertical="center" wrapText="1"/>
    </xf>
    <xf numFmtId="0" fontId="35" fillId="32" borderId="1" xfId="0" applyNumberFormat="1" applyFont="1" applyFill="1" applyBorder="1" applyAlignment="1">
      <alignment horizontal="center"/>
    </xf>
    <xf numFmtId="167" fontId="35" fillId="32" borderId="1" xfId="0" applyNumberFormat="1" applyFont="1" applyFill="1" applyBorder="1"/>
    <xf numFmtId="164" fontId="0" fillId="35" borderId="1" xfId="0" applyFill="1" applyBorder="1"/>
    <xf numFmtId="164" fontId="40" fillId="0" borderId="0" xfId="0" applyFont="1" applyFill="1" applyBorder="1" applyAlignment="1">
      <alignment vertical="center" wrapText="1"/>
    </xf>
    <xf numFmtId="167" fontId="35" fillId="32" borderId="1" xfId="0" applyNumberFormat="1" applyFont="1" applyFill="1" applyBorder="1" applyAlignment="1"/>
    <xf numFmtId="167" fontId="0" fillId="34" borderId="1" xfId="0" applyNumberFormat="1" applyFill="1" applyBorder="1"/>
    <xf numFmtId="167" fontId="0" fillId="0" borderId="1" xfId="0" applyNumberFormat="1" applyBorder="1"/>
    <xf numFmtId="167" fontId="0" fillId="35" borderId="1" xfId="0" applyNumberFormat="1" applyFill="1" applyBorder="1"/>
    <xf numFmtId="167" fontId="35" fillId="0" borderId="1" xfId="0" applyNumberFormat="1" applyFont="1" applyFill="1" applyBorder="1" applyAlignment="1">
      <alignment horizontal="right" vertical="center"/>
    </xf>
    <xf numFmtId="164" fontId="0" fillId="0" borderId="1" xfId="0" applyBorder="1" applyAlignment="1">
      <alignment horizontal="left" vertical="center"/>
    </xf>
    <xf numFmtId="167" fontId="0" fillId="2" borderId="1" xfId="0" applyNumberFormat="1" applyFill="1" applyBorder="1"/>
    <xf numFmtId="167" fontId="0" fillId="2" borderId="1" xfId="0" applyNumberFormat="1" applyFill="1" applyBorder="1" applyAlignment="1">
      <alignment horizontal="center"/>
    </xf>
    <xf numFmtId="167" fontId="35" fillId="5" borderId="1" xfId="0" applyNumberFormat="1" applyFont="1" applyFill="1" applyBorder="1"/>
    <xf numFmtId="167" fontId="9" fillId="0" borderId="1" xfId="0" applyNumberFormat="1" applyFont="1" applyBorder="1"/>
    <xf numFmtId="167" fontId="7" fillId="0" borderId="1" xfId="0" applyNumberFormat="1" applyFont="1" applyBorder="1"/>
    <xf numFmtId="3" fontId="0" fillId="0" borderId="1" xfId="0" applyNumberFormat="1" applyBorder="1" applyAlignment="1">
      <alignment horizontal="left" wrapText="1"/>
    </xf>
    <xf numFmtId="164" fontId="4" fillId="4" borderId="1" xfId="0" applyFont="1" applyFill="1" applyBorder="1" applyAlignment="1">
      <alignment horizontal="center" vertical="center" wrapText="1"/>
    </xf>
    <xf numFmtId="164" fontId="30" fillId="0" borderId="2" xfId="0" applyFont="1" applyBorder="1" applyAlignment="1">
      <alignment horizontal="center" vertical="center" wrapText="1"/>
    </xf>
    <xf numFmtId="164" fontId="30" fillId="0" borderId="8" xfId="0" applyFont="1" applyBorder="1" applyAlignment="1">
      <alignment horizontal="center" vertical="center" wrapText="1"/>
    </xf>
    <xf numFmtId="164" fontId="32" fillId="24" borderId="54" xfId="0" applyFont="1" applyFill="1" applyBorder="1" applyAlignment="1">
      <alignment wrapText="1"/>
    </xf>
    <xf numFmtId="164" fontId="45" fillId="0" borderId="54" xfId="0" applyFont="1" applyFill="1" applyBorder="1"/>
    <xf numFmtId="164" fontId="35" fillId="36" borderId="3" xfId="0" applyFont="1" applyFill="1" applyBorder="1" applyAlignment="1"/>
    <xf numFmtId="164" fontId="35" fillId="36" borderId="6" xfId="0" applyFont="1" applyFill="1" applyBorder="1" applyAlignment="1"/>
    <xf numFmtId="164" fontId="30" fillId="0" borderId="1" xfId="0" applyFont="1" applyFill="1" applyBorder="1" applyAlignment="1">
      <alignment horizontal="center" vertical="center" wrapText="1"/>
    </xf>
    <xf numFmtId="164" fontId="29" fillId="0" borderId="59" xfId="0" applyFont="1" applyBorder="1"/>
    <xf numFmtId="164" fontId="29" fillId="18" borderId="59" xfId="0" applyFont="1" applyFill="1" applyBorder="1"/>
    <xf numFmtId="164" fontId="29" fillId="20" borderId="59" xfId="0" applyFont="1" applyFill="1" applyBorder="1"/>
    <xf numFmtId="164" fontId="29" fillId="0" borderId="59" xfId="0" applyFont="1" applyFill="1" applyBorder="1"/>
    <xf numFmtId="164" fontId="32" fillId="0" borderId="59" xfId="0" applyFont="1" applyFill="1" applyBorder="1" applyAlignment="1">
      <alignment wrapText="1"/>
    </xf>
    <xf numFmtId="164" fontId="32" fillId="0" borderId="59" xfId="0" applyFont="1" applyBorder="1" applyAlignment="1">
      <alignment wrapText="1"/>
    </xf>
    <xf numFmtId="164" fontId="37" fillId="0" borderId="59" xfId="0" applyFont="1" applyFill="1" applyBorder="1"/>
    <xf numFmtId="164" fontId="32" fillId="24" borderId="59" xfId="0" applyFont="1" applyFill="1" applyBorder="1" applyAlignment="1">
      <alignment wrapText="1"/>
    </xf>
    <xf numFmtId="164" fontId="0" fillId="24" borderId="1" xfId="0" applyFill="1" applyBorder="1"/>
    <xf numFmtId="164" fontId="29" fillId="0" borderId="0" xfId="0" applyFont="1" applyFill="1" applyBorder="1"/>
    <xf numFmtId="164" fontId="29" fillId="18" borderId="1" xfId="0" applyFont="1" applyFill="1" applyBorder="1"/>
    <xf numFmtId="164" fontId="37" fillId="24" borderId="0" xfId="0" applyFont="1" applyFill="1" applyBorder="1"/>
    <xf numFmtId="164" fontId="29" fillId="0" borderId="0" xfId="0" applyFont="1" applyBorder="1"/>
    <xf numFmtId="167" fontId="35" fillId="36" borderId="6" xfId="0" applyNumberFormat="1" applyFont="1" applyFill="1" applyBorder="1" applyAlignment="1"/>
    <xf numFmtId="167" fontId="35" fillId="36" borderId="4" xfId="0" applyNumberFormat="1" applyFont="1" applyFill="1" applyBorder="1" applyAlignment="1"/>
    <xf numFmtId="164" fontId="31" fillId="0" borderId="54" xfId="0" applyFont="1" applyFill="1" applyBorder="1"/>
    <xf numFmtId="164" fontId="0" fillId="0" borderId="0" xfId="0" applyAlignment="1">
      <alignment horizontal="center"/>
    </xf>
    <xf numFmtId="164" fontId="39" fillId="0" borderId="8" xfId="0" applyFont="1" applyBorder="1" applyAlignment="1">
      <alignment vertical="center" wrapText="1"/>
    </xf>
    <xf numFmtId="3" fontId="35" fillId="5" borderId="1" xfId="0" applyNumberFormat="1" applyFont="1" applyFill="1" applyBorder="1" applyAlignment="1">
      <alignment horizontal="center" vertical="center"/>
    </xf>
    <xf numFmtId="0" fontId="0" fillId="0" borderId="8" xfId="0" applyNumberFormat="1" applyBorder="1" applyAlignment="1">
      <alignment vertical="center"/>
    </xf>
    <xf numFmtId="164" fontId="40" fillId="0" borderId="8" xfId="0" applyFont="1" applyFill="1" applyBorder="1" applyAlignment="1">
      <alignment vertical="center" wrapText="1"/>
    </xf>
    <xf numFmtId="164" fontId="0" fillId="37" borderId="1" xfId="0" applyFill="1" applyBorder="1"/>
    <xf numFmtId="167" fontId="0" fillId="37" borderId="1" xfId="0" applyNumberFormat="1" applyFill="1" applyBorder="1"/>
    <xf numFmtId="0" fontId="0" fillId="0" borderId="1" xfId="0" applyNumberFormat="1" applyFill="1" applyBorder="1" applyAlignment="1">
      <alignment horizontal="center" vertical="center"/>
    </xf>
    <xf numFmtId="164" fontId="0" fillId="0" borderId="1" xfId="0" applyFill="1" applyBorder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4" fillId="38" borderId="1" xfId="0" applyFont="1" applyFill="1" applyBorder="1" applyAlignment="1">
      <alignment horizontal="center" vertical="center" wrapText="1"/>
    </xf>
    <xf numFmtId="1" fontId="4" fillId="38" borderId="1" xfId="0" applyNumberFormat="1" applyFont="1" applyFill="1" applyBorder="1" applyAlignment="1">
      <alignment horizontal="center" vertical="center" wrapText="1"/>
    </xf>
    <xf numFmtId="164" fontId="6" fillId="0" borderId="1" xfId="0" applyFont="1" applyBorder="1"/>
    <xf numFmtId="170" fontId="4" fillId="0" borderId="3" xfId="0" applyNumberFormat="1" applyFont="1" applyBorder="1"/>
    <xf numFmtId="170" fontId="0" fillId="0" borderId="1" xfId="0" applyNumberFormat="1" applyBorder="1" applyAlignment="1">
      <alignment horizontal="center"/>
    </xf>
    <xf numFmtId="170" fontId="0" fillId="0" borderId="1" xfId="0" applyNumberFormat="1" applyBorder="1"/>
    <xf numFmtId="164" fontId="47" fillId="0" borderId="1" xfId="0" applyFont="1" applyBorder="1"/>
    <xf numFmtId="170" fontId="47" fillId="0" borderId="3" xfId="0" applyNumberFormat="1" applyFont="1" applyBorder="1"/>
    <xf numFmtId="164" fontId="9" fillId="0" borderId="1" xfId="0" applyFont="1" applyBorder="1"/>
    <xf numFmtId="170" fontId="6" fillId="0" borderId="3" xfId="0" applyNumberFormat="1" applyFont="1" applyBorder="1"/>
    <xf numFmtId="170" fontId="0" fillId="2" borderId="3" xfId="0" applyNumberFormat="1" applyFont="1" applyFill="1" applyBorder="1"/>
    <xf numFmtId="170" fontId="0" fillId="2" borderId="1" xfId="0" applyNumberFormat="1" applyFont="1" applyFill="1" applyBorder="1"/>
    <xf numFmtId="170" fontId="6" fillId="0" borderId="0" xfId="0" applyNumberFormat="1" applyFont="1" applyBorder="1"/>
    <xf numFmtId="164" fontId="48" fillId="38" borderId="1" xfId="0" applyFont="1" applyFill="1" applyBorder="1"/>
    <xf numFmtId="170" fontId="48" fillId="38" borderId="3" xfId="0" applyNumberFormat="1" applyFont="1" applyFill="1" applyBorder="1"/>
    <xf numFmtId="170" fontId="0" fillId="38" borderId="3" xfId="0" applyNumberFormat="1" applyFont="1" applyFill="1" applyBorder="1"/>
    <xf numFmtId="170" fontId="0" fillId="38" borderId="1" xfId="0" applyNumberFormat="1" applyFill="1" applyBorder="1" applyAlignment="1">
      <alignment horizontal="center"/>
    </xf>
    <xf numFmtId="164" fontId="10" fillId="0" borderId="1" xfId="0" applyFont="1" applyBorder="1"/>
    <xf numFmtId="170" fontId="6" fillId="0" borderId="3" xfId="0" applyNumberFormat="1" applyFont="1" applyFill="1" applyBorder="1"/>
    <xf numFmtId="170" fontId="0" fillId="2" borderId="3" xfId="0" applyNumberFormat="1" applyFont="1" applyFill="1" applyBorder="1" applyAlignment="1">
      <alignment horizontal="center" vertical="center"/>
    </xf>
    <xf numFmtId="164" fontId="10" fillId="0" borderId="1" xfId="0" applyFont="1" applyBorder="1" applyAlignment="1">
      <alignment vertical="center" wrapText="1"/>
    </xf>
    <xf numFmtId="170" fontId="0" fillId="2" borderId="1" xfId="0" applyNumberFormat="1" applyFont="1" applyFill="1" applyBorder="1" applyAlignment="1">
      <alignment horizontal="center" vertical="center"/>
    </xf>
    <xf numFmtId="164" fontId="10" fillId="0" borderId="1" xfId="0" applyFont="1" applyFill="1" applyBorder="1"/>
    <xf numFmtId="164" fontId="49" fillId="36" borderId="1" xfId="0" applyFont="1" applyFill="1" applyBorder="1" applyAlignment="1">
      <alignment wrapText="1"/>
    </xf>
    <xf numFmtId="170" fontId="4" fillId="36" borderId="3" xfId="0" applyNumberFormat="1" applyFont="1" applyFill="1" applyBorder="1"/>
    <xf numFmtId="164" fontId="0" fillId="0" borderId="0" xfId="0" applyBorder="1" applyAlignment="1">
      <alignment horizontal="center"/>
    </xf>
    <xf numFmtId="164" fontId="0" fillId="0" borderId="0" xfId="0" applyBorder="1" applyAlignment="1">
      <alignment horizontal="center"/>
    </xf>
    <xf numFmtId="164" fontId="0" fillId="0" borderId="0" xfId="0" applyBorder="1" applyAlignment="1">
      <alignment horizontal="center" wrapText="1"/>
    </xf>
    <xf numFmtId="170" fontId="0" fillId="38" borderId="1" xfId="0" applyNumberFormat="1" applyFont="1" applyFill="1" applyBorder="1"/>
    <xf numFmtId="170" fontId="4" fillId="36" borderId="1" xfId="0" applyNumberFormat="1" applyFont="1" applyFill="1" applyBorder="1"/>
    <xf numFmtId="0" fontId="52" fillId="0" borderId="0" xfId="3"/>
    <xf numFmtId="0" fontId="52" fillId="0" borderId="0" xfId="3" applyAlignment="1">
      <alignment horizontal="center" vertical="center"/>
    </xf>
    <xf numFmtId="4" fontId="52" fillId="0" borderId="0" xfId="3" applyNumberFormat="1" applyAlignment="1">
      <alignment horizontal="right" vertical="center"/>
    </xf>
    <xf numFmtId="4" fontId="4" fillId="0" borderId="36" xfId="3" applyNumberFormat="1" applyFont="1" applyBorder="1" applyAlignment="1">
      <alignment horizontal="right" vertical="center"/>
    </xf>
    <xf numFmtId="0" fontId="52" fillId="0" borderId="0" xfId="3" applyAlignment="1">
      <alignment horizontal="left"/>
    </xf>
    <xf numFmtId="4" fontId="4" fillId="0" borderId="0" xfId="3" applyNumberFormat="1" applyFont="1" applyBorder="1" applyAlignment="1">
      <alignment horizontal="right" vertical="center"/>
    </xf>
    <xf numFmtId="4" fontId="4" fillId="0" borderId="0" xfId="3" applyNumberFormat="1" applyFont="1" applyAlignment="1">
      <alignment horizontal="right" vertical="center"/>
    </xf>
    <xf numFmtId="0" fontId="4" fillId="0" borderId="0" xfId="3" applyFont="1"/>
    <xf numFmtId="4" fontId="6" fillId="0" borderId="0" xfId="3" applyNumberFormat="1" applyFont="1" applyAlignment="1">
      <alignment horizontal="right" vertical="center"/>
    </xf>
    <xf numFmtId="4" fontId="52" fillId="0" borderId="36" xfId="3" applyNumberFormat="1" applyFont="1" applyBorder="1" applyAlignment="1">
      <alignment horizontal="right" vertical="center"/>
    </xf>
    <xf numFmtId="0" fontId="6" fillId="0" borderId="0" xfId="3" applyFont="1"/>
    <xf numFmtId="0" fontId="52" fillId="0" borderId="36" xfId="3" applyBorder="1"/>
    <xf numFmtId="167" fontId="15" fillId="0" borderId="0" xfId="1" applyNumberFormat="1"/>
    <xf numFmtId="164" fontId="46" fillId="0" borderId="0" xfId="0" applyFont="1"/>
    <xf numFmtId="167" fontId="46" fillId="0" borderId="36" xfId="0" applyNumberFormat="1" applyFont="1" applyBorder="1"/>
    <xf numFmtId="164" fontId="0" fillId="0" borderId="0" xfId="0" applyFont="1"/>
    <xf numFmtId="167" fontId="46" fillId="0" borderId="0" xfId="0" applyNumberFormat="1" applyFont="1"/>
    <xf numFmtId="167" fontId="0" fillId="0" borderId="0" xfId="0" applyNumberFormat="1"/>
    <xf numFmtId="164" fontId="0" fillId="0" borderId="0" xfId="0" applyFont="1" applyAlignment="1">
      <alignment wrapText="1"/>
    </xf>
    <xf numFmtId="167" fontId="0" fillId="16" borderId="0" xfId="0" applyNumberFormat="1" applyFill="1"/>
    <xf numFmtId="164" fontId="0" fillId="16" borderId="0" xfId="0" applyFill="1"/>
    <xf numFmtId="164" fontId="4" fillId="0" borderId="1" xfId="0" applyFont="1" applyBorder="1"/>
    <xf numFmtId="10" fontId="0" fillId="0" borderId="1" xfId="0" applyNumberFormat="1" applyBorder="1" applyAlignment="1">
      <alignment horizontal="center"/>
    </xf>
    <xf numFmtId="165" fontId="0" fillId="2" borderId="1" xfId="0" applyNumberFormat="1" applyFont="1" applyFill="1" applyBorder="1"/>
    <xf numFmtId="164" fontId="33" fillId="0" borderId="1" xfId="0" applyFont="1" applyBorder="1" applyAlignment="1">
      <alignment horizontal="center" vertical="center" wrapText="1"/>
    </xf>
    <xf numFmtId="164" fontId="28" fillId="0" borderId="55" xfId="0" applyFont="1" applyBorder="1" applyAlignment="1">
      <alignment horizontal="center" readingOrder="1"/>
    </xf>
    <xf numFmtId="164" fontId="28" fillId="0" borderId="57" xfId="0" applyFont="1" applyBorder="1" applyAlignment="1">
      <alignment horizontal="center" readingOrder="1"/>
    </xf>
    <xf numFmtId="164" fontId="28" fillId="0" borderId="56" xfId="0" applyFont="1" applyBorder="1" applyAlignment="1">
      <alignment horizontal="center" readingOrder="1"/>
    </xf>
    <xf numFmtId="164" fontId="25" fillId="17" borderId="55" xfId="0" applyFont="1" applyFill="1" applyBorder="1" applyAlignment="1">
      <alignment horizontal="center" vertical="center"/>
    </xf>
    <xf numFmtId="164" fontId="25" fillId="17" borderId="56" xfId="0" applyFont="1" applyFill="1" applyBorder="1" applyAlignment="1">
      <alignment horizontal="center" vertical="center"/>
    </xf>
    <xf numFmtId="164" fontId="26" fillId="17" borderId="55" xfId="0" applyFont="1" applyFill="1" applyBorder="1" applyAlignment="1">
      <alignment horizontal="center" vertical="center" readingOrder="1"/>
    </xf>
    <xf numFmtId="164" fontId="26" fillId="17" borderId="57" xfId="0" applyFont="1" applyFill="1" applyBorder="1" applyAlignment="1">
      <alignment horizontal="center" vertical="center" readingOrder="1"/>
    </xf>
    <xf numFmtId="164" fontId="26" fillId="17" borderId="56" xfId="0" applyFont="1" applyFill="1" applyBorder="1" applyAlignment="1">
      <alignment horizontal="center" vertical="center" readingOrder="1"/>
    </xf>
    <xf numFmtId="164" fontId="26" fillId="17" borderId="55" xfId="0" applyFont="1" applyFill="1" applyBorder="1" applyAlignment="1">
      <alignment horizontal="center" vertical="center" wrapText="1" readingOrder="1"/>
    </xf>
    <xf numFmtId="164" fontId="26" fillId="17" borderId="57" xfId="0" applyFont="1" applyFill="1" applyBorder="1" applyAlignment="1">
      <alignment horizontal="center" vertical="center" wrapText="1" readingOrder="1"/>
    </xf>
    <xf numFmtId="164" fontId="26" fillId="17" borderId="56" xfId="0" applyFont="1" applyFill="1" applyBorder="1" applyAlignment="1">
      <alignment horizontal="center" vertical="center" wrapText="1" readingOrder="1"/>
    </xf>
    <xf numFmtId="164" fontId="36" fillId="17" borderId="58" xfId="0" applyFont="1" applyFill="1" applyBorder="1" applyAlignment="1">
      <alignment horizontal="center" vertical="center"/>
    </xf>
    <xf numFmtId="164" fontId="36" fillId="17" borderId="0" xfId="0" applyFont="1" applyFill="1" applyBorder="1" applyAlignment="1">
      <alignment horizontal="center" vertical="center"/>
    </xf>
    <xf numFmtId="164" fontId="36" fillId="17" borderId="52" xfId="0" applyFont="1" applyFill="1" applyBorder="1" applyAlignment="1">
      <alignment horizontal="center" vertical="center"/>
    </xf>
    <xf numFmtId="164" fontId="36" fillId="17" borderId="53" xfId="0" applyFont="1" applyFill="1" applyBorder="1" applyAlignment="1">
      <alignment horizontal="center" vertical="center"/>
    </xf>
    <xf numFmtId="164" fontId="27" fillId="0" borderId="50" xfId="0" applyFont="1" applyBorder="1" applyAlignment="1">
      <alignment horizontal="center" vertical="center"/>
    </xf>
    <xf numFmtId="164" fontId="27" fillId="0" borderId="51" xfId="0" applyFont="1" applyBorder="1" applyAlignment="1">
      <alignment horizontal="center" vertical="center"/>
    </xf>
    <xf numFmtId="164" fontId="27" fillId="0" borderId="52" xfId="0" applyFont="1" applyBorder="1" applyAlignment="1">
      <alignment horizontal="center" vertical="center"/>
    </xf>
    <xf numFmtId="164" fontId="27" fillId="0" borderId="54" xfId="0" applyFont="1" applyBorder="1" applyAlignment="1">
      <alignment horizontal="center" vertical="center"/>
    </xf>
    <xf numFmtId="164" fontId="0" fillId="0" borderId="0" xfId="0" applyBorder="1" applyAlignment="1">
      <alignment horizontal="center"/>
    </xf>
    <xf numFmtId="164" fontId="4" fillId="0" borderId="38" xfId="0" applyFont="1" applyBorder="1" applyAlignment="1">
      <alignment horizontal="center"/>
    </xf>
    <xf numFmtId="164" fontId="4" fillId="0" borderId="0" xfId="0" applyFont="1" applyAlignment="1">
      <alignment horizontal="center"/>
    </xf>
    <xf numFmtId="164" fontId="0" fillId="0" borderId="38" xfId="0" applyBorder="1" applyAlignment="1">
      <alignment horizontal="center"/>
    </xf>
    <xf numFmtId="164" fontId="4" fillId="0" borderId="0" xfId="0" applyFont="1" applyBorder="1" applyAlignment="1">
      <alignment horizontal="center"/>
    </xf>
    <xf numFmtId="164" fontId="0" fillId="0" borderId="0" xfId="0" applyAlignment="1">
      <alignment horizontal="center"/>
    </xf>
    <xf numFmtId="164" fontId="43" fillId="5" borderId="1" xfId="0" applyFont="1" applyFill="1" applyBorder="1" applyAlignment="1">
      <alignment horizontal="center"/>
    </xf>
    <xf numFmtId="164" fontId="44" fillId="5" borderId="1" xfId="0" applyFont="1" applyFill="1" applyBorder="1" applyAlignment="1">
      <alignment horizontal="center"/>
    </xf>
    <xf numFmtId="164" fontId="35" fillId="5" borderId="3" xfId="0" applyFont="1" applyFill="1" applyBorder="1" applyAlignment="1">
      <alignment horizontal="center"/>
    </xf>
    <xf numFmtId="164" fontId="35" fillId="5" borderId="6" xfId="0" applyFont="1" applyFill="1" applyBorder="1" applyAlignment="1">
      <alignment horizontal="center"/>
    </xf>
    <xf numFmtId="164" fontId="35" fillId="5" borderId="4" xfId="0" applyFont="1" applyFill="1" applyBorder="1" applyAlignment="1">
      <alignment horizontal="center"/>
    </xf>
    <xf numFmtId="164" fontId="42" fillId="0" borderId="1" xfId="0" applyFont="1" applyBorder="1" applyAlignment="1">
      <alignment horizontal="center" vertical="center" wrapText="1"/>
    </xf>
    <xf numFmtId="164" fontId="41" fillId="0" borderId="1" xfId="0" applyFont="1" applyBorder="1" applyAlignment="1">
      <alignment horizontal="center" vertical="center" wrapText="1"/>
    </xf>
    <xf numFmtId="3" fontId="38" fillId="0" borderId="1" xfId="0" applyNumberFormat="1" applyFont="1" applyBorder="1" applyAlignment="1">
      <alignment horizontal="center" vertical="center"/>
    </xf>
    <xf numFmtId="164" fontId="40" fillId="0" borderId="1" xfId="0" applyFont="1" applyBorder="1" applyAlignment="1">
      <alignment horizontal="center" vertical="center" wrapText="1"/>
    </xf>
    <xf numFmtId="167" fontId="0" fillId="25" borderId="1" xfId="0" applyNumberFormat="1" applyFill="1" applyBorder="1" applyAlignment="1">
      <alignment horizontal="center" vertical="center" wrapText="1"/>
    </xf>
    <xf numFmtId="164" fontId="0" fillId="12" borderId="1" xfId="0" applyFill="1" applyBorder="1" applyAlignment="1">
      <alignment horizontal="center" vertical="center" wrapText="1"/>
    </xf>
    <xf numFmtId="164" fontId="4" fillId="8" borderId="1" xfId="0" applyFont="1" applyFill="1" applyBorder="1" applyAlignment="1">
      <alignment horizontal="center" vertical="center" wrapText="1"/>
    </xf>
    <xf numFmtId="164" fontId="27" fillId="0" borderId="1" xfId="0" applyFont="1" applyBorder="1" applyAlignment="1">
      <alignment horizontal="center" vertical="center"/>
    </xf>
    <xf numFmtId="164" fontId="4" fillId="0" borderId="1" xfId="0" applyFont="1" applyBorder="1" applyAlignment="1">
      <alignment horizontal="center" vertical="center" wrapText="1"/>
    </xf>
    <xf numFmtId="167" fontId="0" fillId="28" borderId="1" xfId="0" applyNumberFormat="1" applyFill="1" applyBorder="1" applyAlignment="1">
      <alignment horizontal="center" vertical="center" wrapText="1"/>
    </xf>
    <xf numFmtId="167" fontId="0" fillId="29" borderId="1" xfId="0" applyNumberFormat="1" applyFill="1" applyBorder="1" applyAlignment="1">
      <alignment horizontal="center" vertical="center" wrapText="1"/>
    </xf>
    <xf numFmtId="167" fontId="0" fillId="21" borderId="1" xfId="0" applyNumberFormat="1" applyFill="1" applyBorder="1" applyAlignment="1">
      <alignment horizontal="center" vertical="center" wrapText="1"/>
    </xf>
    <xf numFmtId="167" fontId="0" fillId="27" borderId="1" xfId="0" applyNumberFormat="1" applyFill="1" applyBorder="1" applyAlignment="1">
      <alignment horizontal="center" vertical="center" wrapText="1"/>
    </xf>
    <xf numFmtId="167" fontId="0" fillId="36" borderId="2" xfId="0" applyNumberFormat="1" applyFill="1" applyBorder="1" applyAlignment="1">
      <alignment horizontal="center" vertical="center" wrapText="1"/>
    </xf>
    <xf numFmtId="167" fontId="0" fillId="36" borderId="7" xfId="0" applyNumberFormat="1" applyFill="1" applyBorder="1" applyAlignment="1">
      <alignment horizontal="center" vertical="center" wrapText="1"/>
    </xf>
    <xf numFmtId="167" fontId="0" fillId="26" borderId="7" xfId="0" applyNumberFormat="1" applyFill="1" applyBorder="1" applyAlignment="1">
      <alignment horizontal="center" vertical="center" wrapText="1"/>
    </xf>
    <xf numFmtId="167" fontId="0" fillId="26" borderId="8" xfId="0" applyNumberFormat="1" applyFill="1" applyBorder="1" applyAlignment="1">
      <alignment horizontal="center" vertical="center" wrapText="1"/>
    </xf>
    <xf numFmtId="164" fontId="39" fillId="0" borderId="1" xfId="0" applyFont="1" applyBorder="1" applyAlignment="1">
      <alignment horizontal="center" vertical="center" wrapText="1"/>
    </xf>
    <xf numFmtId="164" fontId="40" fillId="0" borderId="2" xfId="0" applyFont="1" applyBorder="1" applyAlignment="1">
      <alignment horizontal="center" vertical="center" wrapText="1"/>
    </xf>
    <xf numFmtId="164" fontId="40" fillId="0" borderId="7" xfId="0" applyFont="1" applyBorder="1" applyAlignment="1">
      <alignment horizontal="center" vertical="center" wrapText="1"/>
    </xf>
    <xf numFmtId="164" fontId="40" fillId="0" borderId="8" xfId="0" applyFont="1" applyBorder="1" applyAlignment="1">
      <alignment horizontal="center" vertical="center" wrapText="1"/>
    </xf>
    <xf numFmtId="3" fontId="38" fillId="0" borderId="2" xfId="0" applyNumberFormat="1" applyFont="1" applyBorder="1" applyAlignment="1">
      <alignment horizontal="center" vertical="center"/>
    </xf>
    <xf numFmtId="3" fontId="38" fillId="0" borderId="7" xfId="0" applyNumberFormat="1" applyFont="1" applyBorder="1" applyAlignment="1">
      <alignment horizontal="center" vertical="center"/>
    </xf>
    <xf numFmtId="3" fontId="38" fillId="0" borderId="8" xfId="0" applyNumberFormat="1" applyFont="1" applyBorder="1" applyAlignment="1">
      <alignment horizontal="center" vertical="center"/>
    </xf>
    <xf numFmtId="167" fontId="0" fillId="35" borderId="1" xfId="0" applyNumberFormat="1" applyFill="1" applyBorder="1" applyAlignment="1">
      <alignment horizontal="center"/>
    </xf>
    <xf numFmtId="164" fontId="0" fillId="34" borderId="1" xfId="0" applyFill="1" applyBorder="1" applyAlignment="1">
      <alignment horizontal="center"/>
    </xf>
    <xf numFmtId="167" fontId="35" fillId="33" borderId="1" xfId="0" applyNumberFormat="1" applyFont="1" applyFill="1" applyBorder="1" applyAlignment="1">
      <alignment horizontal="center" vertical="center"/>
    </xf>
    <xf numFmtId="167" fontId="35" fillId="8" borderId="1" xfId="0" applyNumberFormat="1" applyFont="1" applyFill="1" applyBorder="1" applyAlignment="1">
      <alignment horizontal="center" vertical="center"/>
    </xf>
    <xf numFmtId="167" fontId="35" fillId="6" borderId="1" xfId="0" applyNumberFormat="1" applyFont="1" applyFill="1" applyBorder="1" applyAlignment="1">
      <alignment horizontal="center" vertical="center"/>
    </xf>
    <xf numFmtId="167" fontId="35" fillId="32" borderId="1" xfId="0" applyNumberFormat="1" applyFont="1" applyFill="1" applyBorder="1" applyAlignment="1">
      <alignment horizontal="center" vertical="center"/>
    </xf>
    <xf numFmtId="167" fontId="35" fillId="13" borderId="1" xfId="0" applyNumberFormat="1" applyFont="1" applyFill="1" applyBorder="1" applyAlignment="1">
      <alignment horizontal="center" vertical="center"/>
    </xf>
    <xf numFmtId="164" fontId="4" fillId="0" borderId="38" xfId="0" applyFont="1" applyFill="1" applyBorder="1" applyAlignment="1">
      <alignment horizontal="center" vertical="center" wrapText="1"/>
    </xf>
    <xf numFmtId="164" fontId="4" fillId="0" borderId="0" xfId="0" applyFont="1" applyFill="1" applyBorder="1" applyAlignment="1">
      <alignment horizontal="center" vertical="center" wrapText="1"/>
    </xf>
    <xf numFmtId="167" fontId="0" fillId="37" borderId="2" xfId="0" applyNumberFormat="1" applyFill="1" applyBorder="1" applyAlignment="1">
      <alignment horizontal="center"/>
    </xf>
    <xf numFmtId="167" fontId="0" fillId="37" borderId="7" xfId="0" applyNumberFormat="1" applyFill="1" applyBorder="1" applyAlignment="1">
      <alignment horizontal="center"/>
    </xf>
    <xf numFmtId="167" fontId="0" fillId="37" borderId="8" xfId="0" applyNumberFormat="1" applyFill="1" applyBorder="1" applyAlignment="1">
      <alignment horizontal="center"/>
    </xf>
    <xf numFmtId="164" fontId="39" fillId="0" borderId="2" xfId="0" applyFont="1" applyBorder="1" applyAlignment="1">
      <alignment horizontal="center" vertical="center" wrapText="1"/>
    </xf>
    <xf numFmtId="164" fontId="39" fillId="0" borderId="7" xfId="0" applyFont="1" applyBorder="1" applyAlignment="1">
      <alignment horizontal="center" vertical="center" wrapText="1"/>
    </xf>
    <xf numFmtId="164" fontId="40" fillId="0" borderId="2" xfId="0" applyFont="1" applyFill="1" applyBorder="1" applyAlignment="1">
      <alignment horizontal="center" vertical="center" wrapText="1"/>
    </xf>
    <xf numFmtId="164" fontId="40" fillId="0" borderId="7" xfId="0" applyFont="1" applyFill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67" fontId="35" fillId="30" borderId="2" xfId="0" applyNumberFormat="1" applyFont="1" applyFill="1" applyBorder="1" applyAlignment="1">
      <alignment horizontal="center" vertical="center"/>
    </xf>
    <xf numFmtId="167" fontId="35" fillId="30" borderId="7" xfId="0" applyNumberFormat="1" applyFont="1" applyFill="1" applyBorder="1" applyAlignment="1">
      <alignment horizontal="center" vertical="center"/>
    </xf>
    <xf numFmtId="167" fontId="35" fillId="30" borderId="8" xfId="0" applyNumberFormat="1" applyFont="1" applyFill="1" applyBorder="1" applyAlignment="1">
      <alignment horizontal="center" vertical="center"/>
    </xf>
    <xf numFmtId="167" fontId="35" fillId="31" borderId="1" xfId="0" applyNumberFormat="1" applyFont="1" applyFill="1" applyBorder="1" applyAlignment="1">
      <alignment horizontal="center" vertical="center"/>
    </xf>
    <xf numFmtId="164" fontId="40" fillId="0" borderId="1" xfId="0" applyFont="1" applyFill="1" applyBorder="1" applyAlignment="1">
      <alignment horizontal="center" vertical="center" wrapText="1"/>
    </xf>
    <xf numFmtId="3" fontId="38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4" fontId="6" fillId="4" borderId="3" xfId="0" applyFont="1" applyFill="1" applyBorder="1" applyAlignment="1">
      <alignment horizontal="center" vertical="center"/>
    </xf>
    <xf numFmtId="164" fontId="6" fillId="4" borderId="4" xfId="0" applyFont="1" applyFill="1" applyBorder="1" applyAlignment="1">
      <alignment horizontal="center" vertical="center"/>
    </xf>
    <xf numFmtId="164" fontId="0" fillId="0" borderId="1" xfId="0" applyBorder="1" applyAlignment="1">
      <alignment horizontal="center"/>
    </xf>
    <xf numFmtId="164" fontId="4" fillId="0" borderId="35" xfId="0" applyFont="1" applyBorder="1" applyAlignment="1">
      <alignment horizontal="center"/>
    </xf>
    <xf numFmtId="164" fontId="4" fillId="4" borderId="1" xfId="0" applyFont="1" applyFill="1" applyBorder="1" applyAlignment="1">
      <alignment horizontal="center"/>
    </xf>
    <xf numFmtId="164" fontId="6" fillId="0" borderId="0" xfId="0" applyFont="1" applyAlignment="1">
      <alignment horizontal="center" wrapText="1"/>
    </xf>
    <xf numFmtId="164" fontId="6" fillId="0" borderId="0" xfId="0" applyFont="1" applyAlignment="1">
      <alignment horizontal="center"/>
    </xf>
    <xf numFmtId="164" fontId="4" fillId="0" borderId="1" xfId="0" applyFont="1" applyBorder="1" applyAlignment="1">
      <alignment horizontal="center"/>
    </xf>
    <xf numFmtId="165" fontId="17" fillId="23" borderId="2" xfId="1" applyNumberFormat="1" applyFont="1" applyFill="1" applyBorder="1" applyAlignment="1">
      <alignment horizontal="center" vertical="center"/>
    </xf>
    <xf numFmtId="165" fontId="15" fillId="23" borderId="8" xfId="1" applyNumberFormat="1" applyFill="1" applyBorder="1" applyAlignment="1">
      <alignment vertical="center"/>
    </xf>
    <xf numFmtId="165" fontId="17" fillId="23" borderId="8" xfId="1" applyNumberFormat="1" applyFont="1" applyFill="1" applyBorder="1" applyAlignment="1">
      <alignment horizontal="center" vertical="center"/>
    </xf>
    <xf numFmtId="0" fontId="17" fillId="2" borderId="0" xfId="1" applyFont="1" applyFill="1" applyBorder="1" applyAlignment="1">
      <alignment horizontal="left"/>
    </xf>
    <xf numFmtId="0" fontId="15" fillId="2" borderId="0" xfId="1" applyFill="1" applyBorder="1" applyAlignment="1">
      <alignment horizontal="center"/>
    </xf>
    <xf numFmtId="165" fontId="17" fillId="23" borderId="2" xfId="1" applyNumberFormat="1" applyFont="1" applyFill="1" applyBorder="1" applyAlignment="1">
      <alignment horizontal="left" vertical="center" wrapText="1"/>
    </xf>
    <xf numFmtId="165" fontId="17" fillId="23" borderId="8" xfId="1" applyNumberFormat="1" applyFont="1" applyFill="1" applyBorder="1" applyAlignment="1">
      <alignment horizontal="left" vertical="center" wrapText="1"/>
    </xf>
    <xf numFmtId="165" fontId="0" fillId="12" borderId="18" xfId="0" applyNumberFormat="1" applyFill="1" applyBorder="1" applyAlignment="1">
      <alignment horizontal="center" vertical="center" wrapText="1"/>
    </xf>
    <xf numFmtId="165" fontId="0" fillId="12" borderId="19" xfId="0" applyNumberFormat="1" applyFill="1" applyBorder="1" applyAlignment="1">
      <alignment horizontal="center" vertical="center" wrapText="1"/>
    </xf>
    <xf numFmtId="165" fontId="0" fillId="12" borderId="20" xfId="0" applyNumberFormat="1" applyFill="1" applyBorder="1" applyAlignment="1">
      <alignment horizontal="center" vertical="center" wrapText="1"/>
    </xf>
    <xf numFmtId="1" fontId="0" fillId="14" borderId="18" xfId="0" applyNumberFormat="1" applyFill="1" applyBorder="1" applyAlignment="1">
      <alignment horizontal="center" vertical="center" wrapText="1"/>
    </xf>
    <xf numFmtId="1" fontId="0" fillId="14" borderId="19" xfId="0" applyNumberFormat="1" applyFill="1" applyBorder="1" applyAlignment="1">
      <alignment horizontal="center" vertical="center" wrapText="1"/>
    </xf>
    <xf numFmtId="1" fontId="0" fillId="14" borderId="20" xfId="0" applyNumberFormat="1" applyFill="1" applyBorder="1" applyAlignment="1">
      <alignment horizontal="center" vertical="center" wrapText="1"/>
    </xf>
    <xf numFmtId="164" fontId="8" fillId="0" borderId="22" xfId="0" applyFont="1" applyBorder="1" applyAlignment="1">
      <alignment horizontal="left" vertical="center" wrapText="1"/>
    </xf>
    <xf numFmtId="164" fontId="8" fillId="0" borderId="23" xfId="0" applyFont="1" applyBorder="1" applyAlignment="1">
      <alignment horizontal="left" vertical="center" wrapText="1"/>
    </xf>
    <xf numFmtId="164" fontId="8" fillId="0" borderId="14" xfId="0" applyFont="1" applyBorder="1" applyAlignment="1">
      <alignment horizontal="left" vertical="center" wrapText="1"/>
    </xf>
    <xf numFmtId="1" fontId="4" fillId="12" borderId="21" xfId="0" applyNumberFormat="1" applyFont="1" applyFill="1" applyBorder="1" applyAlignment="1">
      <alignment horizontal="center" vertical="center" wrapText="1"/>
    </xf>
    <xf numFmtId="1" fontId="4" fillId="12" borderId="6" xfId="0" applyNumberFormat="1" applyFont="1" applyFill="1" applyBorder="1" applyAlignment="1">
      <alignment horizontal="center" vertical="center" wrapText="1"/>
    </xf>
    <xf numFmtId="1" fontId="4" fillId="12" borderId="4" xfId="0" applyNumberFormat="1" applyFont="1" applyFill="1" applyBorder="1" applyAlignment="1">
      <alignment horizontal="center" vertical="center" wrapText="1"/>
    </xf>
    <xf numFmtId="164" fontId="24" fillId="7" borderId="0" xfId="0" applyFont="1" applyFill="1" applyAlignment="1">
      <alignment horizontal="center" vertical="center" wrapText="1"/>
    </xf>
    <xf numFmtId="1" fontId="0" fillId="15" borderId="18" xfId="0" applyNumberFormat="1" applyFill="1" applyBorder="1" applyAlignment="1">
      <alignment horizontal="center" vertical="center" wrapText="1"/>
    </xf>
    <xf numFmtId="1" fontId="0" fillId="15" borderId="19" xfId="0" applyNumberFormat="1" applyFill="1" applyBorder="1" applyAlignment="1">
      <alignment horizontal="center" vertical="center" wrapText="1"/>
    </xf>
    <xf numFmtId="1" fontId="0" fillId="15" borderId="20" xfId="0" applyNumberFormat="1" applyFill="1" applyBorder="1" applyAlignment="1">
      <alignment horizontal="center" vertical="center" wrapText="1"/>
    </xf>
    <xf numFmtId="164" fontId="8" fillId="0" borderId="22" xfId="0" applyFont="1" applyFill="1" applyBorder="1" applyAlignment="1">
      <alignment horizontal="left" vertical="center" wrapText="1"/>
    </xf>
    <xf numFmtId="164" fontId="8" fillId="0" borderId="23" xfId="0" applyFont="1" applyFill="1" applyBorder="1" applyAlignment="1">
      <alignment horizontal="left" vertical="center" wrapText="1"/>
    </xf>
    <xf numFmtId="164" fontId="8" fillId="0" borderId="14" xfId="0" applyFont="1" applyFill="1" applyBorder="1" applyAlignment="1">
      <alignment horizontal="left" vertical="center" wrapText="1"/>
    </xf>
    <xf numFmtId="164" fontId="8" fillId="0" borderId="22" xfId="0" applyFont="1" applyFill="1" applyBorder="1" applyAlignment="1">
      <alignment horizontal="left" vertical="center"/>
    </xf>
    <xf numFmtId="164" fontId="8" fillId="0" borderId="23" xfId="0" applyFont="1" applyFill="1" applyBorder="1" applyAlignment="1">
      <alignment horizontal="left" vertical="center"/>
    </xf>
    <xf numFmtId="164" fontId="8" fillId="0" borderId="14" xfId="0" applyFont="1" applyFill="1" applyBorder="1" applyAlignment="1">
      <alignment horizontal="left" vertical="center"/>
    </xf>
    <xf numFmtId="165" fontId="0" fillId="12" borderId="30" xfId="0" applyNumberFormat="1" applyFill="1" applyBorder="1" applyAlignment="1">
      <alignment horizontal="center" vertical="center" wrapText="1"/>
    </xf>
    <xf numFmtId="165" fontId="0" fillId="12" borderId="33" xfId="0" applyNumberFormat="1" applyFill="1" applyBorder="1" applyAlignment="1">
      <alignment horizontal="center" vertical="center" wrapText="1"/>
    </xf>
    <xf numFmtId="165" fontId="0" fillId="12" borderId="32" xfId="0" applyNumberFormat="1" applyFill="1" applyBorder="1" applyAlignment="1">
      <alignment horizontal="center" vertical="center" wrapText="1"/>
    </xf>
    <xf numFmtId="164" fontId="0" fillId="0" borderId="29" xfId="0" applyBorder="1" applyAlignment="1">
      <alignment horizontal="center"/>
    </xf>
    <xf numFmtId="164" fontId="0" fillId="0" borderId="30" xfId="0" applyBorder="1" applyAlignment="1">
      <alignment horizontal="center"/>
    </xf>
    <xf numFmtId="164" fontId="0" fillId="0" borderId="31" xfId="0" applyBorder="1" applyAlignment="1">
      <alignment horizontal="center"/>
    </xf>
    <xf numFmtId="164" fontId="0" fillId="0" borderId="32" xfId="0" applyBorder="1" applyAlignment="1">
      <alignment horizontal="center"/>
    </xf>
    <xf numFmtId="164" fontId="4" fillId="0" borderId="27" xfId="0" applyFont="1" applyBorder="1" applyAlignment="1">
      <alignment horizontal="center" vertical="center" wrapText="1"/>
    </xf>
    <xf numFmtId="164" fontId="4" fillId="0" borderId="20" xfId="0" applyFont="1" applyBorder="1" applyAlignment="1">
      <alignment horizontal="center" vertical="center" wrapText="1"/>
    </xf>
    <xf numFmtId="164" fontId="0" fillId="12" borderId="27" xfId="0" applyFill="1" applyBorder="1" applyAlignment="1">
      <alignment horizontal="center" vertical="center" wrapText="1"/>
    </xf>
    <xf numFmtId="164" fontId="0" fillId="12" borderId="28" xfId="0" applyFill="1" applyBorder="1" applyAlignment="1">
      <alignment horizontal="center" vertical="center" wrapText="1"/>
    </xf>
    <xf numFmtId="165" fontId="0" fillId="12" borderId="27" xfId="0" applyNumberFormat="1" applyFill="1" applyBorder="1" applyAlignment="1">
      <alignment horizontal="center" vertical="center" wrapText="1"/>
    </xf>
    <xf numFmtId="165" fontId="0" fillId="12" borderId="28" xfId="0" applyNumberFormat="1" applyFill="1" applyBorder="1" applyAlignment="1">
      <alignment horizontal="center" vertical="center" wrapText="1"/>
    </xf>
    <xf numFmtId="164" fontId="4" fillId="8" borderId="15" xfId="0" applyFont="1" applyFill="1" applyBorder="1" applyAlignment="1">
      <alignment horizontal="center" vertical="center" wrapText="1"/>
    </xf>
    <xf numFmtId="164" fontId="4" fillId="8" borderId="16" xfId="0" applyFont="1" applyFill="1" applyBorder="1" applyAlignment="1">
      <alignment horizontal="center" vertical="center" wrapText="1"/>
    </xf>
    <xf numFmtId="164" fontId="4" fillId="8" borderId="17" xfId="0" applyFont="1" applyFill="1" applyBorder="1" applyAlignment="1">
      <alignment horizontal="center" vertical="center" wrapText="1"/>
    </xf>
    <xf numFmtId="164" fontId="4" fillId="8" borderId="24" xfId="0" applyFont="1" applyFill="1" applyBorder="1" applyAlignment="1">
      <alignment horizontal="center" vertical="center" wrapText="1"/>
    </xf>
    <xf numFmtId="164" fontId="8" fillId="11" borderId="37" xfId="0" applyFont="1" applyFill="1" applyBorder="1" applyAlignment="1">
      <alignment horizontal="center" vertical="center" wrapText="1"/>
    </xf>
    <xf numFmtId="164" fontId="8" fillId="11" borderId="39" xfId="0" applyFont="1" applyFill="1" applyBorder="1" applyAlignment="1">
      <alignment horizontal="center" vertical="center" wrapText="1"/>
    </xf>
    <xf numFmtId="164" fontId="0" fillId="2" borderId="21" xfId="0" applyFill="1" applyBorder="1" applyAlignment="1">
      <alignment horizontal="center"/>
    </xf>
    <xf numFmtId="164" fontId="0" fillId="2" borderId="6" xfId="0" applyFill="1" applyBorder="1" applyAlignment="1">
      <alignment horizontal="center"/>
    </xf>
    <xf numFmtId="164" fontId="0" fillId="2" borderId="4" xfId="0" applyFill="1" applyBorder="1" applyAlignment="1">
      <alignment horizontal="center"/>
    </xf>
    <xf numFmtId="0" fontId="0" fillId="2" borderId="6" xfId="0" applyNumberFormat="1" applyFill="1" applyBorder="1" applyAlignment="1">
      <alignment horizontal="center"/>
    </xf>
    <xf numFmtId="0" fontId="0" fillId="2" borderId="4" xfId="0" applyNumberFormat="1" applyFill="1" applyBorder="1" applyAlignment="1">
      <alignment horizontal="center"/>
    </xf>
    <xf numFmtId="164" fontId="8" fillId="2" borderId="2" xfId="0" applyFont="1" applyFill="1" applyBorder="1" applyAlignment="1">
      <alignment horizontal="center" vertical="center" wrapText="1"/>
    </xf>
    <xf numFmtId="164" fontId="8" fillId="2" borderId="7" xfId="0" applyFont="1" applyFill="1" applyBorder="1" applyAlignment="1">
      <alignment horizontal="center" vertical="center" wrapText="1"/>
    </xf>
    <xf numFmtId="164" fontId="8" fillId="2" borderId="8" xfId="0" applyFont="1" applyFill="1" applyBorder="1" applyAlignment="1">
      <alignment horizontal="center" vertical="center" wrapText="1"/>
    </xf>
    <xf numFmtId="164" fontId="8" fillId="2" borderId="2" xfId="0" applyFont="1" applyFill="1" applyBorder="1" applyAlignment="1">
      <alignment horizontal="center" vertical="center"/>
    </xf>
    <xf numFmtId="164" fontId="8" fillId="2" borderId="8" xfId="0" applyFont="1" applyFill="1" applyBorder="1" applyAlignment="1">
      <alignment horizontal="center" vertical="center"/>
    </xf>
    <xf numFmtId="1" fontId="0" fillId="14" borderId="2" xfId="0" applyNumberFormat="1" applyFill="1" applyBorder="1" applyAlignment="1">
      <alignment horizontal="center" vertical="center" wrapText="1"/>
    </xf>
    <xf numFmtId="1" fontId="0" fillId="14" borderId="7" xfId="0" applyNumberFormat="1" applyFill="1" applyBorder="1" applyAlignment="1">
      <alignment horizontal="center" vertical="center" wrapText="1"/>
    </xf>
    <xf numFmtId="1" fontId="0" fillId="14" borderId="8" xfId="0" applyNumberFormat="1" applyFill="1" applyBorder="1" applyAlignment="1">
      <alignment horizontal="center" vertical="center" wrapText="1"/>
    </xf>
    <xf numFmtId="164" fontId="8" fillId="2" borderId="7" xfId="0" applyFont="1" applyFill="1" applyBorder="1" applyAlignment="1">
      <alignment horizontal="center" vertical="center"/>
    </xf>
    <xf numFmtId="164" fontId="7" fillId="9" borderId="25" xfId="0" applyFont="1" applyFill="1" applyBorder="1" applyAlignment="1">
      <alignment horizontal="center" vertical="center" wrapText="1"/>
    </xf>
    <xf numFmtId="164" fontId="7" fillId="9" borderId="26" xfId="0" applyFont="1" applyFill="1" applyBorder="1" applyAlignment="1">
      <alignment horizontal="center" vertical="center" wrapText="1"/>
    </xf>
    <xf numFmtId="164" fontId="7" fillId="9" borderId="13" xfId="0" applyFont="1" applyFill="1" applyBorder="1" applyAlignment="1">
      <alignment horizontal="center" vertical="center" wrapText="1"/>
    </xf>
    <xf numFmtId="164" fontId="8" fillId="6" borderId="37" xfId="0" applyFont="1" applyFill="1" applyBorder="1" applyAlignment="1">
      <alignment horizontal="center" vertical="center" wrapText="1"/>
    </xf>
    <xf numFmtId="164" fontId="8" fillId="6" borderId="39" xfId="0" applyFont="1" applyFill="1" applyBorder="1" applyAlignment="1">
      <alignment horizontal="center" vertical="center" wrapText="1"/>
    </xf>
    <xf numFmtId="164" fontId="8" fillId="6" borderId="9" xfId="0" applyFont="1" applyFill="1" applyBorder="1" applyAlignment="1">
      <alignment horizontal="center" vertical="center" wrapText="1"/>
    </xf>
    <xf numFmtId="164" fontId="8" fillId="0" borderId="2" xfId="0" applyFont="1" applyBorder="1" applyAlignment="1">
      <alignment horizontal="center" vertical="center"/>
    </xf>
    <xf numFmtId="164" fontId="8" fillId="0" borderId="7" xfId="0" applyFont="1" applyBorder="1" applyAlignment="1">
      <alignment horizontal="center" vertical="center"/>
    </xf>
    <xf numFmtId="164" fontId="8" fillId="0" borderId="8" xfId="0" applyFont="1" applyBorder="1" applyAlignment="1">
      <alignment horizontal="center" vertical="center"/>
    </xf>
    <xf numFmtId="1" fontId="0" fillId="14" borderId="22" xfId="0" applyNumberFormat="1" applyFill="1" applyBorder="1" applyAlignment="1">
      <alignment horizontal="center" vertical="center" wrapText="1"/>
    </xf>
    <xf numFmtId="1" fontId="0" fillId="14" borderId="23" xfId="0" applyNumberFormat="1" applyFill="1" applyBorder="1" applyAlignment="1">
      <alignment horizontal="center" vertical="center" wrapText="1"/>
    </xf>
    <xf numFmtId="1" fontId="0" fillId="14" borderId="38" xfId="0" applyNumberFormat="1" applyFill="1" applyBorder="1" applyAlignment="1">
      <alignment horizontal="center" vertical="center" wrapText="1"/>
    </xf>
    <xf numFmtId="1" fontId="0" fillId="14" borderId="40" xfId="0" applyNumberFormat="1" applyFill="1" applyBorder="1" applyAlignment="1">
      <alignment horizontal="center" vertical="center" wrapText="1"/>
    </xf>
    <xf numFmtId="164" fontId="8" fillId="6" borderId="47" xfId="0" applyFont="1" applyFill="1" applyBorder="1" applyAlignment="1">
      <alignment horizontal="center" vertical="center" wrapText="1"/>
    </xf>
    <xf numFmtId="164" fontId="8" fillId="6" borderId="46" xfId="0" applyFont="1" applyFill="1" applyBorder="1" applyAlignment="1">
      <alignment horizontal="center" vertical="center" wrapText="1"/>
    </xf>
    <xf numFmtId="164" fontId="8" fillId="6" borderId="31" xfId="0" applyFont="1" applyFill="1" applyBorder="1" applyAlignment="1">
      <alignment horizontal="center" vertical="center" wrapText="1"/>
    </xf>
    <xf numFmtId="164" fontId="8" fillId="0" borderId="2" xfId="0" applyFont="1" applyBorder="1" applyAlignment="1">
      <alignment horizontal="center" vertical="center" wrapText="1"/>
    </xf>
    <xf numFmtId="164" fontId="8" fillId="0" borderId="7" xfId="0" applyFont="1" applyBorder="1" applyAlignment="1">
      <alignment horizontal="center" vertical="center" wrapText="1"/>
    </xf>
    <xf numFmtId="164" fontId="8" fillId="0" borderId="8" xfId="0" applyFont="1" applyBorder="1" applyAlignment="1">
      <alignment horizontal="center" vertical="center" wrapText="1"/>
    </xf>
    <xf numFmtId="1" fontId="0" fillId="13" borderId="34" xfId="0" applyNumberFormat="1" applyFill="1" applyBorder="1" applyAlignment="1">
      <alignment horizontal="center" vertical="center" wrapText="1"/>
    </xf>
    <xf numFmtId="1" fontId="0" fillId="13" borderId="38" xfId="0" applyNumberFormat="1" applyFill="1" applyBorder="1" applyAlignment="1">
      <alignment horizontal="center" vertical="center" wrapText="1"/>
    </xf>
    <xf numFmtId="1" fontId="0" fillId="13" borderId="40" xfId="0" applyNumberFormat="1" applyFill="1" applyBorder="1" applyAlignment="1">
      <alignment horizontal="center" vertical="center" wrapText="1"/>
    </xf>
    <xf numFmtId="164" fontId="8" fillId="0" borderId="39" xfId="0" applyFont="1" applyBorder="1" applyAlignment="1">
      <alignment horizontal="center" vertical="center" wrapText="1"/>
    </xf>
    <xf numFmtId="164" fontId="8" fillId="0" borderId="9" xfId="0" applyFont="1" applyBorder="1" applyAlignment="1">
      <alignment horizontal="center" vertical="center" wrapText="1"/>
    </xf>
    <xf numFmtId="0" fontId="8" fillId="14" borderId="2" xfId="0" applyNumberFormat="1" applyFont="1" applyFill="1" applyBorder="1" applyAlignment="1">
      <alignment horizontal="center" vertical="center" wrapText="1"/>
    </xf>
    <xf numFmtId="0" fontId="8" fillId="14" borderId="7" xfId="0" applyNumberFormat="1" applyFont="1" applyFill="1" applyBorder="1" applyAlignment="1">
      <alignment horizontal="center" vertical="center" wrapText="1"/>
    </xf>
    <xf numFmtId="0" fontId="8" fillId="14" borderId="8" xfId="0" applyNumberFormat="1" applyFont="1" applyFill="1" applyBorder="1" applyAlignment="1">
      <alignment horizontal="center" vertical="center" wrapText="1"/>
    </xf>
    <xf numFmtId="1" fontId="0" fillId="13" borderId="2" xfId="0" applyNumberFormat="1" applyFill="1" applyBorder="1" applyAlignment="1">
      <alignment horizontal="center" vertical="center" wrapText="1"/>
    </xf>
    <xf numFmtId="1" fontId="0" fillId="13" borderId="7" xfId="0" applyNumberFormat="1" applyFill="1" applyBorder="1" applyAlignment="1">
      <alignment horizontal="center" vertical="center" wrapText="1"/>
    </xf>
    <xf numFmtId="1" fontId="0" fillId="13" borderId="8" xfId="0" applyNumberFormat="1" applyFill="1" applyBorder="1" applyAlignment="1">
      <alignment horizontal="center" vertical="center" wrapText="1"/>
    </xf>
    <xf numFmtId="1" fontId="0" fillId="0" borderId="21" xfId="0" applyNumberFormat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 wrapText="1"/>
    </xf>
    <xf numFmtId="165" fontId="0" fillId="12" borderId="37" xfId="0" applyNumberFormat="1" applyFill="1" applyBorder="1" applyAlignment="1">
      <alignment horizontal="center" vertical="center" wrapText="1"/>
    </xf>
    <xf numFmtId="165" fontId="0" fillId="12" borderId="39" xfId="0" applyNumberFormat="1" applyFill="1" applyBorder="1" applyAlignment="1">
      <alignment horizontal="center" vertical="center" wrapText="1"/>
    </xf>
    <xf numFmtId="165" fontId="0" fillId="12" borderId="26" xfId="0" applyNumberFormat="1" applyFill="1" applyBorder="1" applyAlignment="1">
      <alignment horizontal="center" vertical="center" wrapText="1"/>
    </xf>
    <xf numFmtId="165" fontId="0" fillId="12" borderId="13" xfId="0" applyNumberFormat="1" applyFill="1" applyBorder="1" applyAlignment="1">
      <alignment horizontal="center" vertical="center" wrapText="1"/>
    </xf>
    <xf numFmtId="164" fontId="0" fillId="10" borderId="35" xfId="0" applyFill="1" applyBorder="1" applyAlignment="1">
      <alignment horizontal="center" vertical="center" wrapText="1"/>
    </xf>
    <xf numFmtId="164" fontId="0" fillId="10" borderId="0" xfId="0" applyFill="1" applyBorder="1" applyAlignment="1">
      <alignment horizontal="center" vertical="center" wrapText="1"/>
    </xf>
    <xf numFmtId="164" fontId="24" fillId="0" borderId="0" xfId="0" applyFont="1" applyAlignment="1">
      <alignment horizontal="center" vertical="center"/>
    </xf>
    <xf numFmtId="0" fontId="52" fillId="0" borderId="35" xfId="3" applyBorder="1" applyAlignment="1">
      <alignment horizontal="center"/>
    </xf>
    <xf numFmtId="0" fontId="4" fillId="0" borderId="0" xfId="3" applyFont="1" applyAlignment="1">
      <alignment horizontal="center"/>
    </xf>
    <xf numFmtId="0" fontId="52" fillId="0" borderId="0" xfId="3" applyAlignment="1">
      <alignment horizontal="center"/>
    </xf>
    <xf numFmtId="0" fontId="52" fillId="0" borderId="0" xfId="3" applyAlignment="1">
      <alignment horizontal="left"/>
    </xf>
    <xf numFmtId="0" fontId="4" fillId="0" borderId="0" xfId="3" applyFont="1" applyAlignment="1">
      <alignment horizontal="left"/>
    </xf>
    <xf numFmtId="0" fontId="52" fillId="0" borderId="35" xfId="3" applyFill="1" applyBorder="1" applyAlignment="1">
      <alignment horizontal="center"/>
    </xf>
  </cellXfs>
  <cellStyles count="4">
    <cellStyle name="Normal" xfId="0" builtinId="0"/>
    <cellStyle name="Normal 2" xfId="1"/>
    <cellStyle name="Normal 3" xfId="3"/>
    <cellStyle name="Währung" xfId="2"/>
  </cellStyles>
  <dxfs count="0"/>
  <tableStyles count="0" defaultTableStyle="TableStyleMedium9" defaultPivotStyle="PivotStyleLight16"/>
  <colors>
    <mruColors>
      <color rgb="FF79F7AC"/>
      <color rgb="FFE5117B"/>
      <color rgb="FF22F6AF"/>
      <color rgb="FFBCE105"/>
      <color rgb="FF0AF6EB"/>
      <color rgb="FFD91515"/>
      <color rgb="FFFABD44"/>
      <color rgb="FF9C5DA7"/>
      <color rgb="FFFFCC99"/>
      <color rgb="FFAC66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20</xdr:row>
      <xdr:rowOff>133350</xdr:rowOff>
    </xdr:from>
    <xdr:to>
      <xdr:col>1</xdr:col>
      <xdr:colOff>2752724</xdr:colOff>
      <xdr:row>27</xdr:row>
      <xdr:rowOff>133351</xdr:rowOff>
    </xdr:to>
    <xdr:pic>
      <xdr:nvPicPr>
        <xdr:cNvPr id="4" name="3 Imagen"/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schemeClr val="accent5">
              <a:shade val="45000"/>
              <a:satMod val="135000"/>
            </a:schemeClr>
            <a:prstClr val="white"/>
          </a:duotone>
        </a:blip>
        <a:srcRect l="-1078" r="2866"/>
        <a:stretch/>
      </xdr:blipFill>
      <xdr:spPr>
        <a:xfrm>
          <a:off x="47625" y="3905250"/>
          <a:ext cx="3467099" cy="1133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CV23"/>
  <sheetViews>
    <sheetView zoomScale="71" zoomScaleNormal="71" workbookViewId="0">
      <selection activeCell="B9" sqref="A9:XFD9"/>
    </sheetView>
  </sheetViews>
  <sheetFormatPr baseColWidth="10" defaultRowHeight="15" x14ac:dyDescent="0.25"/>
  <cols>
    <col min="1" max="1" width="35.42578125" customWidth="1"/>
    <col min="2" max="2" width="91.85546875" style="277" customWidth="1"/>
    <col min="3" max="72" width="3.7109375" customWidth="1"/>
    <col min="73" max="86" width="3.28515625" customWidth="1"/>
    <col min="87" max="100" width="4.28515625" customWidth="1"/>
  </cols>
  <sheetData>
    <row r="1" spans="1:100" ht="15" customHeight="1" x14ac:dyDescent="0.25">
      <c r="A1" s="477" t="s">
        <v>158</v>
      </c>
      <c r="B1" s="478"/>
      <c r="C1" s="478"/>
      <c r="D1" s="478"/>
      <c r="E1" s="478"/>
      <c r="F1" s="478"/>
      <c r="G1" s="478"/>
      <c r="H1" s="478"/>
      <c r="I1" s="478"/>
      <c r="J1" s="478"/>
      <c r="K1" s="478"/>
      <c r="L1" s="478"/>
      <c r="M1" s="478"/>
      <c r="N1" s="478"/>
      <c r="O1" s="478"/>
      <c r="P1" s="478"/>
      <c r="Q1" s="478"/>
      <c r="R1" s="478"/>
      <c r="S1" s="478"/>
      <c r="T1" s="478"/>
      <c r="U1" s="478"/>
      <c r="V1" s="478"/>
      <c r="W1" s="478"/>
      <c r="X1" s="478"/>
      <c r="Y1" s="478"/>
      <c r="Z1" s="478"/>
      <c r="AA1" s="478"/>
      <c r="AB1" s="478"/>
      <c r="AC1" s="478"/>
      <c r="AD1" s="478"/>
      <c r="AE1" s="478"/>
      <c r="AF1" s="478"/>
      <c r="AG1" s="478"/>
      <c r="AH1" s="478"/>
      <c r="AI1" s="478"/>
      <c r="AJ1" s="478"/>
      <c r="AK1" s="478"/>
      <c r="AL1" s="478"/>
      <c r="AM1" s="478"/>
      <c r="AN1" s="478"/>
      <c r="AO1" s="478"/>
      <c r="AP1" s="478"/>
      <c r="AQ1" s="478"/>
      <c r="AR1" s="478"/>
      <c r="AS1" s="478"/>
      <c r="AT1" s="478"/>
      <c r="AU1" s="478"/>
      <c r="AV1" s="478"/>
      <c r="AW1" s="478"/>
      <c r="AX1" s="478"/>
      <c r="AY1" s="478"/>
      <c r="AZ1" s="478"/>
      <c r="BA1" s="478"/>
      <c r="BB1" s="478"/>
      <c r="BC1" s="478"/>
      <c r="BD1" s="478"/>
      <c r="BE1" s="478"/>
      <c r="BF1" s="478"/>
      <c r="BG1" s="478"/>
      <c r="BH1" s="478"/>
      <c r="BI1" s="478"/>
      <c r="BJ1" s="478"/>
      <c r="BK1" s="478"/>
      <c r="BL1" s="478"/>
      <c r="BM1" s="478"/>
      <c r="BN1" s="478"/>
      <c r="BO1" s="478"/>
      <c r="BP1" s="478"/>
      <c r="BQ1" s="478"/>
      <c r="BR1" s="478"/>
      <c r="BS1" s="478"/>
      <c r="BT1" s="478"/>
      <c r="BU1" s="478"/>
      <c r="BV1" s="478"/>
      <c r="BW1" s="478"/>
      <c r="BX1" s="478"/>
      <c r="BY1" s="478"/>
      <c r="BZ1" s="478"/>
      <c r="CA1" s="478"/>
      <c r="CB1" s="478"/>
      <c r="CC1" s="478"/>
      <c r="CD1" s="478"/>
      <c r="CE1" s="478"/>
      <c r="CF1" s="478"/>
      <c r="CG1" s="478"/>
      <c r="CH1" s="478"/>
      <c r="CI1" s="478"/>
      <c r="CJ1" s="478"/>
      <c r="CK1" s="478"/>
      <c r="CL1" s="478"/>
      <c r="CM1" s="478"/>
      <c r="CN1" s="478"/>
      <c r="CO1" s="478"/>
      <c r="CP1" s="478"/>
      <c r="CQ1" s="478"/>
      <c r="CR1" s="478"/>
      <c r="CS1" s="478"/>
      <c r="CT1" s="478"/>
      <c r="CU1" s="478"/>
      <c r="CV1" s="478"/>
    </row>
    <row r="2" spans="1:100" ht="15" customHeight="1" thickBot="1" x14ac:dyDescent="0.3">
      <c r="A2" s="479"/>
      <c r="B2" s="48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480"/>
      <c r="R2" s="480"/>
      <c r="S2" s="480"/>
      <c r="T2" s="480"/>
      <c r="U2" s="480"/>
      <c r="V2" s="480"/>
      <c r="W2" s="480"/>
      <c r="X2" s="480"/>
      <c r="Y2" s="480"/>
      <c r="Z2" s="480"/>
      <c r="AA2" s="480"/>
      <c r="AB2" s="480"/>
      <c r="AC2" s="480"/>
      <c r="AD2" s="480"/>
      <c r="AE2" s="480"/>
      <c r="AF2" s="480"/>
      <c r="AG2" s="480"/>
      <c r="AH2" s="480"/>
      <c r="AI2" s="480"/>
      <c r="AJ2" s="480"/>
      <c r="AK2" s="480"/>
      <c r="AL2" s="480"/>
      <c r="AM2" s="480"/>
      <c r="AN2" s="480"/>
      <c r="AO2" s="480"/>
      <c r="AP2" s="480"/>
      <c r="AQ2" s="480"/>
      <c r="AR2" s="480"/>
      <c r="AS2" s="480"/>
      <c r="AT2" s="480"/>
      <c r="AU2" s="480"/>
      <c r="AV2" s="480"/>
      <c r="AW2" s="480"/>
      <c r="AX2" s="480"/>
      <c r="AY2" s="480"/>
      <c r="AZ2" s="480"/>
      <c r="BA2" s="480"/>
      <c r="BB2" s="480"/>
      <c r="BC2" s="480"/>
      <c r="BD2" s="480"/>
      <c r="BE2" s="480"/>
      <c r="BF2" s="480"/>
      <c r="BG2" s="480"/>
      <c r="BH2" s="480"/>
      <c r="BI2" s="480"/>
      <c r="BJ2" s="480"/>
      <c r="BK2" s="480"/>
      <c r="BL2" s="480"/>
      <c r="BM2" s="480"/>
      <c r="BN2" s="480"/>
      <c r="BO2" s="480"/>
      <c r="BP2" s="480"/>
      <c r="BQ2" s="480"/>
      <c r="BR2" s="480"/>
      <c r="BS2" s="480"/>
      <c r="BT2" s="480"/>
      <c r="BU2" s="480"/>
      <c r="BV2" s="480"/>
      <c r="BW2" s="480"/>
      <c r="BX2" s="480"/>
      <c r="BY2" s="480"/>
      <c r="BZ2" s="480"/>
      <c r="CA2" s="480"/>
      <c r="CB2" s="480"/>
      <c r="CC2" s="480"/>
      <c r="CD2" s="480"/>
      <c r="CE2" s="480"/>
      <c r="CF2" s="480"/>
      <c r="CG2" s="480"/>
      <c r="CH2" s="480"/>
      <c r="CI2" s="480"/>
      <c r="CJ2" s="480"/>
      <c r="CK2" s="480"/>
      <c r="CL2" s="480"/>
      <c r="CM2" s="480"/>
      <c r="CN2" s="480"/>
      <c r="CO2" s="480"/>
      <c r="CP2" s="480"/>
      <c r="CQ2" s="480"/>
      <c r="CR2" s="480"/>
      <c r="CS2" s="480"/>
      <c r="CT2" s="480"/>
      <c r="CU2" s="480"/>
      <c r="CV2" s="480"/>
    </row>
    <row r="3" spans="1:100" ht="22.5" customHeight="1" thickBot="1" x14ac:dyDescent="0.3">
      <c r="A3" s="469"/>
      <c r="B3" s="470"/>
      <c r="C3" s="471" t="s">
        <v>171</v>
      </c>
      <c r="D3" s="472"/>
      <c r="E3" s="472"/>
      <c r="F3" s="472"/>
      <c r="G3" s="472"/>
      <c r="H3" s="472"/>
      <c r="I3" s="472"/>
      <c r="J3" s="472"/>
      <c r="K3" s="472"/>
      <c r="L3" s="472"/>
      <c r="M3" s="472"/>
      <c r="N3" s="472"/>
      <c r="O3" s="472"/>
      <c r="P3" s="473"/>
      <c r="Q3" s="471" t="s">
        <v>159</v>
      </c>
      <c r="R3" s="472"/>
      <c r="S3" s="472"/>
      <c r="T3" s="472"/>
      <c r="U3" s="472"/>
      <c r="V3" s="472"/>
      <c r="W3" s="472"/>
      <c r="X3" s="472"/>
      <c r="Y3" s="472"/>
      <c r="Z3" s="472"/>
      <c r="AA3" s="472"/>
      <c r="AB3" s="472"/>
      <c r="AC3" s="472"/>
      <c r="AD3" s="473"/>
      <c r="AE3" s="471" t="s">
        <v>207</v>
      </c>
      <c r="AF3" s="472"/>
      <c r="AG3" s="472"/>
      <c r="AH3" s="472"/>
      <c r="AI3" s="472"/>
      <c r="AJ3" s="472"/>
      <c r="AK3" s="472"/>
      <c r="AL3" s="472"/>
      <c r="AM3" s="472"/>
      <c r="AN3" s="472"/>
      <c r="AO3" s="472"/>
      <c r="AP3" s="472"/>
      <c r="AQ3" s="472"/>
      <c r="AR3" s="473"/>
      <c r="AS3" s="474" t="s">
        <v>160</v>
      </c>
      <c r="AT3" s="475"/>
      <c r="AU3" s="475"/>
      <c r="AV3" s="475"/>
      <c r="AW3" s="475"/>
      <c r="AX3" s="475"/>
      <c r="AY3" s="475"/>
      <c r="AZ3" s="475"/>
      <c r="BA3" s="475"/>
      <c r="BB3" s="475"/>
      <c r="BC3" s="475"/>
      <c r="BD3" s="475"/>
      <c r="BE3" s="475"/>
      <c r="BF3" s="476"/>
      <c r="BG3" s="474" t="s">
        <v>161</v>
      </c>
      <c r="BH3" s="475"/>
      <c r="BI3" s="475"/>
      <c r="BJ3" s="475"/>
      <c r="BK3" s="475"/>
      <c r="BL3" s="475"/>
      <c r="BM3" s="475"/>
      <c r="BN3" s="475"/>
      <c r="BO3" s="475"/>
      <c r="BP3" s="475"/>
      <c r="BQ3" s="475"/>
      <c r="BR3" s="475"/>
      <c r="BS3" s="475"/>
      <c r="BT3" s="476"/>
      <c r="BU3" s="474" t="s">
        <v>103</v>
      </c>
      <c r="BV3" s="475"/>
      <c r="BW3" s="475"/>
      <c r="BX3" s="475"/>
      <c r="BY3" s="475"/>
      <c r="BZ3" s="475"/>
      <c r="CA3" s="475"/>
      <c r="CB3" s="475"/>
      <c r="CC3" s="475"/>
      <c r="CD3" s="475"/>
      <c r="CE3" s="475"/>
      <c r="CF3" s="475"/>
      <c r="CG3" s="475"/>
      <c r="CH3" s="476"/>
      <c r="CI3" s="474" t="s">
        <v>162</v>
      </c>
      <c r="CJ3" s="475"/>
      <c r="CK3" s="475"/>
      <c r="CL3" s="475"/>
      <c r="CM3" s="475"/>
      <c r="CN3" s="475"/>
      <c r="CO3" s="475"/>
      <c r="CP3" s="475"/>
      <c r="CQ3" s="475"/>
      <c r="CR3" s="475"/>
      <c r="CS3" s="475"/>
      <c r="CT3" s="475"/>
      <c r="CU3" s="475"/>
      <c r="CV3" s="476"/>
    </row>
    <row r="4" spans="1:100" ht="15.75" customHeight="1" thickBot="1" x14ac:dyDescent="0.3">
      <c r="A4" s="481" t="s">
        <v>20</v>
      </c>
      <c r="B4" s="482"/>
      <c r="C4" s="466" t="s">
        <v>27</v>
      </c>
      <c r="D4" s="467"/>
      <c r="E4" s="467"/>
      <c r="F4" s="467"/>
      <c r="G4" s="467"/>
      <c r="H4" s="467"/>
      <c r="I4" s="468"/>
      <c r="J4" s="466" t="s">
        <v>28</v>
      </c>
      <c r="K4" s="467"/>
      <c r="L4" s="467"/>
      <c r="M4" s="467"/>
      <c r="N4" s="467"/>
      <c r="O4" s="467"/>
      <c r="P4" s="468"/>
      <c r="Q4" s="466" t="s">
        <v>29</v>
      </c>
      <c r="R4" s="467"/>
      <c r="S4" s="467"/>
      <c r="T4" s="467"/>
      <c r="U4" s="467"/>
      <c r="V4" s="467"/>
      <c r="W4" s="468"/>
      <c r="X4" s="466" t="s">
        <v>30</v>
      </c>
      <c r="Y4" s="467"/>
      <c r="Z4" s="467"/>
      <c r="AA4" s="467"/>
      <c r="AB4" s="467"/>
      <c r="AC4" s="467"/>
      <c r="AD4" s="468"/>
      <c r="AE4" s="466" t="s">
        <v>27</v>
      </c>
      <c r="AF4" s="467"/>
      <c r="AG4" s="467"/>
      <c r="AH4" s="467"/>
      <c r="AI4" s="467"/>
      <c r="AJ4" s="467"/>
      <c r="AK4" s="468"/>
      <c r="AL4" s="466" t="s">
        <v>28</v>
      </c>
      <c r="AM4" s="467"/>
      <c r="AN4" s="467"/>
      <c r="AO4" s="467"/>
      <c r="AP4" s="467"/>
      <c r="AQ4" s="467"/>
      <c r="AR4" s="468"/>
      <c r="AS4" s="466" t="s">
        <v>29</v>
      </c>
      <c r="AT4" s="467"/>
      <c r="AU4" s="467"/>
      <c r="AV4" s="467"/>
      <c r="AW4" s="467"/>
      <c r="AX4" s="467"/>
      <c r="AY4" s="468"/>
      <c r="AZ4" s="466" t="s">
        <v>30</v>
      </c>
      <c r="BA4" s="467"/>
      <c r="BB4" s="467"/>
      <c r="BC4" s="467"/>
      <c r="BD4" s="467"/>
      <c r="BE4" s="467"/>
      <c r="BF4" s="468"/>
      <c r="BG4" s="466" t="s">
        <v>27</v>
      </c>
      <c r="BH4" s="467"/>
      <c r="BI4" s="467"/>
      <c r="BJ4" s="467"/>
      <c r="BK4" s="467"/>
      <c r="BL4" s="467"/>
      <c r="BM4" s="468"/>
      <c r="BN4" s="466" t="s">
        <v>28</v>
      </c>
      <c r="BO4" s="467"/>
      <c r="BP4" s="467"/>
      <c r="BQ4" s="467"/>
      <c r="BR4" s="467"/>
      <c r="BS4" s="467"/>
      <c r="BT4" s="468"/>
      <c r="BU4" s="466" t="s">
        <v>29</v>
      </c>
      <c r="BV4" s="467"/>
      <c r="BW4" s="467"/>
      <c r="BX4" s="467"/>
      <c r="BY4" s="467"/>
      <c r="BZ4" s="467"/>
      <c r="CA4" s="468"/>
      <c r="CB4" s="466" t="s">
        <v>30</v>
      </c>
      <c r="CC4" s="467"/>
      <c r="CD4" s="467"/>
      <c r="CE4" s="467"/>
      <c r="CF4" s="467"/>
      <c r="CG4" s="467"/>
      <c r="CH4" s="468"/>
      <c r="CI4" s="466" t="s">
        <v>27</v>
      </c>
      <c r="CJ4" s="467"/>
      <c r="CK4" s="467"/>
      <c r="CL4" s="467"/>
      <c r="CM4" s="467"/>
      <c r="CN4" s="467"/>
      <c r="CO4" s="468"/>
      <c r="CP4" s="466" t="s">
        <v>28</v>
      </c>
      <c r="CQ4" s="467"/>
      <c r="CR4" s="467"/>
      <c r="CS4" s="467"/>
      <c r="CT4" s="467"/>
      <c r="CU4" s="467"/>
      <c r="CV4" s="468"/>
    </row>
    <row r="5" spans="1:100" ht="15.75" customHeight="1" thickBot="1" x14ac:dyDescent="0.3">
      <c r="A5" s="483"/>
      <c r="B5" s="484"/>
      <c r="C5" s="193" t="s">
        <v>144</v>
      </c>
      <c r="D5" s="193" t="s">
        <v>145</v>
      </c>
      <c r="E5" s="193" t="s">
        <v>145</v>
      </c>
      <c r="F5" s="193" t="s">
        <v>146</v>
      </c>
      <c r="G5" s="193" t="s">
        <v>147</v>
      </c>
      <c r="H5" s="193" t="s">
        <v>148</v>
      </c>
      <c r="I5" s="194" t="s">
        <v>149</v>
      </c>
      <c r="J5" s="193" t="s">
        <v>144</v>
      </c>
      <c r="K5" s="193" t="s">
        <v>145</v>
      </c>
      <c r="L5" s="193" t="s">
        <v>145</v>
      </c>
      <c r="M5" s="193" t="s">
        <v>146</v>
      </c>
      <c r="N5" s="193" t="s">
        <v>147</v>
      </c>
      <c r="O5" s="193" t="s">
        <v>148</v>
      </c>
      <c r="P5" s="194" t="s">
        <v>149</v>
      </c>
      <c r="Q5" s="193" t="s">
        <v>144</v>
      </c>
      <c r="R5" s="193" t="s">
        <v>145</v>
      </c>
      <c r="S5" s="193" t="s">
        <v>145</v>
      </c>
      <c r="T5" s="193" t="s">
        <v>146</v>
      </c>
      <c r="U5" s="193" t="s">
        <v>147</v>
      </c>
      <c r="V5" s="193" t="s">
        <v>148</v>
      </c>
      <c r="W5" s="194" t="s">
        <v>149</v>
      </c>
      <c r="X5" s="193" t="s">
        <v>144</v>
      </c>
      <c r="Y5" s="193" t="s">
        <v>145</v>
      </c>
      <c r="Z5" s="193" t="s">
        <v>145</v>
      </c>
      <c r="AA5" s="193" t="s">
        <v>146</v>
      </c>
      <c r="AB5" s="193" t="s">
        <v>147</v>
      </c>
      <c r="AC5" s="193" t="s">
        <v>148</v>
      </c>
      <c r="AD5" s="194" t="s">
        <v>149</v>
      </c>
      <c r="AE5" s="193" t="s">
        <v>144</v>
      </c>
      <c r="AF5" s="193" t="s">
        <v>145</v>
      </c>
      <c r="AG5" s="193" t="s">
        <v>145</v>
      </c>
      <c r="AH5" s="193" t="s">
        <v>146</v>
      </c>
      <c r="AI5" s="193" t="s">
        <v>147</v>
      </c>
      <c r="AJ5" s="193" t="s">
        <v>148</v>
      </c>
      <c r="AK5" s="194" t="s">
        <v>149</v>
      </c>
      <c r="AL5" s="193" t="s">
        <v>144</v>
      </c>
      <c r="AM5" s="193" t="s">
        <v>145</v>
      </c>
      <c r="AN5" s="193" t="s">
        <v>145</v>
      </c>
      <c r="AO5" s="193" t="s">
        <v>146</v>
      </c>
      <c r="AP5" s="193" t="s">
        <v>147</v>
      </c>
      <c r="AQ5" s="193" t="s">
        <v>148</v>
      </c>
      <c r="AR5" s="194" t="s">
        <v>149</v>
      </c>
      <c r="AS5" s="193" t="s">
        <v>144</v>
      </c>
      <c r="AT5" s="193" t="s">
        <v>145</v>
      </c>
      <c r="AU5" s="193" t="s">
        <v>145</v>
      </c>
      <c r="AV5" s="193" t="s">
        <v>146</v>
      </c>
      <c r="AW5" s="193" t="s">
        <v>147</v>
      </c>
      <c r="AX5" s="193" t="s">
        <v>148</v>
      </c>
      <c r="AY5" s="194" t="s">
        <v>149</v>
      </c>
      <c r="AZ5" s="193" t="s">
        <v>144</v>
      </c>
      <c r="BA5" s="193" t="s">
        <v>145</v>
      </c>
      <c r="BB5" s="193" t="s">
        <v>145</v>
      </c>
      <c r="BC5" s="193" t="s">
        <v>146</v>
      </c>
      <c r="BD5" s="193" t="s">
        <v>147</v>
      </c>
      <c r="BE5" s="193" t="s">
        <v>148</v>
      </c>
      <c r="BF5" s="194" t="s">
        <v>149</v>
      </c>
      <c r="BG5" s="193" t="s">
        <v>144</v>
      </c>
      <c r="BH5" s="193" t="s">
        <v>145</v>
      </c>
      <c r="BI5" s="193" t="s">
        <v>145</v>
      </c>
      <c r="BJ5" s="193" t="s">
        <v>146</v>
      </c>
      <c r="BK5" s="193" t="s">
        <v>147</v>
      </c>
      <c r="BL5" s="193" t="s">
        <v>148</v>
      </c>
      <c r="BM5" s="194" t="s">
        <v>149</v>
      </c>
      <c r="BN5" s="193" t="s">
        <v>144</v>
      </c>
      <c r="BO5" s="193" t="s">
        <v>145</v>
      </c>
      <c r="BP5" s="193" t="s">
        <v>145</v>
      </c>
      <c r="BQ5" s="193" t="s">
        <v>146</v>
      </c>
      <c r="BR5" s="193" t="s">
        <v>147</v>
      </c>
      <c r="BS5" s="193" t="s">
        <v>148</v>
      </c>
      <c r="BT5" s="194" t="s">
        <v>149</v>
      </c>
      <c r="BU5" s="193" t="s">
        <v>144</v>
      </c>
      <c r="BV5" s="193" t="s">
        <v>145</v>
      </c>
      <c r="BW5" s="193" t="s">
        <v>145</v>
      </c>
      <c r="BX5" s="193" t="s">
        <v>146</v>
      </c>
      <c r="BY5" s="193" t="s">
        <v>147</v>
      </c>
      <c r="BZ5" s="193" t="s">
        <v>148</v>
      </c>
      <c r="CA5" s="194" t="s">
        <v>149</v>
      </c>
      <c r="CB5" s="193" t="s">
        <v>144</v>
      </c>
      <c r="CC5" s="193" t="s">
        <v>145</v>
      </c>
      <c r="CD5" s="193" t="s">
        <v>145</v>
      </c>
      <c r="CE5" s="193" t="s">
        <v>146</v>
      </c>
      <c r="CF5" s="193" t="s">
        <v>147</v>
      </c>
      <c r="CG5" s="193" t="s">
        <v>148</v>
      </c>
      <c r="CH5" s="194" t="s">
        <v>149</v>
      </c>
      <c r="CI5" s="193" t="s">
        <v>144</v>
      </c>
      <c r="CJ5" s="193" t="s">
        <v>145</v>
      </c>
      <c r="CK5" s="193" t="s">
        <v>145</v>
      </c>
      <c r="CL5" s="193" t="s">
        <v>146</v>
      </c>
      <c r="CM5" s="193" t="s">
        <v>147</v>
      </c>
      <c r="CN5" s="193" t="s">
        <v>148</v>
      </c>
      <c r="CO5" s="194" t="s">
        <v>149</v>
      </c>
      <c r="CP5" s="193" t="s">
        <v>144</v>
      </c>
      <c r="CQ5" s="193" t="s">
        <v>145</v>
      </c>
      <c r="CR5" s="193" t="s">
        <v>145</v>
      </c>
      <c r="CS5" s="193" t="s">
        <v>146</v>
      </c>
      <c r="CT5" s="193" t="s">
        <v>147</v>
      </c>
      <c r="CU5" s="193" t="s">
        <v>148</v>
      </c>
      <c r="CV5" s="194" t="s">
        <v>149</v>
      </c>
    </row>
    <row r="6" spans="1:100" ht="16.5" customHeight="1" thickBot="1" x14ac:dyDescent="0.3">
      <c r="A6" s="465" t="s">
        <v>165</v>
      </c>
      <c r="B6" s="270" t="s">
        <v>167</v>
      </c>
      <c r="C6" s="269"/>
      <c r="D6" s="269"/>
      <c r="E6" s="269"/>
      <c r="F6" s="269"/>
      <c r="G6" s="265"/>
      <c r="H6" s="265"/>
      <c r="I6" s="197"/>
      <c r="J6" s="265"/>
      <c r="K6" s="265"/>
      <c r="L6" s="265"/>
      <c r="M6" s="265"/>
      <c r="N6" s="265"/>
      <c r="O6" s="196"/>
      <c r="P6" s="197"/>
      <c r="Q6" s="198"/>
      <c r="R6" s="196"/>
      <c r="S6" s="196"/>
      <c r="T6" s="196"/>
      <c r="U6" s="196"/>
      <c r="V6" s="196"/>
      <c r="W6" s="197"/>
      <c r="X6" s="198"/>
      <c r="Y6" s="196"/>
      <c r="Z6" s="196"/>
      <c r="AA6" s="196"/>
      <c r="AB6" s="196"/>
      <c r="AC6" s="196"/>
      <c r="AD6" s="197"/>
      <c r="AE6" s="198"/>
      <c r="AF6" s="196"/>
      <c r="AG6" s="196"/>
      <c r="AH6" s="196"/>
      <c r="AI6" s="196"/>
      <c r="AJ6" s="196"/>
      <c r="AK6" s="197"/>
      <c r="AL6" s="198"/>
      <c r="AM6" s="196"/>
      <c r="AN6" s="196"/>
      <c r="AO6" s="196"/>
      <c r="AP6" s="196"/>
      <c r="AQ6" s="196"/>
      <c r="AR6" s="197"/>
      <c r="AS6" s="198"/>
      <c r="AT6" s="196"/>
      <c r="AU6" s="196"/>
      <c r="AV6" s="196"/>
      <c r="AW6" s="196"/>
      <c r="AX6" s="196"/>
      <c r="AY6" s="197"/>
      <c r="AZ6" s="198"/>
      <c r="BA6" s="196"/>
      <c r="BB6" s="196"/>
      <c r="BC6" s="196"/>
      <c r="BD6" s="196"/>
      <c r="BE6" s="196"/>
      <c r="BF6" s="197"/>
      <c r="BG6" s="196"/>
      <c r="BH6" s="196"/>
      <c r="BI6" s="196"/>
      <c r="BJ6" s="196"/>
      <c r="BK6" s="196"/>
      <c r="BL6" s="196"/>
      <c r="BM6" s="197"/>
      <c r="BN6" s="199"/>
      <c r="BO6" s="199"/>
      <c r="BP6" s="199"/>
      <c r="BQ6" s="199"/>
      <c r="BR6" s="199"/>
      <c r="BS6" s="199"/>
      <c r="BT6" s="197"/>
      <c r="BU6" s="196"/>
      <c r="BV6" s="196"/>
      <c r="BW6" s="196"/>
      <c r="BX6" s="196"/>
      <c r="BY6" s="196"/>
      <c r="BZ6" s="196"/>
      <c r="CA6" s="197"/>
      <c r="CB6" s="199"/>
      <c r="CC6" s="199"/>
      <c r="CD6" s="199"/>
      <c r="CE6" s="199"/>
      <c r="CF6" s="199"/>
      <c r="CG6" s="199"/>
      <c r="CH6" s="197"/>
      <c r="CI6" s="196"/>
      <c r="CJ6" s="196"/>
      <c r="CK6" s="196"/>
      <c r="CL6" s="196"/>
      <c r="CM6" s="196"/>
      <c r="CN6" s="196"/>
      <c r="CO6" s="197"/>
      <c r="CP6" s="199"/>
      <c r="CQ6" s="199"/>
      <c r="CR6" s="199"/>
      <c r="CS6" s="199"/>
      <c r="CT6" s="199"/>
      <c r="CU6" s="199"/>
      <c r="CV6" s="197"/>
    </row>
    <row r="7" spans="1:100" ht="16.5" thickBot="1" x14ac:dyDescent="0.3">
      <c r="A7" s="465"/>
      <c r="B7" s="271" t="s">
        <v>166</v>
      </c>
      <c r="C7" s="266"/>
      <c r="D7" s="266"/>
      <c r="E7" s="265"/>
      <c r="F7" s="265"/>
      <c r="G7" s="269"/>
      <c r="H7" s="269"/>
      <c r="I7" s="197"/>
      <c r="J7" s="269"/>
      <c r="K7" s="269"/>
      <c r="L7" s="269"/>
      <c r="M7" s="265"/>
      <c r="N7" s="265"/>
      <c r="O7" s="196"/>
      <c r="P7" s="197"/>
      <c r="Q7" s="400"/>
      <c r="R7" s="196"/>
      <c r="S7" s="196"/>
      <c r="T7" s="196"/>
      <c r="U7" s="196"/>
      <c r="V7" s="196"/>
      <c r="W7" s="197"/>
      <c r="X7" s="198"/>
      <c r="Y7" s="196"/>
      <c r="Z7" s="196"/>
      <c r="AA7" s="196"/>
      <c r="AB7" s="196"/>
      <c r="AC7" s="196"/>
      <c r="AD7" s="197"/>
      <c r="AE7" s="198"/>
      <c r="AF7" s="196"/>
      <c r="AG7" s="196"/>
      <c r="AH7" s="196"/>
      <c r="AI7" s="196"/>
      <c r="AJ7" s="196"/>
      <c r="AK7" s="197"/>
      <c r="AL7" s="198"/>
      <c r="AM7" s="196"/>
      <c r="AN7" s="196"/>
      <c r="AO7" s="196"/>
      <c r="AP7" s="196"/>
      <c r="AQ7" s="196"/>
      <c r="AR7" s="197"/>
      <c r="AS7" s="198"/>
      <c r="AT7" s="196"/>
      <c r="AU7" s="196"/>
      <c r="AV7" s="196"/>
      <c r="AW7" s="196"/>
      <c r="AX7" s="196"/>
      <c r="AY7" s="197"/>
      <c r="AZ7" s="198"/>
      <c r="BA7" s="196"/>
      <c r="BB7" s="196"/>
      <c r="BC7" s="196"/>
      <c r="BD7" s="196"/>
      <c r="BE7" s="196"/>
      <c r="BF7" s="197"/>
      <c r="BG7" s="196"/>
      <c r="BH7" s="196"/>
      <c r="BI7" s="196"/>
      <c r="BJ7" s="196"/>
      <c r="BK7" s="196"/>
      <c r="BL7" s="196"/>
      <c r="BM7" s="197"/>
      <c r="BN7" s="199"/>
      <c r="BO7" s="199"/>
      <c r="BP7" s="199"/>
      <c r="BQ7" s="199"/>
      <c r="BR7" s="199"/>
      <c r="BS7" s="199"/>
      <c r="BT7" s="197"/>
      <c r="BU7" s="196"/>
      <c r="BV7" s="196"/>
      <c r="BW7" s="196"/>
      <c r="BX7" s="196"/>
      <c r="BY7" s="196"/>
      <c r="BZ7" s="196"/>
      <c r="CA7" s="197"/>
      <c r="CB7" s="199"/>
      <c r="CC7" s="199"/>
      <c r="CD7" s="199"/>
      <c r="CE7" s="199"/>
      <c r="CF7" s="199"/>
      <c r="CG7" s="199"/>
      <c r="CH7" s="197"/>
      <c r="CI7" s="196"/>
      <c r="CJ7" s="196"/>
      <c r="CK7" s="196"/>
      <c r="CL7" s="196"/>
      <c r="CM7" s="196"/>
      <c r="CN7" s="196"/>
      <c r="CO7" s="197"/>
      <c r="CP7" s="199"/>
      <c r="CQ7" s="199"/>
      <c r="CR7" s="199"/>
      <c r="CS7" s="199"/>
      <c r="CT7" s="199"/>
      <c r="CU7" s="199"/>
      <c r="CV7" s="197"/>
    </row>
    <row r="8" spans="1:100" ht="16.5" thickBot="1" x14ac:dyDescent="0.3">
      <c r="A8" s="465"/>
      <c r="B8" s="272" t="s">
        <v>228</v>
      </c>
      <c r="C8" s="266"/>
      <c r="D8" s="266"/>
      <c r="E8" s="265"/>
      <c r="F8" s="265"/>
      <c r="G8" s="265"/>
      <c r="H8" s="265"/>
      <c r="I8" s="197"/>
      <c r="J8" s="265"/>
      <c r="K8" s="265"/>
      <c r="L8" s="265"/>
      <c r="M8" s="269"/>
      <c r="N8" s="269"/>
      <c r="O8" s="269"/>
      <c r="P8" s="197"/>
      <c r="Q8" s="265"/>
      <c r="R8" s="265"/>
      <c r="S8" s="265"/>
      <c r="T8" s="265"/>
      <c r="U8" s="265"/>
      <c r="V8" s="265"/>
      <c r="W8" s="197"/>
      <c r="X8" s="196"/>
      <c r="Y8" s="196"/>
      <c r="Z8" s="196"/>
      <c r="AA8" s="196"/>
      <c r="AB8" s="196"/>
      <c r="AC8" s="196"/>
      <c r="AD8" s="197"/>
      <c r="AE8" s="196"/>
      <c r="AF8" s="196"/>
      <c r="AG8" s="196"/>
      <c r="AH8" s="196"/>
      <c r="AI8" s="196"/>
      <c r="AJ8" s="196"/>
      <c r="AK8" s="197"/>
      <c r="AL8" s="196"/>
      <c r="AM8" s="196"/>
      <c r="AN8" s="196"/>
      <c r="AO8" s="196"/>
      <c r="AP8" s="196"/>
      <c r="AQ8" s="196"/>
      <c r="AR8" s="197"/>
      <c r="AS8" s="196"/>
      <c r="AT8" s="196"/>
      <c r="AU8" s="196"/>
      <c r="AV8" s="196"/>
      <c r="AW8" s="196"/>
      <c r="AX8" s="196"/>
      <c r="AY8" s="197"/>
      <c r="AZ8" s="196"/>
      <c r="BA8" s="196"/>
      <c r="BB8" s="196"/>
      <c r="BC8" s="196"/>
      <c r="BD8" s="196"/>
      <c r="BE8" s="196"/>
      <c r="BF8" s="197"/>
      <c r="BG8" s="196"/>
      <c r="BH8" s="196"/>
      <c r="BI8" s="196"/>
      <c r="BJ8" s="196"/>
      <c r="BK8" s="196"/>
      <c r="BL8" s="196"/>
      <c r="BM8" s="197"/>
      <c r="BN8" s="199"/>
      <c r="BO8" s="199"/>
      <c r="BP8" s="199"/>
      <c r="BQ8" s="199"/>
      <c r="BR8" s="199"/>
      <c r="BS8" s="199"/>
      <c r="BT8" s="197"/>
      <c r="BU8" s="196"/>
      <c r="BV8" s="196"/>
      <c r="BW8" s="196"/>
      <c r="BX8" s="196"/>
      <c r="BY8" s="196"/>
      <c r="BZ8" s="196"/>
      <c r="CA8" s="197"/>
      <c r="CB8" s="199"/>
      <c r="CC8" s="199"/>
      <c r="CD8" s="199"/>
      <c r="CE8" s="199"/>
      <c r="CF8" s="199"/>
      <c r="CG8" s="199"/>
      <c r="CH8" s="197"/>
      <c r="CI8" s="196"/>
      <c r="CJ8" s="196"/>
      <c r="CK8" s="196"/>
      <c r="CL8" s="196"/>
      <c r="CM8" s="196"/>
      <c r="CN8" s="196"/>
      <c r="CO8" s="197"/>
      <c r="CP8" s="199"/>
      <c r="CQ8" s="199"/>
      <c r="CR8" s="199"/>
      <c r="CS8" s="199"/>
      <c r="CT8" s="199"/>
      <c r="CU8" s="199"/>
      <c r="CV8" s="197"/>
    </row>
    <row r="9" spans="1:100" ht="15.75" customHeight="1" thickBot="1" x14ac:dyDescent="0.3">
      <c r="A9" s="465"/>
      <c r="B9" s="273" t="s">
        <v>170</v>
      </c>
      <c r="C9" s="199"/>
      <c r="D9" s="196"/>
      <c r="E9" s="196"/>
      <c r="F9" s="196"/>
      <c r="G9" s="199"/>
      <c r="H9" s="199"/>
      <c r="I9" s="197"/>
      <c r="J9" s="265"/>
      <c r="K9" s="265"/>
      <c r="L9" s="265"/>
      <c r="M9" s="265"/>
      <c r="N9" s="265"/>
      <c r="O9" s="265"/>
      <c r="P9" s="197"/>
      <c r="Q9" s="269"/>
      <c r="R9" s="269"/>
      <c r="S9" s="269"/>
      <c r="T9" s="269"/>
      <c r="U9" s="265"/>
      <c r="V9" s="265"/>
      <c r="W9" s="197"/>
      <c r="X9" s="265"/>
      <c r="Y9" s="265"/>
      <c r="Z9" s="265"/>
      <c r="AA9" s="265"/>
      <c r="AB9" s="265"/>
      <c r="AC9" s="265"/>
      <c r="AD9" s="197"/>
      <c r="AE9" s="196"/>
      <c r="AF9" s="196"/>
      <c r="AG9" s="196"/>
      <c r="AH9" s="196"/>
      <c r="AI9" s="196"/>
      <c r="AJ9" s="196"/>
      <c r="AK9" s="197"/>
      <c r="AL9" s="196"/>
      <c r="AM9" s="196"/>
      <c r="AN9" s="196"/>
      <c r="AO9" s="196"/>
      <c r="AP9" s="196"/>
      <c r="AQ9" s="196"/>
      <c r="AR9" s="197"/>
      <c r="AS9" s="196"/>
      <c r="AT9" s="196"/>
      <c r="AU9" s="196"/>
      <c r="AV9" s="196"/>
      <c r="AW9" s="196"/>
      <c r="AX9" s="196"/>
      <c r="AY9" s="197"/>
      <c r="AZ9" s="196"/>
      <c r="BA9" s="196"/>
      <c r="BB9" s="196"/>
      <c r="BC9" s="196"/>
      <c r="BD9" s="196"/>
      <c r="BE9" s="196"/>
      <c r="BF9" s="197"/>
      <c r="BG9" s="196"/>
      <c r="BH9" s="196"/>
      <c r="BI9" s="196"/>
      <c r="BJ9" s="196"/>
      <c r="BK9" s="196"/>
      <c r="BL9" s="196"/>
      <c r="BM9" s="197"/>
      <c r="BN9" s="199"/>
      <c r="BO9" s="199"/>
      <c r="BP9" s="199"/>
      <c r="BQ9" s="199"/>
      <c r="BR9" s="199"/>
      <c r="BS9" s="199"/>
      <c r="BT9" s="197"/>
      <c r="BU9" s="196"/>
      <c r="BV9" s="196"/>
      <c r="BW9" s="196"/>
      <c r="BX9" s="196"/>
      <c r="BY9" s="196"/>
      <c r="BZ9" s="196"/>
      <c r="CA9" s="197"/>
      <c r="CB9" s="199"/>
      <c r="CC9" s="199"/>
      <c r="CD9" s="199"/>
      <c r="CE9" s="199"/>
      <c r="CF9" s="199"/>
      <c r="CG9" s="199"/>
      <c r="CH9" s="197"/>
      <c r="CI9" s="196"/>
      <c r="CJ9" s="196"/>
      <c r="CK9" s="196"/>
      <c r="CL9" s="196"/>
      <c r="CM9" s="196"/>
      <c r="CN9" s="196"/>
      <c r="CO9" s="197"/>
      <c r="CP9" s="199"/>
      <c r="CQ9" s="199"/>
      <c r="CR9" s="199"/>
      <c r="CS9" s="199"/>
      <c r="CT9" s="199"/>
      <c r="CU9" s="199"/>
      <c r="CV9" s="197"/>
    </row>
    <row r="10" spans="1:100" ht="16.5" thickBot="1" x14ac:dyDescent="0.3">
      <c r="A10" s="465"/>
      <c r="B10" s="274" t="s">
        <v>164</v>
      </c>
      <c r="C10" s="199"/>
      <c r="D10" s="196"/>
      <c r="E10" s="196"/>
      <c r="F10" s="196"/>
      <c r="G10" s="199"/>
      <c r="H10" s="199"/>
      <c r="I10" s="197"/>
      <c r="J10" s="265"/>
      <c r="K10" s="265"/>
      <c r="L10" s="265"/>
      <c r="M10" s="265"/>
      <c r="N10" s="265"/>
      <c r="O10" s="265"/>
      <c r="P10" s="197"/>
      <c r="Q10" s="266"/>
      <c r="R10" s="266"/>
      <c r="S10" s="266"/>
      <c r="T10" s="266"/>
      <c r="U10" s="380"/>
      <c r="V10" s="380"/>
      <c r="W10" s="197"/>
      <c r="X10" s="265"/>
      <c r="Y10" s="265"/>
      <c r="Z10" s="265"/>
      <c r="AA10" s="265"/>
      <c r="AB10" s="265"/>
      <c r="AC10" s="265"/>
      <c r="AD10" s="197"/>
      <c r="AE10" s="196"/>
      <c r="AF10" s="196"/>
      <c r="AG10" s="196"/>
      <c r="AH10" s="196"/>
      <c r="AI10" s="196"/>
      <c r="AJ10" s="196"/>
      <c r="AK10" s="197"/>
      <c r="AL10" s="196"/>
      <c r="AM10" s="196"/>
      <c r="AN10" s="196"/>
      <c r="AO10" s="196"/>
      <c r="AP10" s="196"/>
      <c r="AQ10" s="196"/>
      <c r="AR10" s="197"/>
      <c r="AS10" s="196"/>
      <c r="AT10" s="196"/>
      <c r="AU10" s="196"/>
      <c r="AV10" s="196"/>
      <c r="AW10" s="196"/>
      <c r="AX10" s="196"/>
      <c r="AY10" s="197"/>
      <c r="AZ10" s="196"/>
      <c r="BA10" s="196"/>
      <c r="BB10" s="196"/>
      <c r="BC10" s="196"/>
      <c r="BD10" s="196"/>
      <c r="BE10" s="196"/>
      <c r="BF10" s="197"/>
      <c r="BG10" s="196"/>
      <c r="BH10" s="196"/>
      <c r="BI10" s="196"/>
      <c r="BJ10" s="196"/>
      <c r="BK10" s="196"/>
      <c r="BL10" s="196"/>
      <c r="BM10" s="197"/>
      <c r="BN10" s="199"/>
      <c r="BO10" s="199"/>
      <c r="BP10" s="199"/>
      <c r="BQ10" s="199"/>
      <c r="BR10" s="199"/>
      <c r="BS10" s="199"/>
      <c r="BT10" s="197"/>
      <c r="BU10" s="196"/>
      <c r="BV10" s="196"/>
      <c r="BW10" s="196"/>
      <c r="BX10" s="196"/>
      <c r="BY10" s="196"/>
      <c r="BZ10" s="196"/>
      <c r="CA10" s="197"/>
      <c r="CB10" s="199"/>
      <c r="CC10" s="199"/>
      <c r="CD10" s="199"/>
      <c r="CE10" s="199"/>
      <c r="CF10" s="199"/>
      <c r="CG10" s="199"/>
      <c r="CH10" s="197"/>
      <c r="CI10" s="196"/>
      <c r="CJ10" s="196"/>
      <c r="CK10" s="196"/>
      <c r="CL10" s="196"/>
      <c r="CM10" s="196"/>
      <c r="CN10" s="196"/>
      <c r="CO10" s="197"/>
      <c r="CP10" s="199"/>
      <c r="CQ10" s="199"/>
      <c r="CR10" s="199"/>
      <c r="CS10" s="199"/>
      <c r="CT10" s="199"/>
      <c r="CU10" s="199"/>
      <c r="CV10" s="197"/>
    </row>
    <row r="11" spans="1:100" ht="16.5" thickBot="1" x14ac:dyDescent="0.3">
      <c r="A11" s="465"/>
      <c r="B11" s="275" t="s">
        <v>168</v>
      </c>
      <c r="C11" s="199"/>
      <c r="D11" s="196"/>
      <c r="E11" s="196"/>
      <c r="F11" s="196"/>
      <c r="G11" s="199"/>
      <c r="H11" s="199"/>
      <c r="I11" s="197"/>
      <c r="J11" s="265"/>
      <c r="K11" s="265"/>
      <c r="L11" s="265"/>
      <c r="M11" s="265"/>
      <c r="N11" s="265"/>
      <c r="O11" s="199"/>
      <c r="P11" s="197"/>
      <c r="Q11" s="266"/>
      <c r="R11" s="266"/>
      <c r="S11" s="266"/>
      <c r="T11" s="266"/>
      <c r="U11" s="266"/>
      <c r="V11" s="266"/>
      <c r="W11" s="197"/>
      <c r="X11" s="269"/>
      <c r="Y11" s="269"/>
      <c r="Z11" s="269"/>
      <c r="AA11" s="265"/>
      <c r="AB11" s="265"/>
      <c r="AC11" s="265"/>
      <c r="AD11" s="197"/>
      <c r="AE11" s="265"/>
      <c r="AF11" s="265"/>
      <c r="AG11" s="196"/>
      <c r="AH11" s="196"/>
      <c r="AI11" s="196"/>
      <c r="AJ11" s="196"/>
      <c r="AK11" s="197"/>
      <c r="AL11" s="196"/>
      <c r="AM11" s="196"/>
      <c r="AN11" s="196"/>
      <c r="AO11" s="196"/>
      <c r="AP11" s="196"/>
      <c r="AQ11" s="196"/>
      <c r="AR11" s="197"/>
      <c r="AS11" s="196"/>
      <c r="AT11" s="196"/>
      <c r="AU11" s="196"/>
      <c r="AV11" s="196"/>
      <c r="AW11" s="196"/>
      <c r="AX11" s="196"/>
      <c r="AY11" s="197"/>
      <c r="AZ11" s="196"/>
      <c r="BA11" s="196"/>
      <c r="BB11" s="196"/>
      <c r="BC11" s="196"/>
      <c r="BD11" s="196"/>
      <c r="BE11" s="196"/>
      <c r="BF11" s="197"/>
      <c r="BG11" s="196"/>
      <c r="BH11" s="196"/>
      <c r="BI11" s="196"/>
      <c r="BJ11" s="196"/>
      <c r="BK11" s="196"/>
      <c r="BL11" s="196"/>
      <c r="BM11" s="197"/>
      <c r="BN11" s="199"/>
      <c r="BO11" s="199"/>
      <c r="BP11" s="199"/>
      <c r="BQ11" s="199"/>
      <c r="BR11" s="199"/>
      <c r="BS11" s="199"/>
      <c r="BT11" s="197"/>
      <c r="BU11" s="196"/>
      <c r="BV11" s="196"/>
      <c r="BW11" s="196"/>
      <c r="BX11" s="196"/>
      <c r="BY11" s="196"/>
      <c r="BZ11" s="196"/>
      <c r="CA11" s="197"/>
      <c r="CB11" s="199"/>
      <c r="CC11" s="199"/>
      <c r="CD11" s="199"/>
      <c r="CE11" s="199"/>
      <c r="CF11" s="199"/>
      <c r="CG11" s="199"/>
      <c r="CH11" s="197"/>
      <c r="CI11" s="196"/>
      <c r="CJ11" s="196"/>
      <c r="CK11" s="196"/>
      <c r="CL11" s="196"/>
      <c r="CM11" s="196"/>
      <c r="CN11" s="196"/>
      <c r="CO11" s="197"/>
      <c r="CP11" s="199"/>
      <c r="CQ11" s="199"/>
      <c r="CR11" s="199"/>
      <c r="CS11" s="199"/>
      <c r="CT11" s="199"/>
      <c r="CU11" s="199"/>
      <c r="CV11" s="197"/>
    </row>
    <row r="12" spans="1:100" ht="16.5" thickBot="1" x14ac:dyDescent="0.3">
      <c r="A12" s="465"/>
      <c r="B12" s="273" t="s">
        <v>229</v>
      </c>
      <c r="C12" s="199"/>
      <c r="D12" s="196"/>
      <c r="E12" s="196"/>
      <c r="F12" s="196"/>
      <c r="G12" s="199"/>
      <c r="H12" s="199"/>
      <c r="I12" s="197"/>
      <c r="J12" s="265"/>
      <c r="K12" s="265"/>
      <c r="L12" s="265"/>
      <c r="M12" s="265"/>
      <c r="N12" s="265"/>
      <c r="O12" s="199"/>
      <c r="P12" s="197"/>
      <c r="Q12" s="266"/>
      <c r="R12" s="266"/>
      <c r="S12" s="266"/>
      <c r="T12" s="266"/>
      <c r="U12" s="266"/>
      <c r="V12" s="266"/>
      <c r="W12" s="197"/>
      <c r="X12" s="265"/>
      <c r="Y12" s="265"/>
      <c r="Z12" s="265"/>
      <c r="AA12" s="269"/>
      <c r="AB12" s="269"/>
      <c r="AC12" s="269"/>
      <c r="AD12" s="197"/>
      <c r="AE12" s="265"/>
      <c r="AF12" s="265"/>
      <c r="AG12" s="265"/>
      <c r="AH12" s="265"/>
      <c r="AI12" s="265"/>
      <c r="AJ12" s="196"/>
      <c r="AK12" s="197"/>
      <c r="AL12" s="196"/>
      <c r="AM12" s="196"/>
      <c r="AN12" s="196"/>
      <c r="AO12" s="196"/>
      <c r="AP12" s="196"/>
      <c r="AQ12" s="196"/>
      <c r="AR12" s="197"/>
      <c r="AS12" s="196"/>
      <c r="AT12" s="196"/>
      <c r="AU12" s="196"/>
      <c r="AV12" s="196"/>
      <c r="AW12" s="196"/>
      <c r="AX12" s="196"/>
      <c r="AY12" s="197"/>
      <c r="AZ12" s="196"/>
      <c r="BA12" s="196"/>
      <c r="BB12" s="196"/>
      <c r="BC12" s="196"/>
      <c r="BD12" s="196"/>
      <c r="BE12" s="196"/>
      <c r="BF12" s="197"/>
      <c r="BG12" s="196"/>
      <c r="BH12" s="196"/>
      <c r="BI12" s="196"/>
      <c r="BJ12" s="196"/>
      <c r="BK12" s="196"/>
      <c r="BL12" s="196"/>
      <c r="BM12" s="197"/>
      <c r="BN12" s="199"/>
      <c r="BO12" s="199"/>
      <c r="BP12" s="199"/>
      <c r="BQ12" s="199"/>
      <c r="BR12" s="199"/>
      <c r="BS12" s="199"/>
      <c r="BT12" s="197"/>
      <c r="BU12" s="196"/>
      <c r="BV12" s="196"/>
      <c r="BW12" s="196"/>
      <c r="BX12" s="196"/>
      <c r="BY12" s="196"/>
      <c r="BZ12" s="196"/>
      <c r="CA12" s="197"/>
      <c r="CB12" s="199"/>
      <c r="CC12" s="199"/>
      <c r="CD12" s="199"/>
      <c r="CE12" s="199"/>
      <c r="CF12" s="199"/>
      <c r="CG12" s="199"/>
      <c r="CH12" s="197"/>
      <c r="CI12" s="196"/>
      <c r="CJ12" s="196"/>
      <c r="CK12" s="196"/>
      <c r="CL12" s="196"/>
      <c r="CM12" s="196"/>
      <c r="CN12" s="196"/>
      <c r="CO12" s="197"/>
      <c r="CP12" s="199"/>
      <c r="CQ12" s="199"/>
      <c r="CR12" s="199"/>
      <c r="CS12" s="199"/>
      <c r="CT12" s="199"/>
      <c r="CU12" s="199"/>
      <c r="CV12" s="197"/>
    </row>
    <row r="13" spans="1:100" ht="16.5" thickBot="1" x14ac:dyDescent="0.3">
      <c r="A13" s="465" t="s">
        <v>221</v>
      </c>
      <c r="B13" s="270" t="s">
        <v>230</v>
      </c>
      <c r="C13" s="196"/>
      <c r="D13" s="196"/>
      <c r="E13" s="196"/>
      <c r="F13" s="200"/>
      <c r="G13" s="196"/>
      <c r="H13" s="196"/>
      <c r="I13" s="197"/>
      <c r="J13" s="199"/>
      <c r="K13" s="199"/>
      <c r="L13" s="199"/>
      <c r="M13" s="199"/>
      <c r="N13" s="199"/>
      <c r="O13" s="199"/>
      <c r="P13" s="197"/>
      <c r="Q13" s="265"/>
      <c r="R13" s="266"/>
      <c r="S13" s="266"/>
      <c r="T13" s="265"/>
      <c r="U13" s="266"/>
      <c r="V13" s="196"/>
      <c r="W13" s="197"/>
      <c r="X13" s="265"/>
      <c r="Y13" s="265"/>
      <c r="Z13" s="265"/>
      <c r="AA13" s="265"/>
      <c r="AB13" s="265"/>
      <c r="AC13" s="265"/>
      <c r="AD13" s="197"/>
      <c r="AE13" s="269"/>
      <c r="AF13" s="269"/>
      <c r="AG13" s="269"/>
      <c r="AH13" s="269"/>
      <c r="AI13" s="265"/>
      <c r="AJ13" s="196"/>
      <c r="AK13" s="197"/>
      <c r="AL13" s="265"/>
      <c r="AM13" s="265"/>
      <c r="AN13" s="265"/>
      <c r="AO13" s="265"/>
      <c r="AP13" s="265"/>
      <c r="AQ13" s="196"/>
      <c r="AR13" s="197"/>
      <c r="AS13" s="196"/>
      <c r="AT13" s="196"/>
      <c r="AU13" s="196"/>
      <c r="AV13" s="196"/>
      <c r="AW13" s="196"/>
      <c r="AX13" s="196"/>
      <c r="AY13" s="197"/>
      <c r="AZ13" s="196"/>
      <c r="BA13" s="196"/>
      <c r="BB13" s="196"/>
      <c r="BC13" s="196"/>
      <c r="BD13" s="196"/>
      <c r="BE13" s="196"/>
      <c r="BF13" s="197"/>
      <c r="BG13" s="196"/>
      <c r="BH13" s="196"/>
      <c r="BI13" s="196"/>
      <c r="BJ13" s="196"/>
      <c r="BK13" s="196"/>
      <c r="BL13" s="196"/>
      <c r="BM13" s="197"/>
      <c r="BN13" s="199"/>
      <c r="BO13" s="199"/>
      <c r="BP13" s="199"/>
      <c r="BQ13" s="199"/>
      <c r="BR13" s="199"/>
      <c r="BS13" s="199"/>
      <c r="BT13" s="197"/>
      <c r="BU13" s="196"/>
      <c r="BV13" s="196"/>
      <c r="BW13" s="196"/>
      <c r="BX13" s="196"/>
      <c r="BY13" s="196"/>
      <c r="BZ13" s="196"/>
      <c r="CA13" s="197"/>
      <c r="CB13" s="199"/>
      <c r="CC13" s="199"/>
      <c r="CD13" s="199"/>
      <c r="CE13" s="199"/>
      <c r="CF13" s="199"/>
      <c r="CG13" s="199"/>
      <c r="CH13" s="197"/>
      <c r="CI13" s="196"/>
      <c r="CJ13" s="196"/>
      <c r="CK13" s="196"/>
      <c r="CL13" s="196"/>
      <c r="CM13" s="196"/>
      <c r="CN13" s="196"/>
      <c r="CO13" s="197"/>
      <c r="CP13" s="199"/>
      <c r="CQ13" s="199"/>
      <c r="CR13" s="199"/>
      <c r="CS13" s="199"/>
      <c r="CT13" s="199"/>
      <c r="CU13" s="199"/>
      <c r="CV13" s="197"/>
    </row>
    <row r="14" spans="1:100" ht="16.5" thickBot="1" x14ac:dyDescent="0.3">
      <c r="A14" s="465"/>
      <c r="B14" s="276" t="s">
        <v>169</v>
      </c>
      <c r="C14" s="196"/>
      <c r="D14" s="196"/>
      <c r="E14" s="196"/>
      <c r="F14" s="196"/>
      <c r="G14" s="196"/>
      <c r="H14" s="196"/>
      <c r="I14" s="197"/>
      <c r="J14" s="199"/>
      <c r="K14" s="199"/>
      <c r="L14" s="199"/>
      <c r="M14" s="199"/>
      <c r="N14" s="199"/>
      <c r="O14" s="199"/>
      <c r="P14" s="197"/>
      <c r="Q14" s="265"/>
      <c r="R14" s="265"/>
      <c r="S14" s="265"/>
      <c r="T14" s="265"/>
      <c r="U14" s="265"/>
      <c r="V14" s="196"/>
      <c r="W14" s="197"/>
      <c r="X14" s="265"/>
      <c r="Y14" s="265"/>
      <c r="Z14" s="265"/>
      <c r="AA14" s="265"/>
      <c r="AB14" s="265"/>
      <c r="AC14" s="265"/>
      <c r="AD14" s="197"/>
      <c r="AE14" s="265"/>
      <c r="AF14" s="265"/>
      <c r="AG14" s="265"/>
      <c r="AH14" s="265"/>
      <c r="AI14" s="269"/>
      <c r="AJ14" s="269"/>
      <c r="AK14" s="197"/>
      <c r="AL14" s="269"/>
      <c r="AM14" s="265"/>
      <c r="AN14" s="265"/>
      <c r="AO14" s="265"/>
      <c r="AP14" s="265"/>
      <c r="AQ14" s="196"/>
      <c r="AR14" s="197"/>
      <c r="AS14" s="196"/>
      <c r="AT14" s="196"/>
      <c r="AU14" s="196"/>
      <c r="AV14" s="196"/>
      <c r="AW14" s="196"/>
      <c r="AX14" s="196"/>
      <c r="AY14" s="197"/>
      <c r="AZ14" s="196"/>
      <c r="BA14" s="196"/>
      <c r="BB14" s="196"/>
      <c r="BC14" s="196"/>
      <c r="BD14" s="196"/>
      <c r="BE14" s="196"/>
      <c r="BF14" s="197"/>
      <c r="BG14" s="196"/>
      <c r="BH14" s="196"/>
      <c r="BI14" s="196"/>
      <c r="BJ14" s="196"/>
      <c r="BK14" s="196"/>
      <c r="BL14" s="196"/>
      <c r="BM14" s="197"/>
      <c r="BN14" s="199"/>
      <c r="BO14" s="199"/>
      <c r="BP14" s="199"/>
      <c r="BQ14" s="199"/>
      <c r="BR14" s="199"/>
      <c r="BS14" s="199"/>
      <c r="BT14" s="197"/>
      <c r="BU14" s="196"/>
      <c r="BV14" s="196"/>
      <c r="BW14" s="196"/>
      <c r="BX14" s="196"/>
      <c r="BY14" s="196"/>
      <c r="BZ14" s="196"/>
      <c r="CA14" s="197"/>
      <c r="CB14" s="199"/>
      <c r="CC14" s="199"/>
      <c r="CD14" s="199"/>
      <c r="CE14" s="199"/>
      <c r="CF14" s="199"/>
      <c r="CG14" s="199"/>
      <c r="CH14" s="197"/>
      <c r="CI14" s="196"/>
      <c r="CJ14" s="196"/>
      <c r="CK14" s="196"/>
      <c r="CL14" s="196"/>
      <c r="CM14" s="196"/>
      <c r="CN14" s="196"/>
      <c r="CO14" s="197"/>
      <c r="CP14" s="199"/>
      <c r="CQ14" s="199"/>
      <c r="CR14" s="199"/>
      <c r="CS14" s="199"/>
      <c r="CT14" s="199"/>
      <c r="CU14" s="199"/>
      <c r="CV14" s="197"/>
    </row>
    <row r="15" spans="1:100" ht="29.25" hidden="1" customHeight="1" x14ac:dyDescent="0.25">
      <c r="A15" s="465"/>
      <c r="B15" s="270" t="s">
        <v>150</v>
      </c>
      <c r="C15" s="196"/>
      <c r="D15" s="196"/>
      <c r="E15" s="196"/>
      <c r="F15" s="196"/>
      <c r="G15" s="196"/>
      <c r="H15" s="196"/>
      <c r="I15" s="197"/>
      <c r="J15" s="199"/>
      <c r="K15" s="199"/>
      <c r="L15" s="199"/>
      <c r="M15" s="199"/>
      <c r="N15" s="199"/>
      <c r="O15" s="199"/>
      <c r="P15" s="197"/>
      <c r="Q15" s="196"/>
      <c r="R15" s="196"/>
      <c r="S15" s="196"/>
      <c r="T15" s="196"/>
      <c r="U15" s="196"/>
      <c r="V15" s="195"/>
      <c r="W15" s="197"/>
      <c r="X15" s="196"/>
      <c r="Y15" s="196"/>
      <c r="Z15" s="196"/>
      <c r="AA15" s="196"/>
      <c r="AB15" s="196"/>
      <c r="AC15" s="196"/>
      <c r="AD15" s="197"/>
      <c r="AE15" s="196"/>
      <c r="AF15" s="196"/>
      <c r="AG15" s="196"/>
      <c r="AH15" s="196"/>
      <c r="AI15" s="196"/>
      <c r="AJ15" s="196"/>
      <c r="AK15" s="197"/>
      <c r="AL15" s="265"/>
      <c r="AM15" s="265"/>
      <c r="AN15" s="265"/>
      <c r="AO15" s="265"/>
      <c r="AP15" s="265"/>
      <c r="AQ15" s="196"/>
      <c r="AR15" s="197"/>
      <c r="AS15" s="196"/>
      <c r="AT15" s="196"/>
      <c r="AU15" s="196"/>
      <c r="AV15" s="196"/>
      <c r="AW15" s="196"/>
      <c r="AX15" s="196"/>
      <c r="AY15" s="197"/>
      <c r="AZ15" s="196"/>
      <c r="BA15" s="196"/>
      <c r="BB15" s="196"/>
      <c r="BC15" s="196"/>
      <c r="BD15" s="196"/>
      <c r="BE15" s="196"/>
      <c r="BF15" s="197"/>
      <c r="BG15" s="196"/>
      <c r="BH15" s="196"/>
      <c r="BI15" s="196"/>
      <c r="BJ15" s="196"/>
      <c r="BK15" s="196"/>
      <c r="BL15" s="196"/>
      <c r="BM15" s="197"/>
      <c r="BN15" s="199"/>
      <c r="BO15" s="199"/>
      <c r="BP15" s="199"/>
      <c r="BQ15" s="199"/>
      <c r="BR15" s="199"/>
      <c r="BS15" s="199"/>
      <c r="BT15" s="197"/>
      <c r="BU15" s="196"/>
      <c r="BV15" s="196"/>
      <c r="BW15" s="196"/>
      <c r="BX15" s="196"/>
      <c r="BY15" s="196"/>
      <c r="BZ15" s="196"/>
      <c r="CA15" s="197"/>
      <c r="CB15" s="199"/>
      <c r="CC15" s="199"/>
      <c r="CD15" s="199"/>
      <c r="CE15" s="199"/>
      <c r="CF15" s="199"/>
      <c r="CG15" s="199"/>
      <c r="CH15" s="197"/>
      <c r="CI15" s="196"/>
      <c r="CJ15" s="196"/>
      <c r="CK15" s="196"/>
      <c r="CL15" s="196"/>
      <c r="CM15" s="196"/>
      <c r="CN15" s="196"/>
      <c r="CO15" s="197"/>
      <c r="CP15" s="199"/>
      <c r="CQ15" s="199"/>
      <c r="CR15" s="199"/>
      <c r="CS15" s="199"/>
      <c r="CT15" s="199"/>
      <c r="CU15" s="199"/>
      <c r="CV15" s="197"/>
    </row>
    <row r="16" spans="1:100" ht="16.5" thickBot="1" x14ac:dyDescent="0.3">
      <c r="A16" s="465"/>
      <c r="B16" s="276" t="s">
        <v>106</v>
      </c>
      <c r="C16" s="196"/>
      <c r="D16" s="196"/>
      <c r="E16" s="196"/>
      <c r="F16" s="196"/>
      <c r="G16" s="196"/>
      <c r="H16" s="196"/>
      <c r="I16" s="197"/>
      <c r="J16" s="196"/>
      <c r="K16" s="196"/>
      <c r="L16" s="196"/>
      <c r="M16" s="196"/>
      <c r="N16" s="196"/>
      <c r="O16" s="196"/>
      <c r="P16" s="197"/>
      <c r="Q16" s="196"/>
      <c r="R16" s="196"/>
      <c r="S16" s="196"/>
      <c r="T16" s="196"/>
      <c r="U16" s="196"/>
      <c r="V16" s="196"/>
      <c r="W16" s="197"/>
      <c r="X16" s="265"/>
      <c r="Y16" s="265"/>
      <c r="Z16" s="265"/>
      <c r="AA16" s="265"/>
      <c r="AB16" s="265"/>
      <c r="AC16" s="265"/>
      <c r="AD16" s="197"/>
      <c r="AE16" s="196"/>
      <c r="AF16" s="196"/>
      <c r="AG16" s="196"/>
      <c r="AH16" s="196"/>
      <c r="AI16" s="196"/>
      <c r="AJ16" s="196"/>
      <c r="AK16" s="197"/>
      <c r="AL16" s="265"/>
      <c r="AM16" s="269"/>
      <c r="AN16" s="269"/>
      <c r="AO16" s="265"/>
      <c r="AP16" s="265"/>
      <c r="AQ16" s="196"/>
      <c r="AR16" s="197"/>
      <c r="AS16" s="196"/>
      <c r="AT16" s="196"/>
      <c r="AU16" s="196"/>
      <c r="AV16" s="196"/>
      <c r="AW16" s="196"/>
      <c r="AX16" s="196"/>
      <c r="AY16" s="197"/>
      <c r="AZ16" s="196"/>
      <c r="BA16" s="196"/>
      <c r="BB16" s="196"/>
      <c r="BC16" s="196"/>
      <c r="BD16" s="196"/>
      <c r="BE16" s="196"/>
      <c r="BF16" s="197"/>
      <c r="BG16" s="196"/>
      <c r="BH16" s="196"/>
      <c r="BI16" s="196"/>
      <c r="BJ16" s="196"/>
      <c r="BK16" s="196"/>
      <c r="BL16" s="196"/>
      <c r="BM16" s="197"/>
      <c r="BN16" s="199"/>
      <c r="BO16" s="199"/>
      <c r="BP16" s="199"/>
      <c r="BQ16" s="199"/>
      <c r="BR16" s="199"/>
      <c r="BS16" s="199"/>
      <c r="BT16" s="197"/>
      <c r="BU16" s="196"/>
      <c r="BV16" s="196"/>
      <c r="BW16" s="196"/>
      <c r="BX16" s="196"/>
      <c r="BY16" s="196"/>
      <c r="BZ16" s="196"/>
      <c r="CA16" s="197"/>
      <c r="CB16" s="199"/>
      <c r="CC16" s="199"/>
      <c r="CD16" s="199"/>
      <c r="CE16" s="199"/>
      <c r="CF16" s="199"/>
      <c r="CG16" s="199"/>
      <c r="CH16" s="197"/>
      <c r="CI16" s="196"/>
      <c r="CJ16" s="196"/>
      <c r="CK16" s="196"/>
      <c r="CL16" s="196"/>
      <c r="CM16" s="196"/>
      <c r="CN16" s="196"/>
      <c r="CO16" s="197"/>
      <c r="CP16" s="199"/>
      <c r="CQ16" s="199"/>
      <c r="CR16" s="199"/>
      <c r="CS16" s="199"/>
      <c r="CT16" s="199"/>
      <c r="CU16" s="199"/>
      <c r="CV16" s="197"/>
    </row>
    <row r="17" spans="1:100" ht="16.5" thickBot="1" x14ac:dyDescent="0.3">
      <c r="A17" s="465"/>
      <c r="B17" s="276" t="s">
        <v>107</v>
      </c>
      <c r="C17" s="196"/>
      <c r="D17" s="196"/>
      <c r="E17" s="196"/>
      <c r="F17" s="196"/>
      <c r="G17" s="196"/>
      <c r="H17" s="196"/>
      <c r="I17" s="197"/>
      <c r="J17" s="196"/>
      <c r="K17" s="196"/>
      <c r="L17" s="196"/>
      <c r="M17" s="196"/>
      <c r="N17" s="196"/>
      <c r="O17" s="196"/>
      <c r="P17" s="197"/>
      <c r="Q17" s="196"/>
      <c r="R17" s="196"/>
      <c r="S17" s="196"/>
      <c r="T17" s="196"/>
      <c r="U17" s="196"/>
      <c r="V17" s="196"/>
      <c r="W17" s="197"/>
      <c r="X17" s="265"/>
      <c r="Y17" s="265"/>
      <c r="Z17" s="265"/>
      <c r="AA17" s="265"/>
      <c r="AB17" s="265"/>
      <c r="AC17" s="265"/>
      <c r="AD17" s="197"/>
      <c r="AE17" s="265"/>
      <c r="AF17" s="265"/>
      <c r="AG17" s="265"/>
      <c r="AH17" s="265"/>
      <c r="AI17" s="265"/>
      <c r="AJ17" s="265"/>
      <c r="AK17" s="197"/>
      <c r="AL17" s="265"/>
      <c r="AM17" s="265"/>
      <c r="AN17" s="265"/>
      <c r="AO17" s="269"/>
      <c r="AP17" s="265"/>
      <c r="AQ17" s="196"/>
      <c r="AR17" s="197"/>
      <c r="AS17" s="265"/>
      <c r="AT17" s="265"/>
      <c r="AU17" s="265"/>
      <c r="AV17" s="265"/>
      <c r="AW17" s="265"/>
      <c r="AX17" s="196"/>
      <c r="AY17" s="197"/>
      <c r="AZ17" s="196"/>
      <c r="BA17" s="196"/>
      <c r="BB17" s="196"/>
      <c r="BC17" s="196"/>
      <c r="BD17" s="196"/>
      <c r="BE17" s="196"/>
      <c r="BF17" s="197"/>
      <c r="BG17" s="196"/>
      <c r="BH17" s="196"/>
      <c r="BI17" s="196"/>
      <c r="BJ17" s="196"/>
      <c r="BK17" s="196"/>
      <c r="BL17" s="196"/>
      <c r="BM17" s="197"/>
      <c r="BN17" s="199"/>
      <c r="BO17" s="199"/>
      <c r="BP17" s="199"/>
      <c r="BQ17" s="199"/>
      <c r="BR17" s="199"/>
      <c r="BS17" s="199"/>
      <c r="BT17" s="197"/>
      <c r="BU17" s="196"/>
      <c r="BV17" s="196"/>
      <c r="BW17" s="196"/>
      <c r="BX17" s="196"/>
      <c r="BY17" s="196"/>
      <c r="BZ17" s="196"/>
      <c r="CA17" s="197"/>
      <c r="CB17" s="199"/>
      <c r="CC17" s="199"/>
      <c r="CD17" s="199"/>
      <c r="CE17" s="199"/>
      <c r="CF17" s="199"/>
      <c r="CG17" s="199"/>
      <c r="CH17" s="197"/>
      <c r="CI17" s="196"/>
      <c r="CJ17" s="196"/>
      <c r="CK17" s="196"/>
      <c r="CL17" s="196"/>
      <c r="CM17" s="196"/>
      <c r="CN17" s="196"/>
      <c r="CO17" s="197"/>
      <c r="CP17" s="199"/>
      <c r="CQ17" s="199"/>
      <c r="CR17" s="199"/>
      <c r="CS17" s="199"/>
      <c r="CT17" s="199"/>
      <c r="CU17" s="199"/>
      <c r="CV17" s="197"/>
    </row>
    <row r="18" spans="1:100" ht="16.5" thickBot="1" x14ac:dyDescent="0.3">
      <c r="A18" s="465"/>
      <c r="B18" s="276" t="s">
        <v>151</v>
      </c>
      <c r="C18" s="196"/>
      <c r="D18" s="196"/>
      <c r="E18" s="196"/>
      <c r="F18" s="196"/>
      <c r="G18" s="196"/>
      <c r="H18" s="196"/>
      <c r="I18" s="197"/>
      <c r="J18" s="196"/>
      <c r="K18" s="196"/>
      <c r="L18" s="196"/>
      <c r="M18" s="196"/>
      <c r="N18" s="196"/>
      <c r="O18" s="196"/>
      <c r="P18" s="197"/>
      <c r="Q18" s="196"/>
      <c r="R18" s="196"/>
      <c r="S18" s="196"/>
      <c r="T18" s="196"/>
      <c r="U18" s="196"/>
      <c r="V18" s="196"/>
      <c r="W18" s="197"/>
      <c r="X18" s="265"/>
      <c r="Y18" s="265"/>
      <c r="Z18" s="265"/>
      <c r="AA18" s="265"/>
      <c r="AB18" s="265"/>
      <c r="AC18" s="265"/>
      <c r="AD18" s="197"/>
      <c r="AE18" s="265"/>
      <c r="AF18" s="265"/>
      <c r="AG18" s="265"/>
      <c r="AH18" s="265"/>
      <c r="AI18" s="265"/>
      <c r="AJ18" s="265"/>
      <c r="AK18" s="197"/>
      <c r="AL18" s="265"/>
      <c r="AM18" s="265"/>
      <c r="AN18" s="265"/>
      <c r="AO18" s="265"/>
      <c r="AP18" s="269"/>
      <c r="AQ18" s="269"/>
      <c r="AR18" s="197"/>
      <c r="AS18" s="269"/>
      <c r="AT18" s="265"/>
      <c r="AU18" s="265"/>
      <c r="AV18" s="265"/>
      <c r="AW18" s="265"/>
      <c r="AX18" s="196"/>
      <c r="AY18" s="197"/>
      <c r="AZ18" s="196"/>
      <c r="BA18" s="196"/>
      <c r="BB18" s="196"/>
      <c r="BC18" s="196"/>
      <c r="BD18" s="196"/>
      <c r="BE18" s="196"/>
      <c r="BF18" s="197"/>
      <c r="BG18" s="196"/>
      <c r="BH18" s="196"/>
      <c r="BI18" s="196"/>
      <c r="BJ18" s="196"/>
      <c r="BK18" s="196"/>
      <c r="BL18" s="196"/>
      <c r="BM18" s="197"/>
      <c r="BN18" s="199"/>
      <c r="BO18" s="199"/>
      <c r="BP18" s="199"/>
      <c r="BQ18" s="199"/>
      <c r="BR18" s="199"/>
      <c r="BS18" s="199"/>
      <c r="BT18" s="197"/>
      <c r="BU18" s="196"/>
      <c r="BV18" s="196"/>
      <c r="BW18" s="196"/>
      <c r="BX18" s="196"/>
      <c r="BY18" s="196"/>
      <c r="BZ18" s="196"/>
      <c r="CA18" s="197"/>
      <c r="CB18" s="199"/>
      <c r="CC18" s="199"/>
      <c r="CD18" s="199"/>
      <c r="CE18" s="199"/>
      <c r="CF18" s="199"/>
      <c r="CG18" s="199"/>
      <c r="CH18" s="197"/>
      <c r="CI18" s="196"/>
      <c r="CJ18" s="196"/>
      <c r="CK18" s="196"/>
      <c r="CL18" s="196"/>
      <c r="CM18" s="196"/>
      <c r="CN18" s="196"/>
      <c r="CO18" s="197"/>
      <c r="CP18" s="199"/>
      <c r="CQ18" s="199"/>
      <c r="CR18" s="199"/>
      <c r="CS18" s="199"/>
      <c r="CT18" s="199"/>
      <c r="CU18" s="199"/>
      <c r="CV18" s="197"/>
    </row>
    <row r="19" spans="1:100" ht="16.5" thickBot="1" x14ac:dyDescent="0.3">
      <c r="A19" s="465"/>
      <c r="B19" s="276" t="s">
        <v>108</v>
      </c>
      <c r="C19" s="196"/>
      <c r="D19" s="196"/>
      <c r="E19" s="196"/>
      <c r="F19" s="196"/>
      <c r="G19" s="196"/>
      <c r="H19" s="196"/>
      <c r="I19" s="197"/>
      <c r="J19" s="196"/>
      <c r="K19" s="196"/>
      <c r="L19" s="196"/>
      <c r="M19" s="196"/>
      <c r="N19" s="196"/>
      <c r="O19" s="196"/>
      <c r="P19" s="197"/>
      <c r="Q19" s="196"/>
      <c r="R19" s="196"/>
      <c r="S19" s="196"/>
      <c r="T19" s="196"/>
      <c r="U19" s="196"/>
      <c r="V19" s="196"/>
      <c r="W19" s="197"/>
      <c r="X19" s="265"/>
      <c r="Y19" s="265"/>
      <c r="Z19" s="265"/>
      <c r="AA19" s="265"/>
      <c r="AB19" s="265"/>
      <c r="AC19" s="265"/>
      <c r="AD19" s="197"/>
      <c r="AE19" s="265"/>
      <c r="AF19" s="265"/>
      <c r="AG19" s="265"/>
      <c r="AH19" s="265"/>
      <c r="AI19" s="265"/>
      <c r="AJ19" s="265"/>
      <c r="AK19" s="197"/>
      <c r="AL19" s="196"/>
      <c r="AM19" s="196"/>
      <c r="AN19" s="196"/>
      <c r="AO19" s="196"/>
      <c r="AP19" s="196"/>
      <c r="AQ19" s="196"/>
      <c r="AR19" s="197"/>
      <c r="AS19" s="265"/>
      <c r="AT19" s="269"/>
      <c r="AU19" s="269"/>
      <c r="AV19" s="269"/>
      <c r="AW19" s="265"/>
      <c r="AX19" s="196"/>
      <c r="AY19" s="197"/>
      <c r="AZ19" s="265"/>
      <c r="BA19" s="265"/>
      <c r="BB19" s="265"/>
      <c r="BC19" s="265"/>
      <c r="BD19" s="265"/>
      <c r="BE19" s="265"/>
      <c r="BF19" s="197"/>
      <c r="BG19" s="196"/>
      <c r="BH19" s="196"/>
      <c r="BI19" s="196"/>
      <c r="BJ19" s="196"/>
      <c r="BK19" s="196"/>
      <c r="BL19" s="196"/>
      <c r="BM19" s="197"/>
      <c r="BN19" s="199"/>
      <c r="BO19" s="199"/>
      <c r="BP19" s="199"/>
      <c r="BQ19" s="199"/>
      <c r="BR19" s="199"/>
      <c r="BS19" s="199"/>
      <c r="BT19" s="197"/>
      <c r="BU19" s="196"/>
      <c r="BV19" s="196"/>
      <c r="BW19" s="196"/>
      <c r="BX19" s="196"/>
      <c r="BY19" s="196"/>
      <c r="BZ19" s="196"/>
      <c r="CA19" s="197"/>
      <c r="CB19" s="199"/>
      <c r="CC19" s="199"/>
      <c r="CD19" s="199"/>
      <c r="CE19" s="199"/>
      <c r="CF19" s="199"/>
      <c r="CG19" s="199"/>
      <c r="CH19" s="197"/>
      <c r="CI19" s="196"/>
      <c r="CJ19" s="196"/>
      <c r="CK19" s="196"/>
      <c r="CL19" s="196"/>
      <c r="CM19" s="196"/>
      <c r="CN19" s="196"/>
      <c r="CO19" s="197"/>
      <c r="CP19" s="199"/>
      <c r="CQ19" s="199"/>
      <c r="CR19" s="199"/>
      <c r="CS19" s="199"/>
      <c r="CT19" s="199"/>
      <c r="CU19" s="199"/>
      <c r="CV19" s="197"/>
    </row>
    <row r="20" spans="1:100" ht="16.5" thickBot="1" x14ac:dyDescent="0.3">
      <c r="A20" s="379" t="s">
        <v>163</v>
      </c>
      <c r="B20" s="272" t="s">
        <v>222</v>
      </c>
      <c r="C20" s="196"/>
      <c r="D20" s="196"/>
      <c r="E20" s="196"/>
      <c r="F20" s="196"/>
      <c r="G20" s="196"/>
      <c r="H20" s="196"/>
      <c r="I20" s="197"/>
      <c r="J20" s="196"/>
      <c r="K20" s="196"/>
      <c r="L20" s="196"/>
      <c r="M20" s="196"/>
      <c r="N20" s="196"/>
      <c r="O20" s="196"/>
      <c r="P20" s="197"/>
      <c r="Q20" s="199"/>
      <c r="R20" s="199"/>
      <c r="S20" s="199"/>
      <c r="T20" s="199"/>
      <c r="U20" s="199"/>
      <c r="V20" s="199"/>
      <c r="W20" s="197"/>
      <c r="X20" s="199"/>
      <c r="Y20" s="199"/>
      <c r="Z20" s="199"/>
      <c r="AA20" s="199"/>
      <c r="AB20" s="199"/>
      <c r="AC20" s="199"/>
      <c r="AD20" s="197"/>
      <c r="AE20" s="265"/>
      <c r="AF20" s="265"/>
      <c r="AG20" s="266"/>
      <c r="AH20" s="265"/>
      <c r="AI20" s="266"/>
      <c r="AJ20" s="265"/>
      <c r="AK20" s="197"/>
      <c r="AL20" s="265"/>
      <c r="AM20" s="265"/>
      <c r="AN20" s="265"/>
      <c r="AO20" s="265"/>
      <c r="AP20" s="265"/>
      <c r="AQ20" s="265"/>
      <c r="AR20" s="197"/>
      <c r="AS20" s="265"/>
      <c r="AT20" s="265"/>
      <c r="AU20" s="265"/>
      <c r="AV20" s="265"/>
      <c r="AW20" s="269"/>
      <c r="AX20" s="269"/>
      <c r="AY20" s="197"/>
      <c r="AZ20" s="269"/>
      <c r="BA20" s="269"/>
      <c r="BB20" s="269"/>
      <c r="BC20" s="269"/>
      <c r="BD20" s="269"/>
      <c r="BE20" s="269"/>
      <c r="BF20" s="197"/>
      <c r="BG20" s="269"/>
      <c r="BH20" s="269"/>
      <c r="BI20" s="269"/>
      <c r="BJ20" s="269"/>
      <c r="BK20" s="269"/>
      <c r="BL20" s="269"/>
      <c r="BM20" s="197"/>
      <c r="BN20" s="269"/>
      <c r="BO20" s="269"/>
      <c r="BP20" s="269"/>
      <c r="BQ20" s="269"/>
      <c r="BR20" s="269"/>
      <c r="BS20" s="269"/>
      <c r="BT20" s="197"/>
      <c r="BU20" s="269"/>
      <c r="BV20" s="269"/>
      <c r="BW20" s="269"/>
      <c r="BX20" s="269"/>
      <c r="BY20" s="269"/>
      <c r="BZ20" s="269"/>
      <c r="CA20" s="197"/>
      <c r="CB20" s="269"/>
      <c r="CC20" s="269"/>
      <c r="CD20" s="269"/>
      <c r="CE20" s="269"/>
      <c r="CF20" s="269"/>
      <c r="CG20" s="269"/>
      <c r="CH20" s="197"/>
      <c r="CI20" s="269"/>
      <c r="CJ20" s="269"/>
      <c r="CK20" s="269"/>
      <c r="CL20" s="269"/>
      <c r="CM20" s="269"/>
      <c r="CN20" s="269"/>
      <c r="CO20" s="197"/>
      <c r="CP20" s="269"/>
      <c r="CQ20" s="269"/>
      <c r="CR20" s="265"/>
      <c r="CS20" s="199"/>
      <c r="CT20" s="199"/>
      <c r="CU20" s="199"/>
      <c r="CV20" s="197"/>
    </row>
    <row r="21" spans="1:100" ht="26.25" customHeight="1" thickBot="1" x14ac:dyDescent="0.3">
      <c r="A21" s="268" t="s">
        <v>172</v>
      </c>
      <c r="B21" s="270" t="s">
        <v>173</v>
      </c>
      <c r="C21" s="196"/>
      <c r="D21" s="196"/>
      <c r="E21" s="196"/>
      <c r="F21" s="196"/>
      <c r="G21" s="196"/>
      <c r="H21" s="196"/>
      <c r="I21" s="197"/>
      <c r="J21" s="196"/>
      <c r="K21" s="196"/>
      <c r="L21" s="196"/>
      <c r="M21" s="196"/>
      <c r="N21" s="196"/>
      <c r="O21" s="196"/>
      <c r="P21" s="197"/>
      <c r="Q21" s="199"/>
      <c r="R21" s="199"/>
      <c r="S21" s="199"/>
      <c r="T21" s="199"/>
      <c r="U21" s="199"/>
      <c r="V21" s="199"/>
      <c r="W21" s="197"/>
      <c r="X21" s="199"/>
      <c r="Y21" s="199"/>
      <c r="Z21" s="199"/>
      <c r="AA21" s="199"/>
      <c r="AB21" s="199"/>
      <c r="AC21" s="199"/>
      <c r="AD21" s="386"/>
      <c r="AE21" s="196"/>
      <c r="AF21" s="196"/>
      <c r="AG21" s="196"/>
      <c r="AH21" s="196"/>
      <c r="AI21" s="196"/>
      <c r="AJ21" s="196"/>
      <c r="AK21" s="197"/>
      <c r="AL21" s="265"/>
      <c r="AM21" s="265"/>
      <c r="AN21" s="265"/>
      <c r="AO21" s="265"/>
      <c r="AP21" s="265"/>
      <c r="AQ21" s="265"/>
      <c r="AR21" s="197"/>
      <c r="AS21" s="265"/>
      <c r="AT21" s="265"/>
      <c r="AU21" s="266"/>
      <c r="AV21" s="265"/>
      <c r="AW21" s="266"/>
      <c r="AX21" s="266"/>
      <c r="AY21" s="197"/>
      <c r="AZ21" s="265"/>
      <c r="BA21" s="265"/>
      <c r="BB21" s="265"/>
      <c r="BC21" s="265"/>
      <c r="BD21" s="265"/>
      <c r="BE21" s="265"/>
      <c r="BF21" s="197"/>
      <c r="BG21" s="265"/>
      <c r="BH21" s="265"/>
      <c r="BI21" s="265"/>
      <c r="BJ21" s="265"/>
      <c r="BK21" s="265"/>
      <c r="BL21" s="196"/>
      <c r="BM21" s="197"/>
      <c r="BN21" s="265"/>
      <c r="BO21" s="265"/>
      <c r="BP21" s="265"/>
      <c r="BQ21" s="265"/>
      <c r="BR21" s="265"/>
      <c r="BS21" s="199"/>
      <c r="BT21" s="197"/>
      <c r="BU21" s="265"/>
      <c r="BV21" s="265"/>
      <c r="BW21" s="265"/>
      <c r="BX21" s="265"/>
      <c r="BY21" s="265"/>
      <c r="BZ21" s="265"/>
      <c r="CA21" s="197"/>
      <c r="CB21" s="265"/>
      <c r="CC21" s="269"/>
      <c r="CD21" s="269"/>
      <c r="CE21" s="269"/>
      <c r="CF21" s="269"/>
      <c r="CG21" s="269"/>
      <c r="CH21" s="197"/>
      <c r="CI21" s="269"/>
      <c r="CJ21" s="269"/>
      <c r="CK21" s="269"/>
      <c r="CL21" s="269"/>
      <c r="CM21" s="269"/>
      <c r="CN21" s="265"/>
      <c r="CO21" s="386"/>
      <c r="CP21" s="381"/>
      <c r="CQ21" s="381"/>
      <c r="CR21" s="199"/>
      <c r="CS21" s="199"/>
      <c r="CT21" s="199"/>
      <c r="CU21" s="199"/>
      <c r="CV21" s="386"/>
    </row>
    <row r="22" spans="1:100" ht="28.5" customHeight="1" x14ac:dyDescent="0.25">
      <c r="A22" s="378" t="s">
        <v>174</v>
      </c>
      <c r="B22" s="271" t="s">
        <v>187</v>
      </c>
      <c r="C22" s="385"/>
      <c r="D22" s="385"/>
      <c r="E22" s="385"/>
      <c r="F22" s="385"/>
      <c r="G22" s="385"/>
      <c r="H22" s="385"/>
      <c r="I22" s="386"/>
      <c r="J22" s="385"/>
      <c r="K22" s="385"/>
      <c r="L22" s="385"/>
      <c r="M22" s="385"/>
      <c r="N22" s="385"/>
      <c r="O22" s="385"/>
      <c r="P22" s="386"/>
      <c r="Q22" s="385"/>
      <c r="R22" s="385"/>
      <c r="S22" s="385"/>
      <c r="T22" s="385"/>
      <c r="U22" s="385"/>
      <c r="V22" s="385"/>
      <c r="W22" s="386"/>
      <c r="X22" s="385"/>
      <c r="Y22" s="385"/>
      <c r="Z22" s="385"/>
      <c r="AA22" s="385"/>
      <c r="AB22" s="385"/>
      <c r="AC22" s="397"/>
      <c r="AD22" s="395"/>
      <c r="AE22" s="385"/>
      <c r="AF22" s="385"/>
      <c r="AG22" s="385"/>
      <c r="AH22" s="385"/>
      <c r="AI22" s="385"/>
      <c r="AJ22" s="385"/>
      <c r="AK22" s="386"/>
      <c r="AL22" s="385"/>
      <c r="AM22" s="385"/>
      <c r="AN22" s="385"/>
      <c r="AO22" s="385"/>
      <c r="AP22" s="385"/>
      <c r="AQ22" s="385"/>
      <c r="AR22" s="386"/>
      <c r="AS22" s="385"/>
      <c r="AT22" s="387"/>
      <c r="AU22" s="387"/>
      <c r="AV22" s="387"/>
      <c r="AW22" s="387"/>
      <c r="AX22" s="387"/>
      <c r="AY22" s="386"/>
      <c r="AZ22" s="388"/>
      <c r="BA22" s="388"/>
      <c r="BB22" s="389"/>
      <c r="BC22" s="388"/>
      <c r="BD22" s="389"/>
      <c r="BE22" s="389"/>
      <c r="BF22" s="386"/>
      <c r="BG22" s="388"/>
      <c r="BH22" s="388"/>
      <c r="BI22" s="388"/>
      <c r="BJ22" s="388"/>
      <c r="BK22" s="388"/>
      <c r="BL22" s="388"/>
      <c r="BM22" s="386"/>
      <c r="BN22" s="390"/>
      <c r="BO22" s="390"/>
      <c r="BP22" s="390"/>
      <c r="BQ22" s="390"/>
      <c r="BR22" s="390"/>
      <c r="BS22" s="390"/>
      <c r="BT22" s="386"/>
      <c r="BU22" s="388"/>
      <c r="BV22" s="388"/>
      <c r="BW22" s="388"/>
      <c r="BX22" s="388"/>
      <c r="BY22" s="388"/>
      <c r="BZ22" s="388"/>
      <c r="CA22" s="386"/>
      <c r="CB22" s="388"/>
      <c r="CC22" s="388"/>
      <c r="CD22" s="388"/>
      <c r="CE22" s="388"/>
      <c r="CF22" s="388"/>
      <c r="CG22" s="389"/>
      <c r="CH22" s="386"/>
      <c r="CI22" s="388"/>
      <c r="CJ22" s="388"/>
      <c r="CK22" s="388"/>
      <c r="CL22" s="388"/>
      <c r="CM22" s="391"/>
      <c r="CN22" s="396"/>
      <c r="CO22" s="395"/>
      <c r="CP22" s="392"/>
      <c r="CQ22" s="392"/>
      <c r="CR22" s="390"/>
      <c r="CS22" s="388"/>
      <c r="CT22" s="388"/>
      <c r="CU22" s="394"/>
      <c r="CV22" s="395"/>
    </row>
    <row r="23" spans="1:100" ht="26.25" customHeight="1" x14ac:dyDescent="0.25">
      <c r="A23" s="384" t="s">
        <v>224</v>
      </c>
      <c r="B23" s="276" t="s">
        <v>225</v>
      </c>
      <c r="C23" s="1"/>
      <c r="D23" s="1"/>
      <c r="E23" s="1"/>
      <c r="F23" s="1"/>
      <c r="G23" s="1"/>
      <c r="H23" s="1"/>
      <c r="I23" s="395"/>
      <c r="J23" s="157"/>
      <c r="K23" s="1"/>
      <c r="L23" s="1"/>
      <c r="M23" s="1"/>
      <c r="N23" s="1"/>
      <c r="O23" s="1"/>
      <c r="P23" s="395"/>
      <c r="Q23" s="157"/>
      <c r="R23" s="1"/>
      <c r="S23" s="1"/>
      <c r="T23" s="1"/>
      <c r="U23" s="1"/>
      <c r="V23" s="1"/>
      <c r="W23" s="395"/>
      <c r="X23" s="157"/>
      <c r="Y23" s="1"/>
      <c r="Z23" s="1"/>
      <c r="AA23" s="1"/>
      <c r="AB23" s="1"/>
      <c r="AC23" s="1"/>
      <c r="AD23" s="395"/>
      <c r="AE23" s="157"/>
      <c r="AF23" s="1"/>
      <c r="AG23" s="1"/>
      <c r="AH23" s="1"/>
      <c r="AI23" s="1"/>
      <c r="AJ23" s="1"/>
      <c r="AK23" s="395"/>
      <c r="AL23" s="157"/>
      <c r="AM23" s="1"/>
      <c r="AN23" s="1"/>
      <c r="AO23" s="1"/>
      <c r="AP23" s="1"/>
      <c r="AQ23" s="1"/>
      <c r="AR23" s="395"/>
      <c r="AS23" s="157"/>
      <c r="AT23" s="1"/>
      <c r="AU23" s="1"/>
      <c r="AV23" s="1"/>
      <c r="AW23" s="1"/>
      <c r="AX23" s="1"/>
      <c r="AY23" s="395"/>
      <c r="AZ23" s="157"/>
      <c r="BA23" s="1"/>
      <c r="BB23" s="1"/>
      <c r="BC23" s="1"/>
      <c r="BD23" s="1"/>
      <c r="BE23" s="1"/>
      <c r="BF23" s="395"/>
      <c r="BG23" s="157"/>
      <c r="BH23" s="1"/>
      <c r="BI23" s="1"/>
      <c r="BJ23" s="1"/>
      <c r="BK23" s="1"/>
      <c r="BL23" s="1"/>
      <c r="BM23" s="395"/>
      <c r="BN23" s="157"/>
      <c r="BO23" s="1"/>
      <c r="BP23" s="1"/>
      <c r="BQ23" s="1"/>
      <c r="BR23" s="1"/>
      <c r="BS23" s="1"/>
      <c r="BT23" s="395"/>
      <c r="BU23" s="157"/>
      <c r="BV23" s="1"/>
      <c r="BW23" s="1"/>
      <c r="BX23" s="1"/>
      <c r="BY23" s="1"/>
      <c r="BZ23" s="1"/>
      <c r="CA23" s="395"/>
      <c r="CB23" s="157"/>
      <c r="CC23" s="1"/>
      <c r="CD23" s="1"/>
      <c r="CE23" s="1"/>
      <c r="CF23" s="1"/>
      <c r="CG23" s="1"/>
      <c r="CH23" s="395"/>
      <c r="CI23" s="157"/>
      <c r="CJ23" s="1"/>
      <c r="CK23" s="1"/>
      <c r="CL23" s="1"/>
      <c r="CM23" s="1"/>
      <c r="CN23" s="95"/>
      <c r="CO23" s="395"/>
      <c r="CP23" s="157"/>
      <c r="CQ23" s="393"/>
      <c r="CR23" s="393"/>
      <c r="CS23" s="1"/>
      <c r="CT23" s="1"/>
      <c r="CU23" s="95"/>
      <c r="CV23" s="395"/>
    </row>
  </sheetData>
  <mergeCells count="26">
    <mergeCell ref="A1:CV2"/>
    <mergeCell ref="C3:P3"/>
    <mergeCell ref="Q3:AD3"/>
    <mergeCell ref="A6:A12"/>
    <mergeCell ref="BG3:BT3"/>
    <mergeCell ref="A4:B5"/>
    <mergeCell ref="C4:I4"/>
    <mergeCell ref="J4:P4"/>
    <mergeCell ref="Q4:W4"/>
    <mergeCell ref="X4:AD4"/>
    <mergeCell ref="AE4:AK4"/>
    <mergeCell ref="AL4:AR4"/>
    <mergeCell ref="AS4:AY4"/>
    <mergeCell ref="AZ4:BF4"/>
    <mergeCell ref="BU3:CH3"/>
    <mergeCell ref="BG4:BM4"/>
    <mergeCell ref="BU4:CA4"/>
    <mergeCell ref="CB4:CH4"/>
    <mergeCell ref="CI3:CV3"/>
    <mergeCell ref="CI4:CO4"/>
    <mergeCell ref="CP4:CV4"/>
    <mergeCell ref="A13:A19"/>
    <mergeCell ref="BN4:BT4"/>
    <mergeCell ref="A3:B3"/>
    <mergeCell ref="AE3:AR3"/>
    <mergeCell ref="AS3:BF3"/>
  </mergeCells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H15" sqref="H15"/>
    </sheetView>
  </sheetViews>
  <sheetFormatPr baseColWidth="10" defaultRowHeight="15" x14ac:dyDescent="0.25"/>
  <cols>
    <col min="2" max="2" width="16" customWidth="1"/>
  </cols>
  <sheetData>
    <row r="1" spans="1:6" x14ac:dyDescent="0.25">
      <c r="A1" s="656" t="s">
        <v>206</v>
      </c>
      <c r="B1" s="656"/>
      <c r="C1" s="656"/>
      <c r="D1" s="656"/>
      <c r="E1" s="656"/>
      <c r="F1" s="656"/>
    </row>
    <row r="2" spans="1:6" x14ac:dyDescent="0.25">
      <c r="A2" s="490" t="s">
        <v>263</v>
      </c>
      <c r="B2" s="490"/>
      <c r="C2" s="490"/>
      <c r="D2" s="490"/>
      <c r="E2" s="490"/>
      <c r="F2" s="490"/>
    </row>
    <row r="3" spans="1:6" x14ac:dyDescent="0.25">
      <c r="A3" s="490" t="s">
        <v>277</v>
      </c>
      <c r="B3" s="490"/>
      <c r="C3" s="490"/>
      <c r="D3" s="490"/>
      <c r="E3" s="490"/>
      <c r="F3" s="490"/>
    </row>
    <row r="4" spans="1:6" x14ac:dyDescent="0.25">
      <c r="A4" s="401"/>
      <c r="B4" s="401"/>
      <c r="C4" s="401"/>
      <c r="D4" s="401"/>
      <c r="E4" s="401"/>
      <c r="F4" s="401"/>
    </row>
    <row r="5" spans="1:6" x14ac:dyDescent="0.25">
      <c r="A5" s="490" t="s">
        <v>278</v>
      </c>
      <c r="B5" s="490"/>
      <c r="D5" s="490" t="s">
        <v>279</v>
      </c>
      <c r="E5" s="490"/>
      <c r="F5" s="490"/>
    </row>
    <row r="6" spans="1:6" x14ac:dyDescent="0.25">
      <c r="A6" s="454" t="s">
        <v>280</v>
      </c>
      <c r="B6" s="455">
        <f>+'Flujo de Efectivos'!J25</f>
        <v>-21125.758896666674</v>
      </c>
      <c r="C6" s="454"/>
      <c r="D6" s="456" t="s">
        <v>281</v>
      </c>
      <c r="F6" s="457">
        <v>0</v>
      </c>
    </row>
    <row r="7" spans="1:6" x14ac:dyDescent="0.25">
      <c r="A7" s="454"/>
      <c r="B7" s="454"/>
      <c r="C7" s="454"/>
      <c r="D7" s="454"/>
      <c r="E7" s="454"/>
      <c r="F7" s="457"/>
    </row>
    <row r="8" spans="1:6" x14ac:dyDescent="0.25">
      <c r="C8" s="454"/>
      <c r="F8" s="458"/>
    </row>
    <row r="9" spans="1:6" ht="30" x14ac:dyDescent="0.25">
      <c r="A9" s="459" t="s">
        <v>282</v>
      </c>
      <c r="B9" s="460">
        <f>+B6</f>
        <v>-21125.758896666674</v>
      </c>
      <c r="C9" s="454"/>
    </row>
    <row r="10" spans="1:6" x14ac:dyDescent="0.25">
      <c r="D10" s="490" t="s">
        <v>283</v>
      </c>
      <c r="E10" s="490"/>
      <c r="F10" s="490"/>
    </row>
    <row r="11" spans="1:6" x14ac:dyDescent="0.25">
      <c r="D11" t="s">
        <v>284</v>
      </c>
      <c r="F11">
        <f>'Estado de Perdidas y Ganacias'!F16</f>
        <v>7511.9492666666774</v>
      </c>
    </row>
    <row r="13" spans="1:6" x14ac:dyDescent="0.25">
      <c r="D13" t="s">
        <v>285</v>
      </c>
      <c r="E13" s="461">
        <f>+F6+F11</f>
        <v>7511.9492666666774</v>
      </c>
    </row>
  </sheetData>
  <mergeCells count="6">
    <mergeCell ref="D10:F10"/>
    <mergeCell ref="A1:F1"/>
    <mergeCell ref="A2:F2"/>
    <mergeCell ref="A3:F3"/>
    <mergeCell ref="A5:B5"/>
    <mergeCell ref="D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92"/>
  <sheetViews>
    <sheetView topLeftCell="B1" zoomScale="80" zoomScaleNormal="80" workbookViewId="0">
      <pane xSplit="2" ySplit="4" topLeftCell="J72" activePane="bottomRight" state="frozen"/>
      <selection activeCell="B1" sqref="B1"/>
      <selection pane="topRight" activeCell="D1" sqref="D1"/>
      <selection pane="bottomLeft" activeCell="B8" sqref="B8"/>
      <selection pane="bottomRight" activeCell="P87" sqref="P87"/>
    </sheetView>
  </sheetViews>
  <sheetFormatPr baseColWidth="10" defaultRowHeight="15" x14ac:dyDescent="0.25"/>
  <cols>
    <col min="2" max="2" width="37.28515625" customWidth="1"/>
    <col min="3" max="3" width="24.28515625" customWidth="1"/>
    <col min="4" max="4" width="13.140625" customWidth="1"/>
    <col min="6" max="6" width="24.7109375" customWidth="1"/>
    <col min="7" max="7" width="15.5703125" customWidth="1"/>
    <col min="8" max="8" width="14.85546875" customWidth="1"/>
    <col min="10" max="10" width="38.140625" customWidth="1"/>
    <col min="11" max="11" width="15.28515625" customWidth="1"/>
    <col min="12" max="12" width="19.28515625" customWidth="1"/>
    <col min="14" max="14" width="48.42578125" customWidth="1"/>
    <col min="15" max="15" width="13.85546875" customWidth="1"/>
    <col min="16" max="16" width="18.42578125" customWidth="1"/>
    <col min="17" max="17" width="17.140625" customWidth="1"/>
    <col min="18" max="18" width="25.85546875" customWidth="1"/>
    <col min="19" max="19" width="31.7109375" customWidth="1"/>
    <col min="20" max="20" width="20.7109375" customWidth="1"/>
    <col min="21" max="21" width="3.5703125" customWidth="1"/>
    <col min="22" max="22" width="31.85546875" customWidth="1"/>
    <col min="23" max="23" width="20.140625" customWidth="1"/>
    <col min="24" max="24" width="24.28515625" customWidth="1"/>
  </cols>
  <sheetData>
    <row r="1" spans="2:20" ht="27" customHeight="1" x14ac:dyDescent="0.25">
      <c r="B1" s="496" t="s">
        <v>175</v>
      </c>
      <c r="C1" s="497"/>
      <c r="D1" s="497"/>
      <c r="E1" s="497"/>
      <c r="F1" s="497"/>
      <c r="G1" s="497"/>
      <c r="H1" s="497"/>
      <c r="I1" s="497"/>
      <c r="J1" s="497"/>
      <c r="K1" s="497"/>
      <c r="L1" s="497"/>
      <c r="M1" s="497"/>
      <c r="N1" s="497"/>
      <c r="O1" s="497"/>
      <c r="P1" s="497"/>
      <c r="Q1" s="497"/>
    </row>
    <row r="2" spans="2:20" x14ac:dyDescent="0.25">
      <c r="B2" s="497"/>
      <c r="C2" s="497"/>
      <c r="D2" s="497"/>
      <c r="E2" s="497"/>
      <c r="F2" s="497"/>
      <c r="G2" s="497"/>
      <c r="H2" s="497"/>
      <c r="I2" s="497"/>
      <c r="J2" s="497"/>
      <c r="K2" s="497"/>
      <c r="L2" s="497"/>
      <c r="M2" s="497"/>
      <c r="N2" s="497"/>
      <c r="O2" s="497"/>
      <c r="P2" s="497"/>
      <c r="Q2" s="497"/>
    </row>
    <row r="3" spans="2:20" ht="15" customHeight="1" x14ac:dyDescent="0.25">
      <c r="B3" s="503" t="s">
        <v>20</v>
      </c>
      <c r="C3" s="503"/>
      <c r="D3" s="504" t="s">
        <v>43</v>
      </c>
      <c r="E3" s="502" t="s">
        <v>33</v>
      </c>
      <c r="F3" s="502"/>
      <c r="G3" s="502"/>
      <c r="H3" s="502"/>
      <c r="I3" s="502" t="s">
        <v>44</v>
      </c>
      <c r="J3" s="502"/>
      <c r="K3" s="502"/>
      <c r="L3" s="502"/>
      <c r="M3" s="502" t="s">
        <v>34</v>
      </c>
      <c r="N3" s="502"/>
      <c r="O3" s="502"/>
      <c r="P3" s="502"/>
      <c r="Q3" s="501" t="s">
        <v>45</v>
      </c>
    </row>
    <row r="4" spans="2:20" ht="15" customHeight="1" x14ac:dyDescent="0.25">
      <c r="B4" s="503"/>
      <c r="C4" s="503"/>
      <c r="D4" s="504"/>
      <c r="E4" s="278" t="s">
        <v>25</v>
      </c>
      <c r="F4" s="279" t="s">
        <v>37</v>
      </c>
      <c r="G4" s="279" t="s">
        <v>152</v>
      </c>
      <c r="H4" s="279" t="s">
        <v>36</v>
      </c>
      <c r="I4" s="278" t="s">
        <v>25</v>
      </c>
      <c r="J4" s="279" t="s">
        <v>37</v>
      </c>
      <c r="K4" s="279" t="s">
        <v>35</v>
      </c>
      <c r="L4" s="279" t="s">
        <v>36</v>
      </c>
      <c r="M4" s="278" t="s">
        <v>25</v>
      </c>
      <c r="N4" s="279" t="s">
        <v>37</v>
      </c>
      <c r="O4" s="279" t="s">
        <v>35</v>
      </c>
      <c r="P4" s="279" t="s">
        <v>36</v>
      </c>
      <c r="Q4" s="501"/>
      <c r="S4" s="527" t="s">
        <v>288</v>
      </c>
      <c r="T4" s="528"/>
    </row>
    <row r="5" spans="2:20" ht="15" customHeight="1" x14ac:dyDescent="0.25">
      <c r="B5" s="513" t="s">
        <v>165</v>
      </c>
      <c r="C5" s="499" t="s">
        <v>176</v>
      </c>
      <c r="D5" s="498">
        <v>4</v>
      </c>
      <c r="E5" s="287"/>
      <c r="F5" s="279"/>
      <c r="G5" s="279"/>
      <c r="H5" s="279"/>
      <c r="I5" s="287">
        <v>1</v>
      </c>
      <c r="J5" s="279" t="s">
        <v>189</v>
      </c>
      <c r="K5" s="288">
        <f>(14300/30)*D5</f>
        <v>1906.6666666666667</v>
      </c>
      <c r="L5" s="279">
        <f>K5*I5</f>
        <v>1906.6666666666667</v>
      </c>
      <c r="M5" s="287">
        <v>1</v>
      </c>
      <c r="N5" s="14" t="s">
        <v>188</v>
      </c>
      <c r="O5" s="288">
        <f>(30.75+71.67)</f>
        <v>102.42</v>
      </c>
      <c r="P5" s="288">
        <f t="shared" ref="P5:P10" si="0">O5*M5</f>
        <v>102.42</v>
      </c>
      <c r="Q5" s="500">
        <f>P11+L11+H11</f>
        <v>2524.7968666666666</v>
      </c>
    </row>
    <row r="6" spans="2:20" ht="15" customHeight="1" x14ac:dyDescent="0.25">
      <c r="B6" s="513"/>
      <c r="C6" s="499"/>
      <c r="D6" s="498"/>
      <c r="E6" s="287"/>
      <c r="F6" s="279"/>
      <c r="G6" s="279"/>
      <c r="H6" s="279"/>
      <c r="I6" s="287"/>
      <c r="J6" s="279"/>
      <c r="K6" s="288"/>
      <c r="L6" s="279"/>
      <c r="M6" s="287">
        <v>1</v>
      </c>
      <c r="N6" s="14" t="s">
        <v>42</v>
      </c>
      <c r="O6" s="288">
        <f>(((3897.09/5)/12)/30)*D5</f>
        <v>8.6601999999999997</v>
      </c>
      <c r="P6" s="288">
        <f t="shared" si="0"/>
        <v>8.6601999999999997</v>
      </c>
      <c r="Q6" s="500"/>
    </row>
    <row r="7" spans="2:20" ht="15" customHeight="1" x14ac:dyDescent="0.25">
      <c r="B7" s="513"/>
      <c r="C7" s="499"/>
      <c r="D7" s="498"/>
      <c r="E7" s="287"/>
      <c r="F7" s="279"/>
      <c r="G7" s="279"/>
      <c r="H7" s="279"/>
      <c r="I7" s="287"/>
      <c r="J7" s="279"/>
      <c r="K7" s="288"/>
      <c r="L7" s="279"/>
      <c r="M7" s="287">
        <v>1</v>
      </c>
      <c r="N7" s="14" t="s">
        <v>41</v>
      </c>
      <c r="O7" s="288">
        <f>L5*0.1</f>
        <v>190.66666666666669</v>
      </c>
      <c r="P7" s="288">
        <f t="shared" si="0"/>
        <v>190.66666666666669</v>
      </c>
      <c r="Q7" s="500"/>
    </row>
    <row r="8" spans="2:20" ht="15" customHeight="1" x14ac:dyDescent="0.25">
      <c r="B8" s="513"/>
      <c r="C8" s="499"/>
      <c r="D8" s="498"/>
      <c r="E8" s="287"/>
      <c r="F8" s="279"/>
      <c r="G8" s="279"/>
      <c r="H8" s="279"/>
      <c r="I8" s="287"/>
      <c r="J8" s="279"/>
      <c r="K8" s="288"/>
      <c r="L8" s="279"/>
      <c r="M8" s="287">
        <v>1</v>
      </c>
      <c r="N8" s="14" t="s">
        <v>154</v>
      </c>
      <c r="O8" s="288">
        <f>+(2.4*8)*D5</f>
        <v>76.8</v>
      </c>
      <c r="P8" s="288">
        <f t="shared" si="0"/>
        <v>76.8</v>
      </c>
      <c r="Q8" s="500"/>
    </row>
    <row r="9" spans="2:20" ht="15" customHeight="1" x14ac:dyDescent="0.25">
      <c r="B9" s="513"/>
      <c r="C9" s="499"/>
      <c r="D9" s="498"/>
      <c r="E9" s="287"/>
      <c r="F9" s="279"/>
      <c r="G9" s="279"/>
      <c r="H9" s="279"/>
      <c r="I9" s="287"/>
      <c r="J9" s="279"/>
      <c r="K9" s="288"/>
      <c r="L9" s="279"/>
      <c r="M9" s="287">
        <v>1</v>
      </c>
      <c r="N9" s="14" t="s">
        <v>198</v>
      </c>
      <c r="O9" s="288">
        <f>((((1995/3))/12)*3)</f>
        <v>166.25</v>
      </c>
      <c r="P9" s="288">
        <f t="shared" si="0"/>
        <v>166.25</v>
      </c>
      <c r="Q9" s="500"/>
    </row>
    <row r="10" spans="2:20" ht="15" customHeight="1" x14ac:dyDescent="0.25">
      <c r="B10" s="513"/>
      <c r="C10" s="499"/>
      <c r="D10" s="498"/>
      <c r="E10" s="287"/>
      <c r="F10" s="279"/>
      <c r="G10" s="279"/>
      <c r="H10" s="279"/>
      <c r="I10" s="287"/>
      <c r="J10" s="279"/>
      <c r="K10" s="288"/>
      <c r="L10" s="279"/>
      <c r="M10" s="287">
        <v>1</v>
      </c>
      <c r="N10" s="14" t="s">
        <v>19</v>
      </c>
      <c r="O10" s="288">
        <f>(550/30*D5)</f>
        <v>73.333333333333329</v>
      </c>
      <c r="P10" s="288">
        <f t="shared" si="0"/>
        <v>73.333333333333329</v>
      </c>
      <c r="Q10" s="500"/>
    </row>
    <row r="11" spans="2:20" ht="15" customHeight="1" x14ac:dyDescent="0.25">
      <c r="B11" s="513"/>
      <c r="C11" s="499"/>
      <c r="D11" s="498"/>
      <c r="E11" s="282"/>
      <c r="F11" s="282"/>
      <c r="G11" s="282"/>
      <c r="H11" s="286">
        <f>SUM(H5:H10)</f>
        <v>0</v>
      </c>
      <c r="I11" s="283"/>
      <c r="J11" s="283"/>
      <c r="K11" s="284"/>
      <c r="L11" s="284">
        <f>SUM(L5:L10)</f>
        <v>1906.6666666666667</v>
      </c>
      <c r="M11" s="289"/>
      <c r="N11" s="285"/>
      <c r="O11" s="284"/>
      <c r="P11" s="284">
        <f>SUM(P5:P10)</f>
        <v>618.13020000000006</v>
      </c>
      <c r="Q11" s="500"/>
    </row>
    <row r="12" spans="2:20" ht="15" customHeight="1" x14ac:dyDescent="0.25">
      <c r="B12" s="513"/>
      <c r="C12" s="514" t="s">
        <v>223</v>
      </c>
      <c r="D12" s="517">
        <v>5</v>
      </c>
      <c r="E12" s="281"/>
      <c r="F12" s="281"/>
      <c r="G12" s="281"/>
      <c r="H12" s="292"/>
      <c r="I12" s="293">
        <v>1</v>
      </c>
      <c r="J12" s="279" t="s">
        <v>189</v>
      </c>
      <c r="K12" s="262">
        <f>(14300/30)*D12</f>
        <v>2383.3333333333335</v>
      </c>
      <c r="L12" s="262">
        <f>K12*I12</f>
        <v>2383.3333333333335</v>
      </c>
      <c r="M12" s="287">
        <v>1</v>
      </c>
      <c r="N12" s="14" t="s">
        <v>188</v>
      </c>
      <c r="O12" s="262">
        <v>0</v>
      </c>
      <c r="P12" s="262">
        <f>O12*M12</f>
        <v>0</v>
      </c>
      <c r="Q12" s="509">
        <f>P17+L17+H17</f>
        <v>2820.1585833333334</v>
      </c>
    </row>
    <row r="13" spans="2:20" ht="15" customHeight="1" x14ac:dyDescent="0.25">
      <c r="B13" s="513"/>
      <c r="C13" s="515"/>
      <c r="D13" s="518"/>
      <c r="E13" s="281"/>
      <c r="F13" s="281"/>
      <c r="G13" s="281"/>
      <c r="H13" s="292"/>
      <c r="I13" s="293"/>
      <c r="J13" s="293"/>
      <c r="K13" s="262"/>
      <c r="L13" s="262"/>
      <c r="M13" s="287">
        <v>1</v>
      </c>
      <c r="N13" s="14" t="s">
        <v>42</v>
      </c>
      <c r="O13" s="262">
        <f>(((3897.09/5)/12)/30)*D12</f>
        <v>10.82525</v>
      </c>
      <c r="P13" s="262">
        <f t="shared" ref="P13:P16" si="1">O13*M13</f>
        <v>10.82525</v>
      </c>
      <c r="Q13" s="510"/>
    </row>
    <row r="14" spans="2:20" ht="15" customHeight="1" x14ac:dyDescent="0.25">
      <c r="B14" s="513"/>
      <c r="C14" s="515"/>
      <c r="D14" s="518"/>
      <c r="E14" s="281"/>
      <c r="F14" s="281"/>
      <c r="G14" s="281"/>
      <c r="H14" s="292"/>
      <c r="I14" s="293"/>
      <c r="J14" s="293"/>
      <c r="K14" s="262"/>
      <c r="L14" s="262"/>
      <c r="M14" s="287">
        <v>1</v>
      </c>
      <c r="N14" s="14" t="s">
        <v>41</v>
      </c>
      <c r="O14" s="262">
        <f>L12*0.1</f>
        <v>238.33333333333337</v>
      </c>
      <c r="P14" s="262">
        <f t="shared" si="1"/>
        <v>238.33333333333337</v>
      </c>
      <c r="Q14" s="510"/>
    </row>
    <row r="15" spans="2:20" ht="15" customHeight="1" x14ac:dyDescent="0.25">
      <c r="B15" s="513"/>
      <c r="C15" s="515"/>
      <c r="D15" s="518"/>
      <c r="E15" s="281"/>
      <c r="F15" s="281"/>
      <c r="G15" s="281"/>
      <c r="H15" s="292"/>
      <c r="I15" s="293"/>
      <c r="J15" s="293"/>
      <c r="K15" s="262"/>
      <c r="L15" s="262"/>
      <c r="M15" s="287">
        <v>1</v>
      </c>
      <c r="N15" s="14" t="s">
        <v>154</v>
      </c>
      <c r="O15" s="262">
        <f>+(2.4*8)*D12</f>
        <v>96</v>
      </c>
      <c r="P15" s="262">
        <f t="shared" si="1"/>
        <v>96</v>
      </c>
      <c r="Q15" s="510"/>
    </row>
    <row r="16" spans="2:20" ht="15" customHeight="1" x14ac:dyDescent="0.25">
      <c r="B16" s="513"/>
      <c r="C16" s="515"/>
      <c r="D16" s="518"/>
      <c r="E16" s="281"/>
      <c r="F16" s="281"/>
      <c r="G16" s="281"/>
      <c r="H16" s="292"/>
      <c r="I16" s="293"/>
      <c r="J16" s="293"/>
      <c r="K16" s="262"/>
      <c r="L16" s="262"/>
      <c r="M16" s="287">
        <v>1</v>
      </c>
      <c r="N16" s="14" t="s">
        <v>19</v>
      </c>
      <c r="O16" s="262">
        <f>(550/30*D12)</f>
        <v>91.666666666666657</v>
      </c>
      <c r="P16" s="262">
        <f t="shared" si="1"/>
        <v>91.666666666666657</v>
      </c>
      <c r="Q16" s="510"/>
    </row>
    <row r="17" spans="2:17" ht="15" customHeight="1" x14ac:dyDescent="0.25">
      <c r="B17" s="513"/>
      <c r="C17" s="516"/>
      <c r="D17" s="519"/>
      <c r="E17" s="382"/>
      <c r="F17" s="383"/>
      <c r="G17" s="383"/>
      <c r="H17" s="398">
        <f>SUM(H12:H16)</f>
        <v>0</v>
      </c>
      <c r="I17" s="383"/>
      <c r="J17" s="383"/>
      <c r="K17" s="383"/>
      <c r="L17" s="398">
        <f>SUM(L12:L16)</f>
        <v>2383.3333333333335</v>
      </c>
      <c r="M17" s="383"/>
      <c r="N17" s="383"/>
      <c r="O17" s="383"/>
      <c r="P17" s="399">
        <f>SUM(P12:P16)</f>
        <v>436.82524999999998</v>
      </c>
      <c r="Q17" s="510"/>
    </row>
    <row r="18" spans="2:17" ht="15" customHeight="1" x14ac:dyDescent="0.25">
      <c r="B18" s="513"/>
      <c r="C18" s="514" t="s">
        <v>180</v>
      </c>
      <c r="D18" s="517">
        <v>3</v>
      </c>
      <c r="E18" s="281"/>
      <c r="F18" s="281"/>
      <c r="G18" s="281"/>
      <c r="H18" s="292"/>
      <c r="I18" s="293">
        <v>1</v>
      </c>
      <c r="J18" s="279" t="s">
        <v>226</v>
      </c>
      <c r="K18" s="262">
        <f>(14300/30)*D18</f>
        <v>1430</v>
      </c>
      <c r="L18" s="262">
        <f>K18*I18</f>
        <v>1430</v>
      </c>
      <c r="M18" s="287">
        <v>1</v>
      </c>
      <c r="N18" s="14" t="s">
        <v>188</v>
      </c>
      <c r="O18" s="262">
        <v>0</v>
      </c>
      <c r="P18" s="262">
        <f>O18*M18</f>
        <v>0</v>
      </c>
      <c r="Q18" s="511">
        <f>P23+L23+H23</f>
        <v>1692.0951500000001</v>
      </c>
    </row>
    <row r="19" spans="2:17" ht="15" customHeight="1" x14ac:dyDescent="0.25">
      <c r="B19" s="513"/>
      <c r="C19" s="515"/>
      <c r="D19" s="518"/>
      <c r="E19" s="281"/>
      <c r="F19" s="281"/>
      <c r="G19" s="281"/>
      <c r="H19" s="292"/>
      <c r="I19" s="293"/>
      <c r="J19" s="293"/>
      <c r="K19" s="262"/>
      <c r="L19" s="262"/>
      <c r="M19" s="287">
        <v>1</v>
      </c>
      <c r="N19" s="14" t="s">
        <v>42</v>
      </c>
      <c r="O19" s="262">
        <f>(((3897.09/5)/12)/30)*D18</f>
        <v>6.4951499999999998</v>
      </c>
      <c r="P19" s="262">
        <f t="shared" ref="P19:P22" si="2">O19*M19</f>
        <v>6.4951499999999998</v>
      </c>
      <c r="Q19" s="511"/>
    </row>
    <row r="20" spans="2:17" ht="15" customHeight="1" x14ac:dyDescent="0.25">
      <c r="B20" s="513"/>
      <c r="C20" s="515"/>
      <c r="D20" s="518"/>
      <c r="E20" s="281"/>
      <c r="F20" s="281"/>
      <c r="G20" s="281"/>
      <c r="H20" s="292"/>
      <c r="I20" s="293"/>
      <c r="J20" s="293"/>
      <c r="K20" s="262"/>
      <c r="L20" s="262"/>
      <c r="M20" s="287">
        <v>1</v>
      </c>
      <c r="N20" s="14" t="s">
        <v>41</v>
      </c>
      <c r="O20" s="262">
        <f>L18*0.1</f>
        <v>143</v>
      </c>
      <c r="P20" s="262">
        <f t="shared" si="2"/>
        <v>143</v>
      </c>
      <c r="Q20" s="511"/>
    </row>
    <row r="21" spans="2:17" ht="15" customHeight="1" x14ac:dyDescent="0.25">
      <c r="B21" s="513"/>
      <c r="C21" s="515"/>
      <c r="D21" s="518"/>
      <c r="E21" s="281"/>
      <c r="F21" s="281"/>
      <c r="G21" s="281"/>
      <c r="H21" s="292"/>
      <c r="I21" s="293"/>
      <c r="J21" s="293"/>
      <c r="K21" s="262"/>
      <c r="L21" s="262"/>
      <c r="M21" s="287">
        <v>1</v>
      </c>
      <c r="N21" s="14" t="s">
        <v>154</v>
      </c>
      <c r="O21" s="262">
        <f>+(2.4*8)*D18</f>
        <v>57.599999999999994</v>
      </c>
      <c r="P21" s="262">
        <f t="shared" si="2"/>
        <v>57.599999999999994</v>
      </c>
      <c r="Q21" s="511"/>
    </row>
    <row r="22" spans="2:17" ht="15" customHeight="1" x14ac:dyDescent="0.25">
      <c r="B22" s="513"/>
      <c r="C22" s="515"/>
      <c r="D22" s="518"/>
      <c r="E22" s="281"/>
      <c r="F22" s="281"/>
      <c r="G22" s="281"/>
      <c r="H22" s="292"/>
      <c r="I22" s="293"/>
      <c r="J22" s="293"/>
      <c r="K22" s="262"/>
      <c r="L22" s="262"/>
      <c r="M22" s="287">
        <v>1</v>
      </c>
      <c r="N22" s="14" t="s">
        <v>19</v>
      </c>
      <c r="O22" s="262">
        <f>(550/30*D18)</f>
        <v>55</v>
      </c>
      <c r="P22" s="262">
        <f t="shared" si="2"/>
        <v>55</v>
      </c>
      <c r="Q22" s="511"/>
    </row>
    <row r="23" spans="2:17" ht="15" customHeight="1" x14ac:dyDescent="0.25">
      <c r="B23" s="513"/>
      <c r="C23" s="516"/>
      <c r="D23" s="519"/>
      <c r="E23" s="299"/>
      <c r="F23" s="299"/>
      <c r="G23" s="299"/>
      <c r="H23" s="304">
        <f>SUM(H18:H22)</f>
        <v>0</v>
      </c>
      <c r="I23" s="300"/>
      <c r="J23" s="300"/>
      <c r="K23" s="301"/>
      <c r="L23" s="301">
        <f>SUM(L18:L22)</f>
        <v>1430</v>
      </c>
      <c r="M23" s="302"/>
      <c r="N23" s="303"/>
      <c r="O23" s="301"/>
      <c r="P23" s="301">
        <f>SUM(P18:P22)</f>
        <v>262.09514999999999</v>
      </c>
      <c r="Q23" s="512"/>
    </row>
    <row r="24" spans="2:17" ht="15" customHeight="1" x14ac:dyDescent="0.25">
      <c r="B24" s="513"/>
      <c r="C24" s="499" t="s">
        <v>184</v>
      </c>
      <c r="D24" s="498">
        <v>4</v>
      </c>
      <c r="E24" s="281"/>
      <c r="F24" s="281"/>
      <c r="G24" s="281"/>
      <c r="H24" s="292"/>
      <c r="I24" s="293">
        <v>1</v>
      </c>
      <c r="J24" s="293" t="s">
        <v>226</v>
      </c>
      <c r="K24" s="262">
        <f>(14300/30)*D24</f>
        <v>1906.6666666666667</v>
      </c>
      <c r="L24" s="262">
        <f>K24*I24</f>
        <v>1906.6666666666667</v>
      </c>
      <c r="M24" s="287">
        <v>1</v>
      </c>
      <c r="N24" s="14" t="s">
        <v>42</v>
      </c>
      <c r="O24" s="262">
        <f>(((3897.09/5)/12)/30)*D24</f>
        <v>8.6601999999999997</v>
      </c>
      <c r="P24" s="262">
        <f>O24*M24</f>
        <v>8.6601999999999997</v>
      </c>
      <c r="Q24" s="507">
        <f>P28+L28+H28</f>
        <v>2256.1268666666665</v>
      </c>
    </row>
    <row r="25" spans="2:17" ht="15" customHeight="1" x14ac:dyDescent="0.25">
      <c r="B25" s="513"/>
      <c r="C25" s="499"/>
      <c r="D25" s="498"/>
      <c r="E25" s="281"/>
      <c r="F25" s="281"/>
      <c r="G25" s="281"/>
      <c r="H25" s="292"/>
      <c r="I25" s="293"/>
      <c r="J25" s="293"/>
      <c r="K25" s="262"/>
      <c r="L25" s="262"/>
      <c r="M25" s="287">
        <v>1</v>
      </c>
      <c r="N25" s="14" t="s">
        <v>41</v>
      </c>
      <c r="O25" s="262">
        <f>L24*0.1</f>
        <v>190.66666666666669</v>
      </c>
      <c r="P25" s="262">
        <f t="shared" ref="P25:P27" si="3">O25*M25</f>
        <v>190.66666666666669</v>
      </c>
      <c r="Q25" s="507"/>
    </row>
    <row r="26" spans="2:17" ht="15" customHeight="1" x14ac:dyDescent="0.25">
      <c r="B26" s="513"/>
      <c r="C26" s="499"/>
      <c r="D26" s="498"/>
      <c r="E26" s="281"/>
      <c r="F26" s="281"/>
      <c r="G26" s="281"/>
      <c r="H26" s="292"/>
      <c r="I26" s="293"/>
      <c r="J26" s="293"/>
      <c r="K26" s="262"/>
      <c r="L26" s="262"/>
      <c r="M26" s="287">
        <v>1</v>
      </c>
      <c r="N26" s="14" t="s">
        <v>154</v>
      </c>
      <c r="O26" s="262">
        <f>+(2.4*8)*D24</f>
        <v>76.8</v>
      </c>
      <c r="P26" s="262">
        <f t="shared" si="3"/>
        <v>76.8</v>
      </c>
      <c r="Q26" s="507"/>
    </row>
    <row r="27" spans="2:17" ht="15" customHeight="1" x14ac:dyDescent="0.25">
      <c r="B27" s="513"/>
      <c r="C27" s="499"/>
      <c r="D27" s="498"/>
      <c r="E27" s="281"/>
      <c r="F27" s="281"/>
      <c r="G27" s="281"/>
      <c r="H27" s="292"/>
      <c r="I27" s="293"/>
      <c r="J27" s="293"/>
      <c r="K27" s="262"/>
      <c r="L27" s="262"/>
      <c r="M27" s="287">
        <v>1</v>
      </c>
      <c r="N27" s="14" t="s">
        <v>19</v>
      </c>
      <c r="O27" s="262">
        <f>(550/30*D24)</f>
        <v>73.333333333333329</v>
      </c>
      <c r="P27" s="262">
        <f t="shared" si="3"/>
        <v>73.333333333333329</v>
      </c>
      <c r="Q27" s="507"/>
    </row>
    <row r="28" spans="2:17" ht="15" customHeight="1" x14ac:dyDescent="0.25">
      <c r="B28" s="513"/>
      <c r="C28" s="499"/>
      <c r="D28" s="498"/>
      <c r="E28" s="305"/>
      <c r="F28" s="305"/>
      <c r="G28" s="305"/>
      <c r="H28" s="307">
        <f>SUM(H24:H27)</f>
        <v>0</v>
      </c>
      <c r="I28" s="263"/>
      <c r="J28" s="263"/>
      <c r="K28" s="264"/>
      <c r="L28" s="264">
        <f>SUM(L24:L27)</f>
        <v>1906.6666666666667</v>
      </c>
      <c r="M28" s="291"/>
      <c r="N28" s="306"/>
      <c r="O28" s="264"/>
      <c r="P28" s="264">
        <f>SUM(P24:P27)</f>
        <v>349.46019999999999</v>
      </c>
      <c r="Q28" s="507"/>
    </row>
    <row r="29" spans="2:17" ht="15" customHeight="1" x14ac:dyDescent="0.25">
      <c r="B29" s="513"/>
      <c r="C29" s="499" t="s">
        <v>177</v>
      </c>
      <c r="D29" s="498">
        <v>2</v>
      </c>
      <c r="E29" s="281"/>
      <c r="F29" s="281"/>
      <c r="G29" s="281"/>
      <c r="H29" s="292"/>
      <c r="I29" s="293">
        <v>1</v>
      </c>
      <c r="J29" s="293" t="s">
        <v>226</v>
      </c>
      <c r="K29" s="262">
        <f>(14300/30)*D29</f>
        <v>953.33333333333337</v>
      </c>
      <c r="L29" s="262">
        <f>K29*I29</f>
        <v>953.33333333333337</v>
      </c>
      <c r="M29" s="287">
        <v>1</v>
      </c>
      <c r="N29" s="14" t="s">
        <v>40</v>
      </c>
      <c r="O29" s="288">
        <f>(80*D29)</f>
        <v>160</v>
      </c>
      <c r="P29" s="262">
        <f>O29*M29</f>
        <v>160</v>
      </c>
      <c r="Q29" s="508">
        <f>P32+L32+H32</f>
        <v>1378.6666666666667</v>
      </c>
    </row>
    <row r="30" spans="2:17" ht="15" customHeight="1" x14ac:dyDescent="0.25">
      <c r="B30" s="513"/>
      <c r="C30" s="499"/>
      <c r="D30" s="498"/>
      <c r="E30" s="281"/>
      <c r="F30" s="281"/>
      <c r="G30" s="281"/>
      <c r="H30" s="292"/>
      <c r="I30" s="293"/>
      <c r="J30" s="293"/>
      <c r="K30" s="262"/>
      <c r="L30" s="262"/>
      <c r="M30" s="287">
        <v>1</v>
      </c>
      <c r="N30" s="14" t="s">
        <v>41</v>
      </c>
      <c r="O30" s="288">
        <f>(L29+L30)*0.1</f>
        <v>95.333333333333343</v>
      </c>
      <c r="P30" s="262">
        <f t="shared" ref="P30" si="4">O30*M30</f>
        <v>95.333333333333343</v>
      </c>
      <c r="Q30" s="508"/>
    </row>
    <row r="31" spans="2:17" ht="15" customHeight="1" x14ac:dyDescent="0.25">
      <c r="B31" s="513"/>
      <c r="C31" s="499"/>
      <c r="D31" s="498"/>
      <c r="E31" s="281"/>
      <c r="F31" s="281"/>
      <c r="G31" s="281"/>
      <c r="H31" s="292"/>
      <c r="I31" s="293"/>
      <c r="J31" s="293"/>
      <c r="K31" s="262"/>
      <c r="L31" s="262"/>
      <c r="M31" s="287">
        <v>1</v>
      </c>
      <c r="N31" s="14" t="s">
        <v>190</v>
      </c>
      <c r="O31" s="288">
        <f>85*D29</f>
        <v>170</v>
      </c>
      <c r="P31" s="369">
        <f>O31*M31</f>
        <v>170</v>
      </c>
      <c r="Q31" s="508"/>
    </row>
    <row r="32" spans="2:17" ht="15" customHeight="1" x14ac:dyDescent="0.25">
      <c r="B32" s="513"/>
      <c r="C32" s="499"/>
      <c r="D32" s="498"/>
      <c r="E32" s="308"/>
      <c r="F32" s="308"/>
      <c r="G32" s="308"/>
      <c r="H32" s="309">
        <f>SUM(H29:H31)</f>
        <v>0</v>
      </c>
      <c r="I32" s="310"/>
      <c r="J32" s="310"/>
      <c r="K32" s="311"/>
      <c r="L32" s="311">
        <f>SUM(L29:L31)</f>
        <v>953.33333333333337</v>
      </c>
      <c r="M32" s="312"/>
      <c r="N32" s="313"/>
      <c r="O32" s="311"/>
      <c r="P32" s="311">
        <f>SUM(P29:P31)</f>
        <v>425.33333333333337</v>
      </c>
      <c r="Q32" s="508"/>
    </row>
    <row r="33" spans="2:20" ht="15" customHeight="1" x14ac:dyDescent="0.25">
      <c r="B33" s="513"/>
      <c r="C33" s="499" t="s">
        <v>178</v>
      </c>
      <c r="D33" s="498">
        <v>3</v>
      </c>
      <c r="E33" s="281"/>
      <c r="F33" s="281"/>
      <c r="G33" s="281"/>
      <c r="H33" s="292"/>
      <c r="I33" s="293">
        <v>1</v>
      </c>
      <c r="J33" s="293" t="s">
        <v>226</v>
      </c>
      <c r="K33" s="262">
        <f>(14300/30)*D33</f>
        <v>1430</v>
      </c>
      <c r="L33" s="262">
        <f>K33*I33</f>
        <v>1430</v>
      </c>
      <c r="M33" s="287">
        <v>1</v>
      </c>
      <c r="N33" s="14" t="s">
        <v>40</v>
      </c>
      <c r="O33" s="288">
        <f>(80*D33)</f>
        <v>240</v>
      </c>
      <c r="P33" s="262">
        <f>O33*M33</f>
        <v>240</v>
      </c>
      <c r="Q33" s="505">
        <f>P39+L39+H39</f>
        <v>2167.63</v>
      </c>
    </row>
    <row r="34" spans="2:20" ht="15" customHeight="1" x14ac:dyDescent="0.25">
      <c r="B34" s="513"/>
      <c r="C34" s="499"/>
      <c r="D34" s="498"/>
      <c r="E34" s="281"/>
      <c r="F34" s="281"/>
      <c r="G34" s="281"/>
      <c r="H34" s="292"/>
      <c r="I34" s="293"/>
      <c r="J34" s="293"/>
      <c r="K34" s="262"/>
      <c r="L34" s="262"/>
      <c r="M34" s="287">
        <v>1</v>
      </c>
      <c r="N34" s="14" t="s">
        <v>41</v>
      </c>
      <c r="O34" s="288">
        <f>(L33)*0.1</f>
        <v>143</v>
      </c>
      <c r="P34" s="262">
        <f t="shared" ref="P34" si="5">O34*M34</f>
        <v>143</v>
      </c>
      <c r="Q34" s="505"/>
    </row>
    <row r="35" spans="2:20" ht="15" customHeight="1" x14ac:dyDescent="0.25">
      <c r="B35" s="513"/>
      <c r="C35" s="499"/>
      <c r="D35" s="498"/>
      <c r="E35" s="281"/>
      <c r="F35" s="281"/>
      <c r="G35" s="281"/>
      <c r="H35" s="292"/>
      <c r="I35" s="293"/>
      <c r="J35" s="293"/>
      <c r="K35" s="262"/>
      <c r="L35" s="262"/>
      <c r="M35" s="287">
        <v>1</v>
      </c>
      <c r="N35" s="14" t="s">
        <v>190</v>
      </c>
      <c r="O35" s="288">
        <f>85*D33</f>
        <v>255</v>
      </c>
      <c r="P35" s="262">
        <f>O35*M35</f>
        <v>255</v>
      </c>
      <c r="Q35" s="505"/>
    </row>
    <row r="36" spans="2:20" ht="15" customHeight="1" x14ac:dyDescent="0.25">
      <c r="B36" s="513"/>
      <c r="C36" s="499"/>
      <c r="D36" s="498"/>
      <c r="E36" s="281"/>
      <c r="F36" s="281"/>
      <c r="G36" s="281"/>
      <c r="H36" s="292"/>
      <c r="I36" s="293"/>
      <c r="J36" s="293"/>
      <c r="K36" s="262"/>
      <c r="L36" s="262"/>
      <c r="M36" s="294">
        <v>1</v>
      </c>
      <c r="N36" s="295" t="s">
        <v>191</v>
      </c>
      <c r="O36" s="320">
        <v>15</v>
      </c>
      <c r="P36" s="262">
        <f t="shared" ref="P36:P38" si="6">O36*M36</f>
        <v>15</v>
      </c>
      <c r="Q36" s="505"/>
    </row>
    <row r="37" spans="2:20" ht="15" customHeight="1" x14ac:dyDescent="0.25">
      <c r="B37" s="513"/>
      <c r="C37" s="499"/>
      <c r="D37" s="498"/>
      <c r="E37" s="281"/>
      <c r="F37" s="281"/>
      <c r="G37" s="281"/>
      <c r="H37" s="292"/>
      <c r="I37" s="293"/>
      <c r="J37" s="293"/>
      <c r="K37" s="262"/>
      <c r="L37" s="262"/>
      <c r="M37" s="294">
        <v>3</v>
      </c>
      <c r="N37" s="295" t="s">
        <v>192</v>
      </c>
      <c r="O37" s="320">
        <v>18</v>
      </c>
      <c r="P37" s="262">
        <f t="shared" si="6"/>
        <v>54</v>
      </c>
      <c r="Q37" s="505"/>
    </row>
    <row r="38" spans="2:20" ht="15" customHeight="1" x14ac:dyDescent="0.25">
      <c r="B38" s="513"/>
      <c r="C38" s="499"/>
      <c r="D38" s="498"/>
      <c r="E38" s="280"/>
      <c r="F38" s="280"/>
      <c r="G38" s="280"/>
      <c r="H38" s="280"/>
      <c r="I38" s="267"/>
      <c r="J38" s="267"/>
      <c r="K38" s="260"/>
      <c r="L38" s="260"/>
      <c r="M38" s="290">
        <v>1</v>
      </c>
      <c r="N38" s="261" t="s">
        <v>193</v>
      </c>
      <c r="O38" s="260">
        <f>D33*10.21</f>
        <v>30.630000000000003</v>
      </c>
      <c r="P38" s="262">
        <f t="shared" si="6"/>
        <v>30.630000000000003</v>
      </c>
      <c r="Q38" s="505"/>
    </row>
    <row r="39" spans="2:20" ht="21" customHeight="1" x14ac:dyDescent="0.25">
      <c r="B39" s="513"/>
      <c r="C39" s="499"/>
      <c r="D39" s="498"/>
      <c r="E39" s="314"/>
      <c r="F39" s="314"/>
      <c r="G39" s="314"/>
      <c r="H39" s="318">
        <f>SUM(H33:H38)</f>
        <v>0</v>
      </c>
      <c r="I39" s="342"/>
      <c r="J39" s="342"/>
      <c r="K39" s="318"/>
      <c r="L39" s="318">
        <f>SUM(L33:L38)</f>
        <v>1430</v>
      </c>
      <c r="M39" s="315"/>
      <c r="N39" s="316"/>
      <c r="O39" s="317"/>
      <c r="P39" s="317">
        <f>SUM(P33:P38)</f>
        <v>737.63</v>
      </c>
      <c r="Q39" s="505"/>
    </row>
    <row r="40" spans="2:20" s="73" customFormat="1" ht="17.25" customHeight="1" x14ac:dyDescent="0.25">
      <c r="B40" s="513"/>
      <c r="C40" s="499" t="s">
        <v>179</v>
      </c>
      <c r="D40" s="498">
        <v>4</v>
      </c>
      <c r="E40" s="281"/>
      <c r="F40" s="281"/>
      <c r="G40" s="281"/>
      <c r="H40" s="292"/>
      <c r="I40" s="328">
        <v>1</v>
      </c>
      <c r="J40" s="328" t="s">
        <v>226</v>
      </c>
      <c r="K40" s="320">
        <f>(14300/30)*D40</f>
        <v>1906.6666666666667</v>
      </c>
      <c r="L40" s="320">
        <f>K40*I40</f>
        <v>1906.6666666666667</v>
      </c>
      <c r="M40" s="287">
        <v>1</v>
      </c>
      <c r="N40" s="14" t="s">
        <v>42</v>
      </c>
      <c r="O40" s="262">
        <f>(((3897.09/5)/12)/30)*D40</f>
        <v>8.6601999999999997</v>
      </c>
      <c r="P40" s="262">
        <f>O40*M40</f>
        <v>8.6601999999999997</v>
      </c>
      <c r="Q40" s="506">
        <f>P44+L44+H44</f>
        <v>2256.1268666666665</v>
      </c>
    </row>
    <row r="41" spans="2:20" s="73" customFormat="1" ht="17.25" customHeight="1" x14ac:dyDescent="0.25">
      <c r="B41" s="513"/>
      <c r="C41" s="499"/>
      <c r="D41" s="498"/>
      <c r="E41" s="281"/>
      <c r="F41" s="281"/>
      <c r="G41" s="281"/>
      <c r="H41" s="292"/>
      <c r="I41" s="328"/>
      <c r="J41" s="328"/>
      <c r="K41" s="320"/>
      <c r="L41" s="320"/>
      <c r="M41" s="287">
        <v>1</v>
      </c>
      <c r="N41" s="14" t="s">
        <v>41</v>
      </c>
      <c r="O41" s="262">
        <f>L40*0.1</f>
        <v>190.66666666666669</v>
      </c>
      <c r="P41" s="262">
        <f>O41*M41</f>
        <v>190.66666666666669</v>
      </c>
      <c r="Q41" s="506"/>
    </row>
    <row r="42" spans="2:20" s="73" customFormat="1" ht="17.25" customHeight="1" x14ac:dyDescent="0.25">
      <c r="B42" s="513"/>
      <c r="C42" s="499"/>
      <c r="D42" s="498"/>
      <c r="E42" s="281"/>
      <c r="F42" s="281"/>
      <c r="G42" s="281"/>
      <c r="H42" s="292"/>
      <c r="I42" s="328"/>
      <c r="J42" s="328"/>
      <c r="K42" s="320"/>
      <c r="L42" s="320"/>
      <c r="M42" s="287">
        <v>1</v>
      </c>
      <c r="N42" s="14" t="s">
        <v>154</v>
      </c>
      <c r="O42" s="262">
        <f>+(2.4*8)*D40</f>
        <v>76.8</v>
      </c>
      <c r="P42" s="262">
        <f>O42*M42</f>
        <v>76.8</v>
      </c>
      <c r="Q42" s="506"/>
    </row>
    <row r="43" spans="2:20" s="73" customFormat="1" ht="17.25" customHeight="1" x14ac:dyDescent="0.25">
      <c r="B43" s="513"/>
      <c r="C43" s="499"/>
      <c r="D43" s="498"/>
      <c r="E43" s="281"/>
      <c r="F43" s="281"/>
      <c r="G43" s="281"/>
      <c r="H43" s="292"/>
      <c r="I43" s="328"/>
      <c r="J43" s="328"/>
      <c r="K43" s="320"/>
      <c r="L43" s="320"/>
      <c r="M43" s="287">
        <v>1</v>
      </c>
      <c r="N43" s="14" t="s">
        <v>19</v>
      </c>
      <c r="O43" s="262">
        <f>(550/30*D40)</f>
        <v>73.333333333333329</v>
      </c>
      <c r="P43" s="262">
        <f>O43*M43</f>
        <v>73.333333333333329</v>
      </c>
      <c r="Q43" s="506"/>
    </row>
    <row r="44" spans="2:20" s="73" customFormat="1" ht="17.25" customHeight="1" x14ac:dyDescent="0.25">
      <c r="B44" s="513"/>
      <c r="C44" s="499"/>
      <c r="D44" s="498"/>
      <c r="E44" s="322"/>
      <c r="F44" s="322"/>
      <c r="G44" s="322"/>
      <c r="H44" s="324">
        <f>SUM(H40:H43)</f>
        <v>0</v>
      </c>
      <c r="I44" s="323"/>
      <c r="J44" s="323"/>
      <c r="K44" s="324"/>
      <c r="L44" s="324">
        <f>SUM(L40:L43)</f>
        <v>1906.6666666666667</v>
      </c>
      <c r="M44" s="325"/>
      <c r="N44" s="326"/>
      <c r="O44" s="327"/>
      <c r="P44" s="327">
        <f>SUM(P40:P43)</f>
        <v>349.46019999999999</v>
      </c>
      <c r="Q44" s="506"/>
    </row>
    <row r="45" spans="2:20" s="73" customFormat="1" ht="17.25" customHeight="1" x14ac:dyDescent="0.25">
      <c r="B45" s="513" t="s">
        <v>232</v>
      </c>
      <c r="C45" s="499" t="s">
        <v>181</v>
      </c>
      <c r="D45" s="498">
        <v>4</v>
      </c>
      <c r="E45" s="329"/>
      <c r="F45" s="329"/>
      <c r="G45" s="329"/>
      <c r="H45" s="262"/>
      <c r="I45" s="293">
        <v>1</v>
      </c>
      <c r="J45" s="293" t="s">
        <v>226</v>
      </c>
      <c r="K45" s="262">
        <f>(16300/30)*D45</f>
        <v>2173.3333333333335</v>
      </c>
      <c r="L45" s="262">
        <f>K45*I45</f>
        <v>2173.3333333333335</v>
      </c>
      <c r="M45" s="287">
        <v>1</v>
      </c>
      <c r="N45" s="14" t="s">
        <v>42</v>
      </c>
      <c r="O45" s="262">
        <f>(((3897.09/5)/12)/30)*D45</f>
        <v>8.6601999999999997</v>
      </c>
      <c r="P45" s="262">
        <f>O45*M45</f>
        <v>8.6601999999999997</v>
      </c>
      <c r="Q45" s="524">
        <f>P48+L48+H48</f>
        <v>2476.126866666667</v>
      </c>
    </row>
    <row r="46" spans="2:20" s="73" customFormat="1" ht="17.25" customHeight="1" x14ac:dyDescent="0.25">
      <c r="B46" s="513"/>
      <c r="C46" s="499"/>
      <c r="D46" s="498"/>
      <c r="E46" s="329"/>
      <c r="F46" s="329"/>
      <c r="G46" s="329"/>
      <c r="H46" s="262"/>
      <c r="I46" s="293"/>
      <c r="J46" s="293"/>
      <c r="K46" s="262"/>
      <c r="L46" s="262"/>
      <c r="M46" s="287">
        <v>1</v>
      </c>
      <c r="N46" s="14" t="s">
        <v>41</v>
      </c>
      <c r="O46" s="262">
        <f>(L45)*0.1</f>
        <v>217.33333333333337</v>
      </c>
      <c r="P46" s="262">
        <f>O46*M46</f>
        <v>217.33333333333337</v>
      </c>
      <c r="Q46" s="524"/>
      <c r="R46" s="486" t="s">
        <v>289</v>
      </c>
      <c r="S46" s="489"/>
      <c r="T46" s="489"/>
    </row>
    <row r="47" spans="2:20" s="73" customFormat="1" ht="17.25" customHeight="1" x14ac:dyDescent="0.25">
      <c r="B47" s="513"/>
      <c r="C47" s="499"/>
      <c r="D47" s="498"/>
      <c r="E47" s="329"/>
      <c r="F47" s="329"/>
      <c r="G47" s="329"/>
      <c r="H47" s="262"/>
      <c r="I47" s="293"/>
      <c r="J47" s="293"/>
      <c r="K47" s="262"/>
      <c r="L47" s="262"/>
      <c r="M47" s="287">
        <v>1</v>
      </c>
      <c r="N47" s="14" t="s">
        <v>154</v>
      </c>
      <c r="O47" s="262">
        <f>+(2.4*8)*D45</f>
        <v>76.8</v>
      </c>
      <c r="P47" s="262">
        <f>O47*M47</f>
        <v>76.8</v>
      </c>
      <c r="Q47" s="524"/>
      <c r="R47" s="488" t="s">
        <v>261</v>
      </c>
      <c r="S47" s="485"/>
      <c r="T47" s="485"/>
    </row>
    <row r="48" spans="2:20" s="73" customFormat="1" ht="17.25" customHeight="1" x14ac:dyDescent="0.25">
      <c r="B48" s="513"/>
      <c r="C48" s="499"/>
      <c r="D48" s="498"/>
      <c r="E48" s="343"/>
      <c r="F48" s="343"/>
      <c r="G48" s="343"/>
      <c r="H48" s="344">
        <f>SUM(H45:H47)</f>
        <v>0</v>
      </c>
      <c r="I48" s="345"/>
      <c r="J48" s="345"/>
      <c r="K48" s="344"/>
      <c r="L48" s="344">
        <f>SUM(L45:L47)</f>
        <v>2173.3333333333335</v>
      </c>
      <c r="M48" s="346"/>
      <c r="N48" s="344"/>
      <c r="O48" s="344"/>
      <c r="P48" s="344">
        <f>SUM(P45:P47)</f>
        <v>302.79353333333336</v>
      </c>
      <c r="Q48" s="524"/>
      <c r="R48" s="436" t="s">
        <v>257</v>
      </c>
      <c r="S48" s="438" t="s">
        <v>255</v>
      </c>
      <c r="T48" s="438" t="s">
        <v>256</v>
      </c>
    </row>
    <row r="49" spans="2:20" s="73" customFormat="1" ht="27" customHeight="1" x14ac:dyDescent="0.25">
      <c r="B49" s="513"/>
      <c r="C49" s="499" t="s">
        <v>182</v>
      </c>
      <c r="D49" s="498">
        <v>3</v>
      </c>
      <c r="E49" s="329"/>
      <c r="F49" s="329"/>
      <c r="G49" s="329"/>
      <c r="H49" s="262"/>
      <c r="I49" s="293">
        <v>1</v>
      </c>
      <c r="J49" s="293" t="s">
        <v>195</v>
      </c>
      <c r="K49" s="262">
        <f>(7010/30)*D49</f>
        <v>701</v>
      </c>
      <c r="L49" s="262">
        <f>K49*I49</f>
        <v>701</v>
      </c>
      <c r="M49" s="287">
        <v>1</v>
      </c>
      <c r="N49" s="14" t="s">
        <v>42</v>
      </c>
      <c r="O49" s="262">
        <f>(((3282.42/5)/12)/30)*D49</f>
        <v>5.4707000000000008</v>
      </c>
      <c r="P49" s="262">
        <f>O49*M49</f>
        <v>5.4707000000000008</v>
      </c>
      <c r="Q49" s="523">
        <f>P54+L54+H54</f>
        <v>1283.0457000000001</v>
      </c>
      <c r="R49" s="14" t="s">
        <v>42</v>
      </c>
      <c r="S49" s="262">
        <f>(((3718/5)/12)/30)*2</f>
        <v>4.1311111111111112</v>
      </c>
      <c r="T49" s="262">
        <f>(((3718/5)/12)/30)*1</f>
        <v>2.0655555555555556</v>
      </c>
    </row>
    <row r="50" spans="2:20" s="73" customFormat="1" ht="29.25" customHeight="1" x14ac:dyDescent="0.25">
      <c r="B50" s="513"/>
      <c r="C50" s="499"/>
      <c r="D50" s="498"/>
      <c r="E50" s="329"/>
      <c r="F50" s="329"/>
      <c r="G50" s="329"/>
      <c r="H50" s="262"/>
      <c r="I50" s="293"/>
      <c r="J50" s="293"/>
      <c r="K50" s="262"/>
      <c r="L50" s="262"/>
      <c r="M50" s="287">
        <v>1</v>
      </c>
      <c r="N50" s="14" t="s">
        <v>41</v>
      </c>
      <c r="O50" s="262">
        <f>(L49+L50)*0.1</f>
        <v>70.100000000000009</v>
      </c>
      <c r="P50" s="262">
        <f>O50*M50</f>
        <v>70.100000000000009</v>
      </c>
      <c r="Q50" s="523"/>
      <c r="R50" s="14" t="s">
        <v>41</v>
      </c>
      <c r="S50" s="262">
        <f>S54*0.1</f>
        <v>85.800000000000011</v>
      </c>
      <c r="T50" s="262">
        <f>T54*0.1</f>
        <v>23.366666666666667</v>
      </c>
    </row>
    <row r="51" spans="2:20" s="73" customFormat="1" ht="48.75" customHeight="1" x14ac:dyDescent="0.25">
      <c r="B51" s="513"/>
      <c r="C51" s="499"/>
      <c r="D51" s="498"/>
      <c r="E51" s="329"/>
      <c r="F51" s="329"/>
      <c r="G51" s="329"/>
      <c r="H51" s="262"/>
      <c r="I51" s="293"/>
      <c r="J51" s="293"/>
      <c r="K51" s="262"/>
      <c r="L51" s="262"/>
      <c r="M51" s="287">
        <v>1</v>
      </c>
      <c r="N51" s="14" t="s">
        <v>227</v>
      </c>
      <c r="O51" s="262">
        <f>((((1995/3))/12)*3)</f>
        <v>166.25</v>
      </c>
      <c r="P51" s="262">
        <f>O51*M51</f>
        <v>166.25</v>
      </c>
      <c r="Q51" s="523"/>
      <c r="R51" s="14" t="s">
        <v>227</v>
      </c>
      <c r="S51" s="262">
        <f>((((1995/3))/12)*2)</f>
        <v>110.83333333333333</v>
      </c>
      <c r="T51" s="262">
        <f>((((1995/3))/12)*1)</f>
        <v>55.416666666666664</v>
      </c>
    </row>
    <row r="52" spans="2:20" s="73" customFormat="1" ht="54" customHeight="1" x14ac:dyDescent="0.25">
      <c r="B52" s="513"/>
      <c r="C52" s="499"/>
      <c r="D52" s="498"/>
      <c r="E52" s="329"/>
      <c r="F52" s="329"/>
      <c r="G52" s="329"/>
      <c r="H52" s="262"/>
      <c r="I52" s="293"/>
      <c r="J52" s="293"/>
      <c r="K52" s="262"/>
      <c r="L52" s="262"/>
      <c r="M52" s="287">
        <v>1</v>
      </c>
      <c r="N52" s="14" t="s">
        <v>199</v>
      </c>
      <c r="O52" s="262">
        <f>((((3391.5/3))/12)*3)</f>
        <v>282.625</v>
      </c>
      <c r="P52" s="262">
        <f>O52*M52</f>
        <v>282.625</v>
      </c>
      <c r="Q52" s="523"/>
      <c r="R52" s="14" t="s">
        <v>200</v>
      </c>
      <c r="S52" s="262">
        <f>((((3391.5/3))/12)*2)</f>
        <v>188.41666666666666</v>
      </c>
      <c r="T52" s="262">
        <f>((((3391.5/3))/12)*1)</f>
        <v>94.208333333333329</v>
      </c>
    </row>
    <row r="53" spans="2:20" s="73" customFormat="1" ht="17.25" customHeight="1" x14ac:dyDescent="0.25">
      <c r="B53" s="513"/>
      <c r="C53" s="499"/>
      <c r="D53" s="498"/>
      <c r="E53" s="329"/>
      <c r="F53" s="329"/>
      <c r="G53" s="329"/>
      <c r="H53" s="262"/>
      <c r="I53" s="293"/>
      <c r="J53" s="293"/>
      <c r="K53" s="262"/>
      <c r="L53" s="262"/>
      <c r="M53" s="287">
        <v>1</v>
      </c>
      <c r="N53" s="14" t="s">
        <v>154</v>
      </c>
      <c r="O53" s="262">
        <f>+(2.4*8)*D49</f>
        <v>57.599999999999994</v>
      </c>
      <c r="P53" s="262">
        <f>O53*M53</f>
        <v>57.599999999999994</v>
      </c>
      <c r="Q53" s="523"/>
      <c r="R53" s="14" t="s">
        <v>154</v>
      </c>
      <c r="S53" s="262">
        <f>+(2.4*8)*2</f>
        <v>38.4</v>
      </c>
      <c r="T53" s="262">
        <f>+(2.4*8)*1</f>
        <v>19.2</v>
      </c>
    </row>
    <row r="54" spans="2:20" s="73" customFormat="1" ht="17.25" customHeight="1" x14ac:dyDescent="0.25">
      <c r="B54" s="513"/>
      <c r="C54" s="499"/>
      <c r="D54" s="498"/>
      <c r="E54" s="347"/>
      <c r="F54" s="347"/>
      <c r="G54" s="347"/>
      <c r="H54" s="297">
        <f>SUM(H49:H53)</f>
        <v>0</v>
      </c>
      <c r="I54" s="296"/>
      <c r="J54" s="296"/>
      <c r="K54" s="297"/>
      <c r="L54" s="297">
        <f>SUM(L49:L53)</f>
        <v>701</v>
      </c>
      <c r="M54" s="298"/>
      <c r="N54" s="297"/>
      <c r="O54" s="297"/>
      <c r="P54" s="297">
        <f>SUM(P49:P53)</f>
        <v>582.04570000000001</v>
      </c>
      <c r="Q54" s="523"/>
      <c r="R54" s="293" t="s">
        <v>196</v>
      </c>
      <c r="S54" s="262">
        <f>(12870/30)*2</f>
        <v>858</v>
      </c>
      <c r="T54" s="262">
        <f>(7010/30)*1</f>
        <v>233.66666666666666</v>
      </c>
    </row>
    <row r="55" spans="2:20" s="73" customFormat="1" ht="17.25" customHeight="1" x14ac:dyDescent="0.25">
      <c r="B55" s="513"/>
      <c r="C55" s="499" t="s">
        <v>128</v>
      </c>
      <c r="D55" s="498">
        <v>2</v>
      </c>
      <c r="E55" s="329"/>
      <c r="F55" s="329"/>
      <c r="G55" s="329"/>
      <c r="H55" s="262"/>
      <c r="I55" s="293">
        <v>1</v>
      </c>
      <c r="J55" s="293" t="s">
        <v>195</v>
      </c>
      <c r="K55" s="262">
        <f>(7010/30)*D55</f>
        <v>467.33333333333331</v>
      </c>
      <c r="L55" s="262">
        <f>K55*I55</f>
        <v>467.33333333333331</v>
      </c>
      <c r="M55" s="287">
        <v>1</v>
      </c>
      <c r="N55" s="14" t="s">
        <v>42</v>
      </c>
      <c r="O55" s="262">
        <f>(((3282.42/5)/12)/30)*D55</f>
        <v>3.6471333333333336</v>
      </c>
      <c r="P55" s="262">
        <f>O55*M55</f>
        <v>3.6471333333333336</v>
      </c>
      <c r="Q55" s="538">
        <f>P58+L58+H58</f>
        <v>556.11379999999997</v>
      </c>
    </row>
    <row r="56" spans="2:20" s="73" customFormat="1" ht="17.25" customHeight="1" x14ac:dyDescent="0.25">
      <c r="B56" s="513"/>
      <c r="C56" s="499"/>
      <c r="D56" s="498"/>
      <c r="E56" s="329"/>
      <c r="F56" s="329"/>
      <c r="G56" s="329"/>
      <c r="H56" s="262"/>
      <c r="I56" s="293"/>
      <c r="J56" s="293"/>
      <c r="K56" s="262"/>
      <c r="L56" s="262"/>
      <c r="M56" s="287">
        <v>1</v>
      </c>
      <c r="N56" s="14" t="s">
        <v>41</v>
      </c>
      <c r="O56" s="262">
        <f>(L55+L56)*0.1</f>
        <v>46.733333333333334</v>
      </c>
      <c r="P56" s="262">
        <f>O56*M56</f>
        <v>46.733333333333334</v>
      </c>
      <c r="Q56" s="539"/>
    </row>
    <row r="57" spans="2:20" s="73" customFormat="1" ht="17.25" customHeight="1" x14ac:dyDescent="0.25">
      <c r="B57" s="513"/>
      <c r="C57" s="499"/>
      <c r="D57" s="498"/>
      <c r="E57" s="329"/>
      <c r="F57" s="329"/>
      <c r="G57" s="329"/>
      <c r="H57" s="262"/>
      <c r="I57" s="293"/>
      <c r="J57" s="293"/>
      <c r="K57" s="262"/>
      <c r="L57" s="262"/>
      <c r="M57" s="287">
        <v>1</v>
      </c>
      <c r="N57" s="14" t="s">
        <v>154</v>
      </c>
      <c r="O57" s="262">
        <f>+(2.4*8)*D55</f>
        <v>38.4</v>
      </c>
      <c r="P57" s="262">
        <f>O57*M57</f>
        <v>38.4</v>
      </c>
      <c r="Q57" s="539"/>
    </row>
    <row r="58" spans="2:20" s="73" customFormat="1" ht="17.25" customHeight="1" x14ac:dyDescent="0.25">
      <c r="B58" s="513"/>
      <c r="C58" s="499"/>
      <c r="D58" s="498"/>
      <c r="E58" s="348"/>
      <c r="F58" s="348"/>
      <c r="G58" s="348"/>
      <c r="H58" s="349">
        <f>SUM(H55:H57)</f>
        <v>0</v>
      </c>
      <c r="I58" s="350"/>
      <c r="J58" s="350"/>
      <c r="K58" s="349"/>
      <c r="L58" s="349">
        <f>SUM(L55:L57)</f>
        <v>467.33333333333331</v>
      </c>
      <c r="M58" s="351"/>
      <c r="N58" s="349"/>
      <c r="O58" s="349"/>
      <c r="P58" s="349">
        <f>SUM(P55:P57)</f>
        <v>88.780466666666669</v>
      </c>
      <c r="Q58" s="540"/>
    </row>
    <row r="59" spans="2:20" s="73" customFormat="1" ht="17.25" customHeight="1" x14ac:dyDescent="0.25">
      <c r="B59" s="513"/>
      <c r="C59" s="499" t="s">
        <v>127</v>
      </c>
      <c r="D59" s="498">
        <v>1</v>
      </c>
      <c r="E59" s="329"/>
      <c r="F59" s="329"/>
      <c r="G59" s="329"/>
      <c r="H59" s="262"/>
      <c r="I59" s="293">
        <v>1</v>
      </c>
      <c r="J59" s="293" t="s">
        <v>195</v>
      </c>
      <c r="K59" s="262">
        <f>(7010/30)*D59</f>
        <v>233.66666666666666</v>
      </c>
      <c r="L59" s="262">
        <f>K59*I59</f>
        <v>233.66666666666666</v>
      </c>
      <c r="M59" s="287">
        <v>1</v>
      </c>
      <c r="N59" s="14" t="s">
        <v>42</v>
      </c>
      <c r="O59" s="262">
        <f>(((3282.42/5)/12)/30)*D59</f>
        <v>1.8235666666666668</v>
      </c>
      <c r="P59" s="262">
        <f>O59*M59</f>
        <v>1.8235666666666668</v>
      </c>
      <c r="Q59" s="541">
        <f>P62+L62+H62</f>
        <v>278.05689999999998</v>
      </c>
      <c r="S59" s="490" t="s">
        <v>258</v>
      </c>
      <c r="T59" s="490"/>
    </row>
    <row r="60" spans="2:20" s="73" customFormat="1" ht="17.25" customHeight="1" x14ac:dyDescent="0.25">
      <c r="B60" s="513"/>
      <c r="C60" s="499"/>
      <c r="D60" s="498"/>
      <c r="E60" s="329"/>
      <c r="F60" s="329"/>
      <c r="G60" s="329"/>
      <c r="H60" s="262"/>
      <c r="I60" s="293"/>
      <c r="J60" s="293"/>
      <c r="K60" s="262"/>
      <c r="L60" s="262"/>
      <c r="M60" s="287">
        <v>1</v>
      </c>
      <c r="N60" s="14" t="s">
        <v>41</v>
      </c>
      <c r="O60" s="262">
        <f>(L59+L60)*0.1</f>
        <v>23.366666666666667</v>
      </c>
      <c r="P60" s="262">
        <f>O60*M60</f>
        <v>23.366666666666667</v>
      </c>
      <c r="Q60" s="541"/>
      <c r="S60" s="485" t="s">
        <v>261</v>
      </c>
      <c r="T60" s="485"/>
    </row>
    <row r="61" spans="2:20" s="73" customFormat="1" ht="17.25" customHeight="1" x14ac:dyDescent="0.25">
      <c r="B61" s="513"/>
      <c r="C61" s="499"/>
      <c r="D61" s="498"/>
      <c r="E61" s="329"/>
      <c r="F61" s="329"/>
      <c r="G61" s="329"/>
      <c r="H61" s="262"/>
      <c r="I61" s="293"/>
      <c r="J61" s="293"/>
      <c r="K61" s="262"/>
      <c r="L61" s="262"/>
      <c r="M61" s="287">
        <v>1</v>
      </c>
      <c r="N61" s="14" t="s">
        <v>154</v>
      </c>
      <c r="O61" s="262">
        <f>+(2.4*8)*D59</f>
        <v>19.2</v>
      </c>
      <c r="P61" s="262">
        <f>O61*M61</f>
        <v>19.2</v>
      </c>
      <c r="Q61" s="541"/>
      <c r="S61" s="436" t="s">
        <v>257</v>
      </c>
      <c r="T61" s="438" t="s">
        <v>256</v>
      </c>
    </row>
    <row r="62" spans="2:20" s="73" customFormat="1" ht="30.75" customHeight="1" x14ac:dyDescent="0.25">
      <c r="B62" s="513"/>
      <c r="C62" s="499"/>
      <c r="D62" s="498"/>
      <c r="E62" s="352"/>
      <c r="F62" s="352"/>
      <c r="G62" s="352"/>
      <c r="H62" s="331">
        <f>SUM(H59:H61)</f>
        <v>0</v>
      </c>
      <c r="I62" s="353"/>
      <c r="J62" s="353"/>
      <c r="K62" s="331"/>
      <c r="L62" s="331">
        <f>SUM(L59:L61)</f>
        <v>233.66666666666666</v>
      </c>
      <c r="M62" s="330"/>
      <c r="N62" s="331"/>
      <c r="O62" s="331"/>
      <c r="P62" s="331">
        <f>SUM(P59:P61)</f>
        <v>44.390233333333335</v>
      </c>
      <c r="Q62" s="541"/>
      <c r="S62" s="14" t="s">
        <v>42</v>
      </c>
      <c r="T62" s="262">
        <f>(((3897.09/5)/12)/30)*6</f>
        <v>12.9903</v>
      </c>
    </row>
    <row r="63" spans="2:20" s="73" customFormat="1" ht="42.75" customHeight="1" x14ac:dyDescent="0.25">
      <c r="B63" s="513"/>
      <c r="C63" s="499" t="s">
        <v>157</v>
      </c>
      <c r="D63" s="498">
        <v>3</v>
      </c>
      <c r="E63" s="329"/>
      <c r="F63" s="329"/>
      <c r="G63" s="329"/>
      <c r="H63" s="262"/>
      <c r="I63" s="293">
        <v>1</v>
      </c>
      <c r="J63" s="293" t="s">
        <v>196</v>
      </c>
      <c r="K63" s="262">
        <f>(12870/30)*D63</f>
        <v>1287</v>
      </c>
      <c r="L63" s="262">
        <f>K63*I63</f>
        <v>1287</v>
      </c>
      <c r="M63" s="287">
        <v>1</v>
      </c>
      <c r="N63" s="14" t="s">
        <v>42</v>
      </c>
      <c r="O63" s="262">
        <f>(((3718/5)/12)/30)*D63</f>
        <v>6.1966666666666672</v>
      </c>
      <c r="P63" s="262">
        <f>O63*M63</f>
        <v>6.1966666666666672</v>
      </c>
      <c r="Q63" s="526">
        <f>P68+L68+H68</f>
        <v>1928.3716666666667</v>
      </c>
      <c r="S63" s="14" t="s">
        <v>41</v>
      </c>
      <c r="T63" s="262">
        <f>(T66+T67)*0.1</f>
        <v>462.8</v>
      </c>
    </row>
    <row r="64" spans="2:20" s="73" customFormat="1" ht="17.25" customHeight="1" x14ac:dyDescent="0.25">
      <c r="B64" s="513"/>
      <c r="C64" s="499"/>
      <c r="D64" s="498"/>
      <c r="E64" s="329"/>
      <c r="F64" s="329"/>
      <c r="G64" s="329"/>
      <c r="H64" s="262"/>
      <c r="I64" s="293"/>
      <c r="J64" s="293"/>
      <c r="K64" s="262"/>
      <c r="L64" s="262"/>
      <c r="M64" s="287">
        <v>1</v>
      </c>
      <c r="N64" s="14" t="s">
        <v>41</v>
      </c>
      <c r="O64" s="262">
        <f>(L63+L64)*0.1</f>
        <v>128.70000000000002</v>
      </c>
      <c r="P64" s="262">
        <f>O64*M64</f>
        <v>128.70000000000002</v>
      </c>
      <c r="Q64" s="526"/>
      <c r="S64" s="370" t="s">
        <v>201</v>
      </c>
      <c r="T64" s="262">
        <f>((((14221.5/3))/12)*6)</f>
        <v>2370.25</v>
      </c>
    </row>
    <row r="65" spans="2:24" s="73" customFormat="1" ht="17.25" customHeight="1" x14ac:dyDescent="0.25">
      <c r="B65" s="513"/>
      <c r="C65" s="499"/>
      <c r="D65" s="498"/>
      <c r="E65" s="329"/>
      <c r="F65" s="329"/>
      <c r="G65" s="329"/>
      <c r="H65" s="262"/>
      <c r="I65" s="293"/>
      <c r="J65" s="293"/>
      <c r="K65" s="262"/>
      <c r="L65" s="262"/>
      <c r="M65" s="287">
        <v>1</v>
      </c>
      <c r="N65" s="14" t="s">
        <v>227</v>
      </c>
      <c r="O65" s="262">
        <f>((((1995/3))/12)*3)</f>
        <v>166.25</v>
      </c>
      <c r="P65" s="262">
        <f>O65*M65</f>
        <v>166.25</v>
      </c>
      <c r="Q65" s="526"/>
      <c r="S65" s="14" t="s">
        <v>154</v>
      </c>
      <c r="T65" s="262">
        <f>+(2.4*8)*6</f>
        <v>115.19999999999999</v>
      </c>
    </row>
    <row r="66" spans="2:24" s="73" customFormat="1" ht="17.25" customHeight="1" x14ac:dyDescent="0.25">
      <c r="B66" s="513"/>
      <c r="C66" s="499"/>
      <c r="D66" s="498"/>
      <c r="E66" s="329"/>
      <c r="F66" s="329"/>
      <c r="G66" s="329"/>
      <c r="H66" s="262"/>
      <c r="I66" s="293"/>
      <c r="J66" s="293"/>
      <c r="K66" s="262"/>
      <c r="L66" s="262"/>
      <c r="M66" s="287">
        <v>1</v>
      </c>
      <c r="N66" s="14" t="s">
        <v>200</v>
      </c>
      <c r="O66" s="262">
        <f>((((3391.5/3))/12)*3)</f>
        <v>282.625</v>
      </c>
      <c r="P66" s="262">
        <f>O66*M66</f>
        <v>282.625</v>
      </c>
      <c r="Q66" s="526"/>
      <c r="S66" s="293" t="s">
        <v>156</v>
      </c>
      <c r="T66" s="319">
        <f>(8840/30)*6</f>
        <v>1768</v>
      </c>
    </row>
    <row r="67" spans="2:24" s="73" customFormat="1" ht="17.25" customHeight="1" x14ac:dyDescent="0.25">
      <c r="B67" s="513"/>
      <c r="C67" s="499"/>
      <c r="D67" s="498"/>
      <c r="E67" s="329"/>
      <c r="F67" s="329"/>
      <c r="G67" s="329"/>
      <c r="H67" s="262"/>
      <c r="I67" s="293"/>
      <c r="J67" s="293"/>
      <c r="K67" s="262"/>
      <c r="L67" s="262"/>
      <c r="M67" s="287">
        <v>1</v>
      </c>
      <c r="N67" s="14" t="s">
        <v>154</v>
      </c>
      <c r="O67" s="262">
        <f>+(2.4*8)*D63</f>
        <v>57.599999999999994</v>
      </c>
      <c r="P67" s="262">
        <f>O67*M67</f>
        <v>57.599999999999994</v>
      </c>
      <c r="Q67" s="526"/>
      <c r="S67" s="293" t="s">
        <v>226</v>
      </c>
      <c r="T67" s="262">
        <f>(14300/30)*6</f>
        <v>2860</v>
      </c>
    </row>
    <row r="68" spans="2:24" s="73" customFormat="1" ht="17.25" customHeight="1" x14ac:dyDescent="0.25">
      <c r="B68" s="513"/>
      <c r="C68" s="499"/>
      <c r="D68" s="498"/>
      <c r="E68" s="354"/>
      <c r="F68" s="354"/>
      <c r="G68" s="354"/>
      <c r="H68" s="355">
        <f>SUM(H63:H67)</f>
        <v>0</v>
      </c>
      <c r="I68" s="356"/>
      <c r="J68" s="356"/>
      <c r="K68" s="355"/>
      <c r="L68" s="355">
        <f>SUM(L63:L67)</f>
        <v>1287</v>
      </c>
      <c r="M68" s="357"/>
      <c r="N68" s="355"/>
      <c r="O68" s="355"/>
      <c r="P68" s="355">
        <f>SUM(P63:P67)</f>
        <v>641.37166666666667</v>
      </c>
      <c r="Q68" s="526"/>
    </row>
    <row r="69" spans="2:24" s="73" customFormat="1" ht="17.25" customHeight="1" x14ac:dyDescent="0.25">
      <c r="B69" s="513"/>
      <c r="C69" s="499" t="s">
        <v>183</v>
      </c>
      <c r="D69" s="498">
        <v>3</v>
      </c>
      <c r="E69" s="329"/>
      <c r="F69" s="329"/>
      <c r="G69" s="329"/>
      <c r="H69" s="262"/>
      <c r="I69" s="293">
        <v>1</v>
      </c>
      <c r="J69" s="293" t="s">
        <v>195</v>
      </c>
      <c r="K69" s="262">
        <f>(7010/30)*D69</f>
        <v>701</v>
      </c>
      <c r="L69" s="262">
        <f>K69*I69</f>
        <v>701</v>
      </c>
      <c r="M69" s="287">
        <v>1</v>
      </c>
      <c r="N69" s="14" t="s">
        <v>42</v>
      </c>
      <c r="O69" s="262">
        <f>(((3718/5)/12)/30)*D69</f>
        <v>6.1966666666666672</v>
      </c>
      <c r="P69" s="262">
        <f>O69*M69</f>
        <v>6.1966666666666672</v>
      </c>
      <c r="Q69" s="525">
        <f>P72+L72+H72</f>
        <v>834.89666666666665</v>
      </c>
    </row>
    <row r="70" spans="2:24" s="73" customFormat="1" ht="17.25" customHeight="1" x14ac:dyDescent="0.25">
      <c r="B70" s="513"/>
      <c r="C70" s="499"/>
      <c r="D70" s="498"/>
      <c r="E70" s="329"/>
      <c r="F70" s="329"/>
      <c r="G70" s="329"/>
      <c r="H70" s="262"/>
      <c r="I70" s="293"/>
      <c r="J70" s="293"/>
      <c r="K70" s="262"/>
      <c r="L70" s="262"/>
      <c r="M70" s="287">
        <v>1</v>
      </c>
      <c r="N70" s="14" t="s">
        <v>41</v>
      </c>
      <c r="O70" s="262">
        <f>(L69+L70)*0.1</f>
        <v>70.100000000000009</v>
      </c>
      <c r="P70" s="262">
        <f>O70*M70</f>
        <v>70.100000000000009</v>
      </c>
      <c r="Q70" s="525"/>
      <c r="R70" s="488" t="s">
        <v>258</v>
      </c>
      <c r="S70" s="485"/>
      <c r="T70" s="485"/>
      <c r="U70" s="485"/>
      <c r="V70" s="485"/>
      <c r="W70" s="485"/>
    </row>
    <row r="71" spans="2:24" s="73" customFormat="1" ht="17.25" customHeight="1" x14ac:dyDescent="0.25">
      <c r="B71" s="513"/>
      <c r="C71" s="499"/>
      <c r="D71" s="498"/>
      <c r="E71" s="329"/>
      <c r="F71" s="329"/>
      <c r="G71" s="329"/>
      <c r="H71" s="262"/>
      <c r="I71" s="293"/>
      <c r="J71" s="293"/>
      <c r="K71" s="262"/>
      <c r="L71" s="262"/>
      <c r="M71" s="287">
        <v>1</v>
      </c>
      <c r="N71" s="14" t="s">
        <v>154</v>
      </c>
      <c r="O71" s="262">
        <f>+(2.4*8)*D69</f>
        <v>57.599999999999994</v>
      </c>
      <c r="P71" s="262">
        <f>O71*M71</f>
        <v>57.599999999999994</v>
      </c>
      <c r="Q71" s="525"/>
      <c r="R71"/>
      <c r="S71" s="436" t="s">
        <v>259</v>
      </c>
      <c r="T71"/>
      <c r="V71"/>
      <c r="W71" s="436" t="s">
        <v>260</v>
      </c>
      <c r="X71"/>
    </row>
    <row r="72" spans="2:24" ht="15" customHeight="1" x14ac:dyDescent="0.25">
      <c r="B72" s="513"/>
      <c r="C72" s="499"/>
      <c r="D72" s="498"/>
      <c r="E72" s="358"/>
      <c r="F72" s="358"/>
      <c r="G72" s="358"/>
      <c r="H72" s="365">
        <f>SUM(H69:H71)</f>
        <v>0</v>
      </c>
      <c r="I72" s="359"/>
      <c r="J72" s="360"/>
      <c r="K72" s="341"/>
      <c r="L72" s="341">
        <f>SUM(L69:L71)</f>
        <v>701</v>
      </c>
      <c r="M72" s="361"/>
      <c r="N72" s="362"/>
      <c r="O72" s="362"/>
      <c r="P72" s="362">
        <f>SUM(P69:P71)</f>
        <v>133.89666666666668</v>
      </c>
      <c r="Q72" s="525"/>
      <c r="R72" s="436" t="s">
        <v>257</v>
      </c>
      <c r="S72" s="438" t="s">
        <v>255</v>
      </c>
      <c r="T72" s="438" t="s">
        <v>256</v>
      </c>
      <c r="V72" s="436" t="s">
        <v>257</v>
      </c>
      <c r="W72" s="438" t="s">
        <v>255</v>
      </c>
    </row>
    <row r="73" spans="2:24" ht="15" customHeight="1" x14ac:dyDescent="0.25">
      <c r="B73" s="513" t="s">
        <v>233</v>
      </c>
      <c r="C73" s="542" t="s">
        <v>185</v>
      </c>
      <c r="D73" s="543">
        <v>40</v>
      </c>
      <c r="E73" s="321"/>
      <c r="F73" s="321"/>
      <c r="G73" s="321"/>
      <c r="H73" s="321"/>
      <c r="I73" s="328">
        <v>1</v>
      </c>
      <c r="J73" s="293" t="s">
        <v>156</v>
      </c>
      <c r="K73" s="319">
        <f>(8840/30)*D73</f>
        <v>11786.666666666668</v>
      </c>
      <c r="L73" s="319">
        <f>K73*I73</f>
        <v>11786.666666666668</v>
      </c>
      <c r="M73" s="287">
        <v>2</v>
      </c>
      <c r="N73" s="14" t="s">
        <v>42</v>
      </c>
      <c r="O73" s="262">
        <f>(((3897.09/5)/12)/30)*D73</f>
        <v>86.602000000000004</v>
      </c>
      <c r="P73" s="262">
        <f>O73*M73</f>
        <v>173.20400000000001</v>
      </c>
      <c r="Q73" s="522">
        <f>P77+L77+H77</f>
        <v>41103.454000000005</v>
      </c>
      <c r="R73" s="14" t="s">
        <v>42</v>
      </c>
      <c r="S73" s="262">
        <f>(((3897.09/5)/12)/30)*12</f>
        <v>25.980599999999999</v>
      </c>
      <c r="T73" s="262">
        <f>(((3897.09/5)/12)/30)*12</f>
        <v>25.980599999999999</v>
      </c>
      <c r="V73" s="14" t="s">
        <v>42</v>
      </c>
      <c r="W73" s="262">
        <f>(((3897.09/5)/12)/30)*8</f>
        <v>17.320399999999999</v>
      </c>
    </row>
    <row r="74" spans="2:24" ht="15" customHeight="1" x14ac:dyDescent="0.25">
      <c r="B74" s="513"/>
      <c r="C74" s="542"/>
      <c r="D74" s="543"/>
      <c r="E74" s="321"/>
      <c r="F74" s="321"/>
      <c r="G74" s="321"/>
      <c r="H74" s="321"/>
      <c r="I74" s="293">
        <v>1</v>
      </c>
      <c r="J74" s="293" t="s">
        <v>226</v>
      </c>
      <c r="K74" s="262">
        <f>(14300/30)*D73</f>
        <v>19066.666666666668</v>
      </c>
      <c r="L74" s="262">
        <f>K74*I74</f>
        <v>19066.666666666668</v>
      </c>
      <c r="M74" s="287">
        <v>2</v>
      </c>
      <c r="N74" s="14" t="s">
        <v>41</v>
      </c>
      <c r="O74" s="262">
        <f>(L73+L74)*0.1</f>
        <v>3085.3333333333339</v>
      </c>
      <c r="P74" s="262">
        <f>O74*M74</f>
        <v>6170.6666666666679</v>
      </c>
      <c r="Q74" s="522"/>
      <c r="R74" s="14" t="s">
        <v>41</v>
      </c>
      <c r="S74" s="262">
        <f>(S77+S78)*0.1</f>
        <v>925.6</v>
      </c>
      <c r="T74" s="262">
        <f>(T77+T78)*0.1</f>
        <v>925.6</v>
      </c>
      <c r="V74" s="14" t="s">
        <v>41</v>
      </c>
      <c r="W74" s="262">
        <f>(W77+W78)*0.1</f>
        <v>617.06666666666672</v>
      </c>
    </row>
    <row r="75" spans="2:24" ht="15" customHeight="1" x14ac:dyDescent="0.25">
      <c r="B75" s="513"/>
      <c r="C75" s="542"/>
      <c r="D75" s="543"/>
      <c r="E75" s="321"/>
      <c r="F75" s="321"/>
      <c r="G75" s="321"/>
      <c r="H75" s="321"/>
      <c r="I75" s="293"/>
      <c r="J75" s="293"/>
      <c r="K75" s="262"/>
      <c r="L75" s="262"/>
      <c r="M75" s="287">
        <v>2</v>
      </c>
      <c r="N75" s="370" t="s">
        <v>201</v>
      </c>
      <c r="O75" s="262">
        <f>((((14221.5/3))/12)*3)</f>
        <v>1185.125</v>
      </c>
      <c r="P75" s="262">
        <f>O75*M75</f>
        <v>2370.25</v>
      </c>
      <c r="Q75" s="522"/>
      <c r="R75" s="370" t="s">
        <v>201</v>
      </c>
      <c r="S75" s="262">
        <f>((((14221.5/3))/12)*12)</f>
        <v>4740.5</v>
      </c>
      <c r="T75" s="262">
        <f>((((14221.5/3))/12)*12)</f>
        <v>4740.5</v>
      </c>
      <c r="V75" s="370" t="s">
        <v>201</v>
      </c>
      <c r="W75" s="262">
        <f>((((14221.5/3))/12)*8)</f>
        <v>3160.3333333333335</v>
      </c>
    </row>
    <row r="76" spans="2:24" ht="15" customHeight="1" x14ac:dyDescent="0.25">
      <c r="B76" s="513"/>
      <c r="C76" s="542"/>
      <c r="D76" s="543"/>
      <c r="E76" s="321"/>
      <c r="F76" s="321"/>
      <c r="G76" s="321"/>
      <c r="H76" s="321"/>
      <c r="I76" s="333"/>
      <c r="J76" s="332"/>
      <c r="K76" s="319"/>
      <c r="L76" s="319"/>
      <c r="M76" s="287">
        <v>2</v>
      </c>
      <c r="N76" s="14" t="s">
        <v>154</v>
      </c>
      <c r="O76" s="262">
        <f>+(2.4*8)*D73</f>
        <v>768</v>
      </c>
      <c r="P76" s="262">
        <f>O76*M76</f>
        <v>1536</v>
      </c>
      <c r="Q76" s="522"/>
      <c r="R76" s="14" t="s">
        <v>154</v>
      </c>
      <c r="S76" s="262">
        <f>+(2.4*8)*12</f>
        <v>230.39999999999998</v>
      </c>
      <c r="T76" s="262">
        <f>+(2.4*8)*12</f>
        <v>230.39999999999998</v>
      </c>
      <c r="V76" s="14" t="s">
        <v>154</v>
      </c>
      <c r="W76" s="262">
        <f>+(2.4*8)*8</f>
        <v>153.6</v>
      </c>
    </row>
    <row r="77" spans="2:24" ht="15" customHeight="1" x14ac:dyDescent="0.25">
      <c r="B77" s="513"/>
      <c r="C77" s="542"/>
      <c r="D77" s="543"/>
      <c r="E77" s="336"/>
      <c r="F77" s="336"/>
      <c r="G77" s="337"/>
      <c r="H77" s="337">
        <f>SUM(H73:H76)</f>
        <v>0</v>
      </c>
      <c r="I77" s="336"/>
      <c r="J77" s="337"/>
      <c r="K77" s="337"/>
      <c r="L77" s="337">
        <f>SUM(L73:L76)</f>
        <v>30853.333333333336</v>
      </c>
      <c r="M77" s="338"/>
      <c r="N77" s="337"/>
      <c r="O77" s="337"/>
      <c r="P77" s="337">
        <f>SUM(P73:P76)</f>
        <v>10250.120666666668</v>
      </c>
      <c r="Q77" s="522"/>
      <c r="R77" s="293" t="s">
        <v>156</v>
      </c>
      <c r="S77" s="319">
        <f>(8840/30)*12</f>
        <v>3536</v>
      </c>
      <c r="T77" s="319">
        <f>(8840/30)*12</f>
        <v>3536</v>
      </c>
      <c r="V77" s="293" t="s">
        <v>156</v>
      </c>
      <c r="W77" s="319">
        <f>(8840/30)*8</f>
        <v>2357.3333333333335</v>
      </c>
    </row>
    <row r="78" spans="2:24" x14ac:dyDescent="0.25">
      <c r="B78" s="513" t="s">
        <v>231</v>
      </c>
      <c r="C78" s="542" t="s">
        <v>186</v>
      </c>
      <c r="D78" s="543">
        <v>10</v>
      </c>
      <c r="E78" s="293"/>
      <c r="F78" s="293"/>
      <c r="G78" s="293"/>
      <c r="H78" s="293"/>
      <c r="I78" s="328">
        <v>1</v>
      </c>
      <c r="J78" s="293" t="s">
        <v>226</v>
      </c>
      <c r="K78" s="262">
        <f>(14300/30)*D78</f>
        <v>4766.666666666667</v>
      </c>
      <c r="L78" s="262">
        <f>K78*I78</f>
        <v>4766.666666666667</v>
      </c>
      <c r="M78" s="287">
        <v>1</v>
      </c>
      <c r="N78" s="14" t="s">
        <v>42</v>
      </c>
      <c r="O78" s="262">
        <f>(((3897.09/5)/12)/30)*D78</f>
        <v>21.650500000000001</v>
      </c>
      <c r="P78" s="262">
        <f>O78*M78</f>
        <v>21.650500000000001</v>
      </c>
      <c r="Q78" s="521">
        <f>P81+L81+H81</f>
        <v>5456.9838333333337</v>
      </c>
      <c r="R78" s="293" t="s">
        <v>226</v>
      </c>
      <c r="S78" s="262">
        <f>(14300/30)*12</f>
        <v>5720</v>
      </c>
      <c r="T78" s="262">
        <f>(14300/30)*12</f>
        <v>5720</v>
      </c>
      <c r="V78" s="293" t="s">
        <v>226</v>
      </c>
      <c r="W78" s="262">
        <f>(14300/30)*8</f>
        <v>3813.3333333333335</v>
      </c>
    </row>
    <row r="79" spans="2:24" x14ac:dyDescent="0.25">
      <c r="B79" s="513"/>
      <c r="C79" s="542"/>
      <c r="D79" s="543"/>
      <c r="E79" s="293"/>
      <c r="F79" s="293"/>
      <c r="G79" s="262"/>
      <c r="H79" s="262"/>
      <c r="I79" s="293"/>
      <c r="J79" s="262"/>
      <c r="K79" s="262"/>
      <c r="L79" s="262"/>
      <c r="M79" s="287">
        <v>1</v>
      </c>
      <c r="N79" s="14" t="s">
        <v>41</v>
      </c>
      <c r="O79" s="262">
        <f>(L78)*0.1</f>
        <v>476.66666666666674</v>
      </c>
      <c r="P79" s="262">
        <f>O79*M79</f>
        <v>476.66666666666674</v>
      </c>
      <c r="Q79" s="521"/>
    </row>
    <row r="80" spans="2:24" x14ac:dyDescent="0.25">
      <c r="B80" s="513"/>
      <c r="C80" s="542" t="s">
        <v>186</v>
      </c>
      <c r="D80" s="543"/>
      <c r="E80" s="202"/>
      <c r="F80" s="202"/>
      <c r="G80" s="202"/>
      <c r="H80" s="202"/>
      <c r="I80" s="334"/>
      <c r="J80" s="334"/>
      <c r="K80" s="335"/>
      <c r="L80" s="335"/>
      <c r="M80" s="287">
        <v>1</v>
      </c>
      <c r="N80" s="14" t="s">
        <v>154</v>
      </c>
      <c r="O80" s="262">
        <f>+(2.4*8)*D78</f>
        <v>192</v>
      </c>
      <c r="P80" s="262">
        <f>O80*M80</f>
        <v>192</v>
      </c>
      <c r="Q80" s="521"/>
    </row>
    <row r="81" spans="2:23" x14ac:dyDescent="0.25">
      <c r="B81" s="513"/>
      <c r="C81" s="542"/>
      <c r="D81" s="543"/>
      <c r="E81" s="339"/>
      <c r="F81" s="339"/>
      <c r="G81" s="339"/>
      <c r="H81" s="366">
        <f>SUM(H78:H80)</f>
        <v>0</v>
      </c>
      <c r="I81" s="339"/>
      <c r="J81" s="339"/>
      <c r="K81" s="339"/>
      <c r="L81" s="366">
        <f>SUM(L78:L80)</f>
        <v>4766.666666666667</v>
      </c>
      <c r="M81" s="339"/>
      <c r="N81" s="339"/>
      <c r="O81" s="339"/>
      <c r="P81" s="339">
        <f>SUM(P78:P80)</f>
        <v>690.31716666666671</v>
      </c>
      <c r="Q81" s="521"/>
      <c r="R81" s="486" t="s">
        <v>262</v>
      </c>
      <c r="S81" s="487"/>
      <c r="T81" s="487"/>
      <c r="U81" s="487"/>
      <c r="V81" s="487"/>
      <c r="W81" s="487"/>
    </row>
    <row r="82" spans="2:23" ht="34.5" customHeight="1" x14ac:dyDescent="0.25">
      <c r="B82" s="513" t="s">
        <v>174</v>
      </c>
      <c r="C82" s="542" t="s">
        <v>194</v>
      </c>
      <c r="D82" s="544">
        <v>3</v>
      </c>
      <c r="E82" s="340">
        <v>1</v>
      </c>
      <c r="F82" s="279" t="s">
        <v>197</v>
      </c>
      <c r="G82" s="367">
        <v>2920.68</v>
      </c>
      <c r="H82" s="367">
        <f>G82*E82</f>
        <v>2920.68</v>
      </c>
      <c r="I82" s="328">
        <v>1</v>
      </c>
      <c r="J82" s="328" t="s">
        <v>226</v>
      </c>
      <c r="K82" s="262">
        <f>(14300/30)*D82</f>
        <v>1430</v>
      </c>
      <c r="L82" s="262">
        <f>K82*I82</f>
        <v>1430</v>
      </c>
      <c r="M82" s="287">
        <v>1</v>
      </c>
      <c r="N82" s="14" t="s">
        <v>42</v>
      </c>
      <c r="O82" s="262">
        <f>(((3897.09/5)/12)/30)*D82</f>
        <v>6.4951499999999998</v>
      </c>
      <c r="P82" s="262">
        <f>O82*M82</f>
        <v>6.4951499999999998</v>
      </c>
      <c r="Q82" s="520">
        <f>P85+L85+H85</f>
        <v>4557.7751499999995</v>
      </c>
      <c r="S82" s="436" t="s">
        <v>259</v>
      </c>
      <c r="V82" s="485" t="s">
        <v>260</v>
      </c>
      <c r="W82" s="485"/>
    </row>
    <row r="83" spans="2:23" x14ac:dyDescent="0.25">
      <c r="B83" s="513"/>
      <c r="C83" s="542"/>
      <c r="D83" s="544"/>
      <c r="E83" s="1"/>
      <c r="F83" s="1"/>
      <c r="G83" s="1"/>
      <c r="H83" s="1"/>
      <c r="I83" s="1"/>
      <c r="J83" s="1"/>
      <c r="K83" s="1"/>
      <c r="L83" s="1"/>
      <c r="M83" s="287">
        <v>1</v>
      </c>
      <c r="N83" s="14" t="s">
        <v>41</v>
      </c>
      <c r="O83" s="262">
        <f>(L82)*0.1</f>
        <v>143</v>
      </c>
      <c r="P83" s="262">
        <f>O83*M83</f>
        <v>143</v>
      </c>
      <c r="Q83" s="520"/>
      <c r="R83" s="436" t="s">
        <v>257</v>
      </c>
      <c r="S83" s="438" t="s">
        <v>256</v>
      </c>
      <c r="V83" s="436" t="s">
        <v>257</v>
      </c>
      <c r="W83" s="438" t="s">
        <v>255</v>
      </c>
    </row>
    <row r="84" spans="2:23" ht="15" customHeight="1" x14ac:dyDescent="0.25">
      <c r="B84" s="513"/>
      <c r="C84" s="542"/>
      <c r="D84" s="544"/>
      <c r="E84" s="1"/>
      <c r="F84" s="1"/>
      <c r="G84" s="1"/>
      <c r="H84" s="1"/>
      <c r="I84" s="1"/>
      <c r="J84" s="1"/>
      <c r="K84" s="1"/>
      <c r="L84" s="1"/>
      <c r="M84" s="287">
        <v>1</v>
      </c>
      <c r="N84" s="14" t="s">
        <v>154</v>
      </c>
      <c r="O84" s="262">
        <f>+(2.4*8)*D82</f>
        <v>57.599999999999994</v>
      </c>
      <c r="P84" s="262">
        <f>O84*M84</f>
        <v>57.599999999999994</v>
      </c>
      <c r="Q84" s="520"/>
      <c r="R84" s="14" t="s">
        <v>42</v>
      </c>
      <c r="S84" s="262">
        <f>(((3897.09/5)/12)/30)*5</f>
        <v>10.82525</v>
      </c>
      <c r="V84" s="14" t="s">
        <v>42</v>
      </c>
      <c r="W84" s="262">
        <f>(((3897.09/5)/12)/30)*5</f>
        <v>10.82525</v>
      </c>
    </row>
    <row r="85" spans="2:23" ht="30" x14ac:dyDescent="0.25">
      <c r="B85" s="513"/>
      <c r="C85" s="542"/>
      <c r="D85" s="544"/>
      <c r="E85" s="363"/>
      <c r="F85" s="363"/>
      <c r="G85" s="363"/>
      <c r="H85" s="368">
        <f>SUM(H82:H84)</f>
        <v>2920.68</v>
      </c>
      <c r="I85" s="363"/>
      <c r="J85" s="363"/>
      <c r="K85" s="363"/>
      <c r="L85" s="368">
        <f>SUM(L82:L84)</f>
        <v>1430</v>
      </c>
      <c r="M85" s="363"/>
      <c r="N85" s="363"/>
      <c r="O85" s="363"/>
      <c r="P85" s="368">
        <f>SUM(P82:P84)</f>
        <v>207.09514999999999</v>
      </c>
      <c r="Q85" s="520"/>
      <c r="R85" s="14" t="s">
        <v>41</v>
      </c>
      <c r="S85" s="262">
        <f>(S87)*0.1</f>
        <v>238.33333333333337</v>
      </c>
      <c r="V85" s="14" t="s">
        <v>41</v>
      </c>
      <c r="W85" s="262">
        <f>(W87)*0.1</f>
        <v>238.33333333333337</v>
      </c>
    </row>
    <row r="86" spans="2:23" ht="21" customHeight="1" x14ac:dyDescent="0.25">
      <c r="B86" s="532" t="s">
        <v>234</v>
      </c>
      <c r="C86" s="534" t="s">
        <v>235</v>
      </c>
      <c r="D86" s="536">
        <v>3</v>
      </c>
      <c r="E86" s="64"/>
      <c r="F86" s="64"/>
      <c r="G86" s="64"/>
      <c r="H86" s="203"/>
      <c r="I86" s="408">
        <v>1</v>
      </c>
      <c r="J86" s="409" t="s">
        <v>226</v>
      </c>
      <c r="K86" s="203">
        <f>(14300/30)*D86</f>
        <v>1430</v>
      </c>
      <c r="L86" s="203">
        <f>K86*I86</f>
        <v>1430</v>
      </c>
      <c r="M86" s="287">
        <v>1</v>
      </c>
      <c r="N86" s="14" t="s">
        <v>42</v>
      </c>
      <c r="O86" s="262">
        <f>(((3897.09/5)/12)/30)*D86</f>
        <v>6.4951499999999998</v>
      </c>
      <c r="P86" s="262">
        <f>O86*M86</f>
        <v>6.4951499999999998</v>
      </c>
      <c r="Q86" s="529">
        <f>SUM(P89+L89+H89)</f>
        <v>1549.0951500000001</v>
      </c>
      <c r="R86" s="14" t="s">
        <v>154</v>
      </c>
      <c r="S86" s="262">
        <f>+(2.4*8)*5</f>
        <v>96</v>
      </c>
      <c r="V86" s="14" t="s">
        <v>154</v>
      </c>
      <c r="W86" s="262">
        <f>+(2.4*8)*5</f>
        <v>96</v>
      </c>
    </row>
    <row r="87" spans="2:23" ht="21" customHeight="1" x14ac:dyDescent="0.25">
      <c r="B87" s="533"/>
      <c r="C87" s="535"/>
      <c r="D87" s="537"/>
      <c r="E87" s="64"/>
      <c r="F87" s="64"/>
      <c r="G87" s="64"/>
      <c r="H87" s="203"/>
      <c r="I87" s="408"/>
      <c r="J87" s="409"/>
      <c r="K87" s="203"/>
      <c r="L87" s="203"/>
      <c r="M87" s="287">
        <v>1</v>
      </c>
      <c r="N87" s="14" t="s">
        <v>19</v>
      </c>
      <c r="O87" s="262">
        <f>(550/30*D86)</f>
        <v>55</v>
      </c>
      <c r="P87" s="262">
        <f>O87*M87</f>
        <v>55</v>
      </c>
      <c r="Q87" s="530"/>
      <c r="R87" s="328" t="s">
        <v>226</v>
      </c>
      <c r="S87" s="262">
        <f>(14300/30)*5</f>
        <v>2383.3333333333335</v>
      </c>
      <c r="V87" s="328" t="s">
        <v>226</v>
      </c>
      <c r="W87" s="262">
        <f>(14300/30)*5</f>
        <v>2383.3333333333335</v>
      </c>
    </row>
    <row r="88" spans="2:23" ht="21" customHeight="1" x14ac:dyDescent="0.25">
      <c r="B88" s="533"/>
      <c r="C88" s="535"/>
      <c r="D88" s="537"/>
      <c r="E88" s="64"/>
      <c r="F88" s="64"/>
      <c r="G88" s="64"/>
      <c r="H88" s="203"/>
      <c r="I88" s="64"/>
      <c r="J88" s="64"/>
      <c r="K88" s="64"/>
      <c r="L88" s="203"/>
      <c r="M88" s="287">
        <v>1</v>
      </c>
      <c r="N88" s="14" t="s">
        <v>154</v>
      </c>
      <c r="O88" s="262">
        <f>+(2.4*8)*D86</f>
        <v>57.599999999999994</v>
      </c>
      <c r="P88" s="262">
        <f>O88*M88</f>
        <v>57.599999999999994</v>
      </c>
      <c r="Q88" s="530"/>
    </row>
    <row r="89" spans="2:23" ht="21" customHeight="1" x14ac:dyDescent="0.25">
      <c r="B89" s="533"/>
      <c r="C89" s="535"/>
      <c r="D89" s="537"/>
      <c r="E89" s="406"/>
      <c r="F89" s="406"/>
      <c r="G89" s="406"/>
      <c r="H89" s="407">
        <f>SUM(H86:H88)</f>
        <v>0</v>
      </c>
      <c r="I89" s="406"/>
      <c r="J89" s="406"/>
      <c r="K89" s="406"/>
      <c r="L89" s="407">
        <f>SUM(L86:L88)</f>
        <v>1430</v>
      </c>
      <c r="M89" s="406"/>
      <c r="N89" s="406"/>
      <c r="O89" s="406"/>
      <c r="P89" s="407">
        <f>SUM(P86:P88)</f>
        <v>119.09514999999999</v>
      </c>
      <c r="Q89" s="531"/>
    </row>
    <row r="90" spans="2:23" ht="21" customHeight="1" x14ac:dyDescent="0.25">
      <c r="B90" s="402"/>
      <c r="C90" s="405"/>
      <c r="D90" s="404"/>
      <c r="E90" s="2"/>
      <c r="F90" s="2"/>
      <c r="G90" s="2"/>
      <c r="H90" s="371"/>
      <c r="I90" s="2"/>
      <c r="J90" s="2"/>
      <c r="K90" s="2"/>
      <c r="L90" s="371"/>
      <c r="M90" s="2"/>
      <c r="N90" s="2"/>
      <c r="O90" s="2"/>
      <c r="P90" s="371"/>
      <c r="Q90" s="372">
        <f>SUM(Q5:Q86)</f>
        <v>75119.520733333324</v>
      </c>
    </row>
    <row r="91" spans="2:23" ht="19.5" x14ac:dyDescent="0.35">
      <c r="B91" s="491" t="s">
        <v>202</v>
      </c>
      <c r="C91" s="492"/>
      <c r="D91" s="403">
        <f>SUM(D5:D90)</f>
        <v>97</v>
      </c>
      <c r="E91" s="493" t="s">
        <v>203</v>
      </c>
      <c r="F91" s="494"/>
      <c r="G91" s="495"/>
      <c r="H91" s="373">
        <f>SUM(H85,H81,H77,H72,H68,H62,H58,H54,H48,H44,H39,H32,H28,H23,H17,H11,H89)</f>
        <v>2920.68</v>
      </c>
      <c r="I91" s="493" t="s">
        <v>204</v>
      </c>
      <c r="J91" s="494"/>
      <c r="K91" s="495"/>
      <c r="L91" s="373">
        <f>SUM(L85,L81,L77,L72,L68,L62,L58,L54,L48,L44,L39,L32,L17,L28,L23,L11,L89)</f>
        <v>55960</v>
      </c>
      <c r="M91" s="493" t="s">
        <v>205</v>
      </c>
      <c r="N91" s="494"/>
      <c r="O91" s="495"/>
      <c r="P91" s="373">
        <f>SUM(P85,P81,P77,P17,P72,P68,P62,P58,P54,P48,P44,P39,P32,P28,P23,P11,P89)</f>
        <v>16238.840733333333</v>
      </c>
      <c r="Q91" s="373">
        <f>SUM(P91+L91+H91)</f>
        <v>75119.520733333324</v>
      </c>
    </row>
    <row r="92" spans="2:23" x14ac:dyDescent="0.25">
      <c r="C92" s="364"/>
    </row>
  </sheetData>
  <mergeCells count="76">
    <mergeCell ref="Q86:Q89"/>
    <mergeCell ref="B86:B89"/>
    <mergeCell ref="C86:C89"/>
    <mergeCell ref="D86:D89"/>
    <mergeCell ref="Q55:Q58"/>
    <mergeCell ref="Q59:Q62"/>
    <mergeCell ref="C78:C81"/>
    <mergeCell ref="D78:D81"/>
    <mergeCell ref="B78:B81"/>
    <mergeCell ref="B82:B85"/>
    <mergeCell ref="C82:C85"/>
    <mergeCell ref="D82:D85"/>
    <mergeCell ref="B73:B77"/>
    <mergeCell ref="C73:C77"/>
    <mergeCell ref="D73:D77"/>
    <mergeCell ref="Q49:Q54"/>
    <mergeCell ref="Q45:Q48"/>
    <mergeCell ref="Q69:Q72"/>
    <mergeCell ref="Q63:Q68"/>
    <mergeCell ref="S4:T4"/>
    <mergeCell ref="Q82:Q85"/>
    <mergeCell ref="Q78:Q81"/>
    <mergeCell ref="Q73:Q77"/>
    <mergeCell ref="C69:C72"/>
    <mergeCell ref="B45:B72"/>
    <mergeCell ref="D55:D58"/>
    <mergeCell ref="C55:C58"/>
    <mergeCell ref="D59:D62"/>
    <mergeCell ref="C59:C62"/>
    <mergeCell ref="D63:D68"/>
    <mergeCell ref="C63:C68"/>
    <mergeCell ref="C45:C48"/>
    <mergeCell ref="D45:D48"/>
    <mergeCell ref="D49:D54"/>
    <mergeCell ref="C49:C54"/>
    <mergeCell ref="D69:D72"/>
    <mergeCell ref="B5:B44"/>
    <mergeCell ref="D24:D28"/>
    <mergeCell ref="C24:C28"/>
    <mergeCell ref="C29:C32"/>
    <mergeCell ref="D29:D32"/>
    <mergeCell ref="D33:D39"/>
    <mergeCell ref="C33:C39"/>
    <mergeCell ref="C12:C17"/>
    <mergeCell ref="D12:D17"/>
    <mergeCell ref="D18:D23"/>
    <mergeCell ref="C18:C23"/>
    <mergeCell ref="D40:D44"/>
    <mergeCell ref="Q40:Q44"/>
    <mergeCell ref="Q24:Q28"/>
    <mergeCell ref="Q29:Q32"/>
    <mergeCell ref="Q12:Q17"/>
    <mergeCell ref="Q18:Q23"/>
    <mergeCell ref="B91:C91"/>
    <mergeCell ref="E91:G91"/>
    <mergeCell ref="I91:K91"/>
    <mergeCell ref="M91:O91"/>
    <mergeCell ref="B1:Q2"/>
    <mergeCell ref="D5:D11"/>
    <mergeCell ref="C5:C11"/>
    <mergeCell ref="Q5:Q11"/>
    <mergeCell ref="Q3:Q4"/>
    <mergeCell ref="E3:H3"/>
    <mergeCell ref="I3:L3"/>
    <mergeCell ref="M3:P3"/>
    <mergeCell ref="B3:C4"/>
    <mergeCell ref="D3:D4"/>
    <mergeCell ref="Q33:Q39"/>
    <mergeCell ref="C40:C44"/>
    <mergeCell ref="V82:W82"/>
    <mergeCell ref="R81:W81"/>
    <mergeCell ref="R47:T47"/>
    <mergeCell ref="R46:T46"/>
    <mergeCell ref="S59:T59"/>
    <mergeCell ref="S60:T60"/>
    <mergeCell ref="R70:W7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9"/>
  <sheetViews>
    <sheetView topLeftCell="A7" workbookViewId="0">
      <selection activeCell="G18" sqref="G18:H18"/>
    </sheetView>
  </sheetViews>
  <sheetFormatPr baseColWidth="10" defaultRowHeight="15" x14ac:dyDescent="0.25"/>
  <cols>
    <col min="3" max="3" width="41" customWidth="1"/>
    <col min="5" max="5" width="11.7109375" bestFit="1" customWidth="1"/>
    <col min="7" max="9" width="11.7109375" bestFit="1" customWidth="1"/>
  </cols>
  <sheetData>
    <row r="2" spans="2:9" ht="15.75" x14ac:dyDescent="0.25">
      <c r="B2" s="550" t="s">
        <v>206</v>
      </c>
      <c r="C2" s="550"/>
      <c r="D2" s="550"/>
      <c r="E2" s="550"/>
    </row>
    <row r="3" spans="2:9" ht="15.75" x14ac:dyDescent="0.25">
      <c r="B3" s="551" t="s">
        <v>208</v>
      </c>
      <c r="C3" s="551"/>
      <c r="D3" s="551"/>
      <c r="E3" s="551"/>
    </row>
    <row r="5" spans="2:9" ht="31.5" x14ac:dyDescent="0.25">
      <c r="B5" s="62" t="s">
        <v>50</v>
      </c>
      <c r="C5" s="62" t="s">
        <v>51</v>
      </c>
      <c r="D5" s="63" t="s">
        <v>52</v>
      </c>
      <c r="E5" s="62" t="s">
        <v>36</v>
      </c>
    </row>
    <row r="6" spans="2:9" ht="16.5" x14ac:dyDescent="0.25">
      <c r="B6" s="65">
        <v>1</v>
      </c>
      <c r="C6" s="56" t="s">
        <v>209</v>
      </c>
      <c r="D6" s="45">
        <v>2920.68</v>
      </c>
      <c r="E6" s="374">
        <f>+B6*D6</f>
        <v>2920.68</v>
      </c>
    </row>
    <row r="7" spans="2:9" x14ac:dyDescent="0.25">
      <c r="B7" s="552" t="s">
        <v>56</v>
      </c>
      <c r="C7" s="552"/>
      <c r="D7" s="552"/>
      <c r="E7" s="375">
        <f>SUM(E6:E6)</f>
        <v>2920.68</v>
      </c>
      <c r="F7">
        <f>L5+L12+L18+L25+L30+L34+L41+L46+L75+L79+L83+L87</f>
        <v>0</v>
      </c>
    </row>
    <row r="8" spans="2:9" ht="16.5" x14ac:dyDescent="0.25">
      <c r="B8" s="65">
        <v>1</v>
      </c>
      <c r="C8" s="1" t="s">
        <v>226</v>
      </c>
      <c r="D8" s="374">
        <f>'Costo por Actividades'!L5+'Costo por Actividades'!L12+'Costo por Actividades'!L18+'Costo por Actividades'!L24+'Costo por Actividades'!L29+'Costo por Actividades'!L33+'Costo por Actividades'!L40+'Costo por Actividades'!L45+'Costo por Actividades'!L74+'Costo por Actividades'!L78+'Costo por Actividades'!L82+'Costo por Actividades'!L86</f>
        <v>40783.333333333336</v>
      </c>
      <c r="E8" s="374">
        <f>+B8*D8</f>
        <v>40783.333333333336</v>
      </c>
    </row>
    <row r="9" spans="2:9" ht="16.5" x14ac:dyDescent="0.25">
      <c r="B9" s="65">
        <v>1</v>
      </c>
      <c r="C9" s="1" t="s">
        <v>195</v>
      </c>
      <c r="D9" s="374">
        <f>'Costo por Actividades'!L49+'Costo por Actividades'!L55+'Costo por Actividades'!L59+'Costo por Actividades'!L69</f>
        <v>2103</v>
      </c>
      <c r="E9" s="374">
        <f>+B9*D9</f>
        <v>2103</v>
      </c>
    </row>
    <row r="10" spans="2:9" ht="31.5" x14ac:dyDescent="0.25">
      <c r="B10" s="65">
        <v>1</v>
      </c>
      <c r="C10" s="1" t="s">
        <v>156</v>
      </c>
      <c r="D10" s="374">
        <f>'Costo por Actividades'!L73</f>
        <v>11786.666666666668</v>
      </c>
      <c r="E10" s="374">
        <f t="shared" ref="E10" si="0">+B10*D10</f>
        <v>11786.666666666668</v>
      </c>
      <c r="G10" s="74" t="s">
        <v>91</v>
      </c>
      <c r="H10" s="76" t="s">
        <v>92</v>
      </c>
      <c r="I10" s="76" t="s">
        <v>93</v>
      </c>
    </row>
    <row r="11" spans="2:9" ht="16.5" x14ac:dyDescent="0.25">
      <c r="B11" s="65">
        <v>1</v>
      </c>
      <c r="C11" s="1" t="s">
        <v>196</v>
      </c>
      <c r="D11" s="374">
        <f>'Costo por Actividades'!L63</f>
        <v>1287</v>
      </c>
      <c r="E11" s="374">
        <f>+B11*D11</f>
        <v>1287</v>
      </c>
      <c r="G11" s="75">
        <f>+E7</f>
        <v>2920.68</v>
      </c>
      <c r="H11" s="75">
        <f>E15+E16+E18</f>
        <v>3919.4407333333334</v>
      </c>
      <c r="I11" s="75">
        <f>+G11+H11</f>
        <v>6840.1207333333332</v>
      </c>
    </row>
    <row r="12" spans="2:9" x14ac:dyDescent="0.25">
      <c r="B12" s="552" t="s">
        <v>58</v>
      </c>
      <c r="C12" s="552"/>
      <c r="D12" s="552"/>
      <c r="E12" s="375">
        <f>SUM(E8:E11)</f>
        <v>55960</v>
      </c>
    </row>
    <row r="13" spans="2:9" ht="31.5" x14ac:dyDescent="0.25">
      <c r="B13" s="65">
        <v>1</v>
      </c>
      <c r="C13" s="39" t="s">
        <v>41</v>
      </c>
      <c r="D13" s="45">
        <f>'Costo por Actividades'!P7+'Costo por Actividades'!P14+'Costo por Actividades'!P20+'Costo por Actividades'!P25+'Costo por Actividades'!P30+'Costo por Actividades'!P34+'Costo por Actividades'!P41+'Costo por Actividades'!P46+'Costo por Actividades'!P50+'Costo por Actividades'!P56+'Costo por Actividades'!P60+'Costo por Actividades'!P64+'Costo por Actividades'!P70+'Costo por Actividades'!P74+'Costo por Actividades'!P79+'Costo por Actividades'!P83</f>
        <v>8538.3333333333339</v>
      </c>
      <c r="E13" s="45">
        <f t="shared" ref="E13:E19" si="1">+B13*D13</f>
        <v>8538.3333333333339</v>
      </c>
      <c r="G13" s="377" t="s">
        <v>94</v>
      </c>
      <c r="H13" s="76" t="s">
        <v>95</v>
      </c>
      <c r="I13" s="76" t="s">
        <v>96</v>
      </c>
    </row>
    <row r="14" spans="2:9" ht="16.5" x14ac:dyDescent="0.25">
      <c r="B14" s="65">
        <v>1</v>
      </c>
      <c r="C14" s="39" t="s">
        <v>40</v>
      </c>
      <c r="D14" s="45">
        <f>'Costo por Actividades'!P29+'Costo por Actividades'!P33</f>
        <v>400</v>
      </c>
      <c r="E14" s="45">
        <f t="shared" si="1"/>
        <v>400</v>
      </c>
      <c r="G14" s="75">
        <f>+E12</f>
        <v>55960</v>
      </c>
      <c r="H14" s="75">
        <f>E13+E14+E17+E20+E21</f>
        <v>12319.4</v>
      </c>
      <c r="I14" s="75">
        <f>+G14+H14</f>
        <v>68279.399999999994</v>
      </c>
    </row>
    <row r="15" spans="2:9" ht="16.5" x14ac:dyDescent="0.25">
      <c r="B15" s="65">
        <v>1</v>
      </c>
      <c r="C15" s="203" t="s">
        <v>236</v>
      </c>
      <c r="D15" s="45">
        <f>'Costo por Actividades'!P5+'Costo por Actividades'!P12+'Costo por Actividades'!P18+'Costo por Actividades'!P36+'Costo por Actividades'!P37</f>
        <v>171.42000000000002</v>
      </c>
      <c r="E15" s="45">
        <f t="shared" si="1"/>
        <v>171.42000000000002</v>
      </c>
      <c r="G15" s="91"/>
      <c r="H15" s="91"/>
      <c r="I15" s="91"/>
    </row>
    <row r="16" spans="2:9" ht="16.5" x14ac:dyDescent="0.25">
      <c r="B16" s="65">
        <v>1</v>
      </c>
      <c r="C16" s="204" t="s">
        <v>210</v>
      </c>
      <c r="D16" s="45">
        <f>'Costo por Actividades'!P6+'Costo por Actividades'!P13+'Costo por Actividades'!P19+'Costo por Actividades'!P24+'Costo por Actividades'!P38+'Costo por Actividades'!P40+'Costo por Actividades'!P45+'Costo por Actividades'!P49+'Costo por Actividades'!P55+'Costo por Actividades'!P59+'Costo por Actividades'!P63+'Costo por Actividades'!P69+'Costo por Actividades'!P73+'Costo por Actividades'!P78+'Costo por Actividades'!P82+'Costo por Actividades'!P86</f>
        <v>313.77073333333345</v>
      </c>
      <c r="E16" s="374">
        <f t="shared" si="1"/>
        <v>313.77073333333345</v>
      </c>
      <c r="G16" s="545" t="s">
        <v>97</v>
      </c>
      <c r="H16" s="546"/>
      <c r="I16" s="92">
        <f>+I11+I14</f>
        <v>75119.520733333324</v>
      </c>
    </row>
    <row r="17" spans="2:9" ht="16.5" x14ac:dyDescent="0.25">
      <c r="B17" s="65">
        <v>1</v>
      </c>
      <c r="C17" s="204" t="s">
        <v>212</v>
      </c>
      <c r="D17" s="45">
        <f>'Costo por Actividades'!P31+'Costo por Actividades'!P35</f>
        <v>425</v>
      </c>
      <c r="E17" s="374">
        <f t="shared" si="1"/>
        <v>425</v>
      </c>
      <c r="G17" s="547" t="s">
        <v>290</v>
      </c>
      <c r="H17" s="547"/>
      <c r="I17" s="75">
        <f>+I16*0.1</f>
        <v>7511.9520733333329</v>
      </c>
    </row>
    <row r="18" spans="2:9" ht="30" x14ac:dyDescent="0.25">
      <c r="B18" s="65">
        <v>1</v>
      </c>
      <c r="C18" s="376" t="s">
        <v>211</v>
      </c>
      <c r="D18" s="45">
        <f>'Costo por Actividades'!P9+'Costo por Actividades'!P51+'Costo por Actividades'!P52+'Costo por Actividades'!P65+'Costo por Actividades'!P66+'Costo por Actividades'!P75</f>
        <v>3434.25</v>
      </c>
      <c r="E18" s="374">
        <f t="shared" si="1"/>
        <v>3434.25</v>
      </c>
      <c r="G18" s="547" t="s">
        <v>98</v>
      </c>
      <c r="H18" s="547"/>
      <c r="I18" s="75">
        <f>SUM(I16:I17)</f>
        <v>82631.472806666658</v>
      </c>
    </row>
    <row r="19" spans="2:9" ht="16.5" x14ac:dyDescent="0.25">
      <c r="B19" s="65">
        <v>0</v>
      </c>
      <c r="C19" s="261" t="s">
        <v>193</v>
      </c>
      <c r="D19" s="45">
        <f>'Costo por Actividades'!P38</f>
        <v>30.630000000000003</v>
      </c>
      <c r="E19" s="374">
        <f t="shared" si="1"/>
        <v>0</v>
      </c>
      <c r="G19" s="437"/>
      <c r="H19" s="437"/>
      <c r="I19" s="91"/>
    </row>
    <row r="20" spans="2:9" ht="16.5" x14ac:dyDescent="0.25">
      <c r="B20" s="65">
        <v>1</v>
      </c>
      <c r="C20" s="204" t="s">
        <v>155</v>
      </c>
      <c r="D20" s="45">
        <f>'Costo por Actividades'!P8+'Costo por Actividades'!P15+'Costo por Actividades'!P21+'Costo por Actividades'!P26+'Costo por Actividades'!P42+'Costo por Actividades'!P47+'Costo por Actividades'!P53+'Costo por Actividades'!P57+'Costo por Actividades'!P61+'Costo por Actividades'!P67+'Costo por Actividades'!P71+'Costo por Actividades'!P76+'Costo por Actividades'!P80+'Costo por Actividades'!P84+'Costo por Actividades'!P88</f>
        <v>2534.3999999999996</v>
      </c>
      <c r="E20" s="45">
        <f t="shared" ref="E20" si="2">+B20*D20</f>
        <v>2534.3999999999996</v>
      </c>
    </row>
    <row r="21" spans="2:9" ht="16.5" x14ac:dyDescent="0.25">
      <c r="B21" s="65">
        <v>1</v>
      </c>
      <c r="C21" s="204" t="s">
        <v>19</v>
      </c>
      <c r="D21" s="45">
        <f>'Costo por Actividades'!P10+'Costo por Actividades'!P16+'Costo por Actividades'!P22+'Costo por Actividades'!P27+'Costo por Actividades'!P43+'Costo por Actividades'!P87</f>
        <v>421.66666666666663</v>
      </c>
      <c r="E21" s="45">
        <f>+B21*D21</f>
        <v>421.66666666666663</v>
      </c>
    </row>
    <row r="22" spans="2:9" x14ac:dyDescent="0.25">
      <c r="B22" s="552" t="s">
        <v>62</v>
      </c>
      <c r="C22" s="552"/>
      <c r="D22" s="552"/>
      <c r="E22" s="61">
        <f>SUM(E13:E21)</f>
        <v>16238.840733333333</v>
      </c>
    </row>
    <row r="23" spans="2:9" x14ac:dyDescent="0.25">
      <c r="B23" s="549" t="s">
        <v>63</v>
      </c>
      <c r="C23" s="549"/>
      <c r="D23" s="549"/>
      <c r="E23" s="71">
        <f>+E7+E12+E22</f>
        <v>75119.520733333338</v>
      </c>
    </row>
    <row r="26" spans="2:9" x14ac:dyDescent="0.25">
      <c r="B26" t="s">
        <v>65</v>
      </c>
      <c r="C26" s="73"/>
      <c r="D26" s="72"/>
      <c r="E26" s="72"/>
    </row>
    <row r="27" spans="2:9" x14ac:dyDescent="0.25">
      <c r="B27" s="3" t="s">
        <v>64</v>
      </c>
      <c r="C27" s="3"/>
      <c r="D27" s="548" t="s">
        <v>66</v>
      </c>
      <c r="E27" s="548"/>
    </row>
    <row r="29" spans="2:9" x14ac:dyDescent="0.25">
      <c r="B29" s="3" t="s">
        <v>67</v>
      </c>
    </row>
  </sheetData>
  <mergeCells count="10">
    <mergeCell ref="B2:E2"/>
    <mergeCell ref="B3:E3"/>
    <mergeCell ref="B7:D7"/>
    <mergeCell ref="B12:D12"/>
    <mergeCell ref="B22:D22"/>
    <mergeCell ref="G16:H16"/>
    <mergeCell ref="G17:H17"/>
    <mergeCell ref="G18:H18"/>
    <mergeCell ref="D27:E27"/>
    <mergeCell ref="B23:D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B11" zoomScale="80" zoomScaleNormal="80" workbookViewId="0">
      <selection activeCell="C20" sqref="C20"/>
    </sheetView>
  </sheetViews>
  <sheetFormatPr baseColWidth="10" defaultColWidth="11.42578125" defaultRowHeight="12.75" x14ac:dyDescent="0.2"/>
  <cols>
    <col min="1" max="1" width="11.42578125" style="79"/>
    <col min="2" max="2" width="44.28515625" style="79" customWidth="1"/>
    <col min="3" max="3" width="19.7109375" style="79" customWidth="1"/>
    <col min="4" max="4" width="37.85546875" style="79" customWidth="1"/>
    <col min="5" max="5" width="12.7109375" style="79" bestFit="1" customWidth="1"/>
    <col min="6" max="16384" width="11.42578125" style="79"/>
  </cols>
  <sheetData>
    <row r="1" spans="1:5" x14ac:dyDescent="0.2">
      <c r="A1" s="205" t="s">
        <v>213</v>
      </c>
      <c r="B1" s="206"/>
      <c r="C1" s="207" t="s">
        <v>68</v>
      </c>
      <c r="D1" s="208" t="s">
        <v>101</v>
      </c>
      <c r="E1" s="78"/>
    </row>
    <row r="2" spans="1:5" x14ac:dyDescent="0.2">
      <c r="A2" s="209" t="s">
        <v>69</v>
      </c>
      <c r="B2" s="210"/>
      <c r="C2" s="210"/>
      <c r="D2" s="211"/>
      <c r="E2" s="78"/>
    </row>
    <row r="3" spans="1:5" x14ac:dyDescent="0.2">
      <c r="A3" s="212" t="s">
        <v>214</v>
      </c>
      <c r="B3" s="213"/>
      <c r="C3" s="213"/>
      <c r="D3" s="214"/>
      <c r="E3" s="78"/>
    </row>
    <row r="4" spans="1:5" ht="13.5" thickBot="1" x14ac:dyDescent="0.25">
      <c r="A4" s="84"/>
      <c r="B4" s="78"/>
      <c r="C4" s="78"/>
      <c r="D4" s="85"/>
    </row>
    <row r="5" spans="1:5" ht="27" thickBot="1" x14ac:dyDescent="0.45">
      <c r="A5" s="84"/>
      <c r="B5" s="78"/>
      <c r="C5" s="78"/>
      <c r="D5" s="215" t="s">
        <v>70</v>
      </c>
    </row>
    <row r="6" spans="1:5" x14ac:dyDescent="0.2">
      <c r="A6" s="84"/>
      <c r="B6" s="78"/>
      <c r="C6" s="78"/>
      <c r="D6" s="85"/>
    </row>
    <row r="7" spans="1:5" x14ac:dyDescent="0.2">
      <c r="A7" s="84"/>
      <c r="B7" s="78"/>
      <c r="C7" s="78"/>
      <c r="D7" s="85"/>
    </row>
    <row r="8" spans="1:5" ht="15.75" x14ac:dyDescent="0.25">
      <c r="A8" s="216" t="s">
        <v>71</v>
      </c>
      <c r="B8" s="217" t="s">
        <v>215</v>
      </c>
      <c r="C8" s="218"/>
      <c r="D8" s="219" t="s">
        <v>72</v>
      </c>
      <c r="E8" s="78"/>
    </row>
    <row r="9" spans="1:5" x14ac:dyDescent="0.2">
      <c r="A9" s="220"/>
      <c r="B9" s="221"/>
      <c r="C9" s="221"/>
      <c r="D9" s="222"/>
      <c r="E9" s="78"/>
    </row>
    <row r="10" spans="1:5" x14ac:dyDescent="0.2">
      <c r="A10" s="209" t="s">
        <v>73</v>
      </c>
      <c r="B10" s="223" t="s">
        <v>217</v>
      </c>
      <c r="C10" s="210"/>
      <c r="D10" s="222" t="s">
        <v>216</v>
      </c>
      <c r="E10" s="78"/>
    </row>
    <row r="11" spans="1:5" x14ac:dyDescent="0.2">
      <c r="A11" s="209" t="s">
        <v>74</v>
      </c>
      <c r="B11" s="223" t="s">
        <v>218</v>
      </c>
      <c r="C11" s="210"/>
      <c r="D11" s="222" t="s">
        <v>75</v>
      </c>
      <c r="E11" s="78"/>
    </row>
    <row r="12" spans="1:5" x14ac:dyDescent="0.2">
      <c r="A12" s="209"/>
      <c r="B12" s="210"/>
      <c r="C12" s="210" t="s">
        <v>100</v>
      </c>
      <c r="D12" s="222" t="s">
        <v>99</v>
      </c>
      <c r="E12" s="78"/>
    </row>
    <row r="13" spans="1:5" x14ac:dyDescent="0.2">
      <c r="A13" s="224" t="s">
        <v>76</v>
      </c>
      <c r="B13" s="225">
        <v>88372387</v>
      </c>
      <c r="C13" s="226" t="s">
        <v>77</v>
      </c>
      <c r="D13" s="227"/>
    </row>
    <row r="14" spans="1:5" x14ac:dyDescent="0.2">
      <c r="A14" s="86"/>
      <c r="B14" s="87"/>
      <c r="C14" s="87"/>
      <c r="D14" s="88"/>
    </row>
    <row r="15" spans="1:5" x14ac:dyDescent="0.2">
      <c r="A15" s="228" t="s">
        <v>90</v>
      </c>
      <c r="B15" s="229"/>
      <c r="C15" s="218"/>
      <c r="D15" s="230"/>
    </row>
    <row r="16" spans="1:5" x14ac:dyDescent="0.2">
      <c r="A16" s="231" t="s">
        <v>219</v>
      </c>
      <c r="B16" s="232"/>
      <c r="C16" s="232"/>
      <c r="D16" s="233"/>
    </row>
    <row r="17" spans="1:5" x14ac:dyDescent="0.2">
      <c r="A17" s="84"/>
      <c r="B17" s="78"/>
      <c r="C17" s="78"/>
      <c r="D17" s="85"/>
    </row>
    <row r="18" spans="1:5" x14ac:dyDescent="0.2">
      <c r="A18" s="234" t="s">
        <v>25</v>
      </c>
      <c r="B18" s="235" t="s">
        <v>26</v>
      </c>
      <c r="C18" s="236" t="s">
        <v>78</v>
      </c>
      <c r="D18" s="236" t="s">
        <v>36</v>
      </c>
    </row>
    <row r="19" spans="1:5" ht="16.5" x14ac:dyDescent="0.2">
      <c r="A19" s="89">
        <v>1</v>
      </c>
      <c r="B19" s="56" t="s">
        <v>209</v>
      </c>
      <c r="C19" s="93">
        <f>'Presupuesto del proyecto'!E6</f>
        <v>2920.68</v>
      </c>
      <c r="D19" s="237">
        <f>+A19*C19</f>
        <v>2920.68</v>
      </c>
      <c r="E19" s="83"/>
    </row>
    <row r="20" spans="1:5" ht="16.5" x14ac:dyDescent="0.2">
      <c r="A20" s="89">
        <v>1</v>
      </c>
      <c r="B20" s="56" t="s">
        <v>220</v>
      </c>
      <c r="C20" s="93">
        <f>'Presupuesto del proyecto'!E12+'Presupuesto del proyecto'!E22+'Presupuesto del proyecto'!I17</f>
        <v>79710.792806666665</v>
      </c>
      <c r="D20" s="237">
        <f t="shared" ref="D20" si="0">+A20*C20</f>
        <v>79710.792806666665</v>
      </c>
      <c r="E20" s="83"/>
    </row>
    <row r="21" spans="1:5" x14ac:dyDescent="0.2">
      <c r="A21" s="78"/>
      <c r="B21" s="78"/>
      <c r="C21" s="78"/>
      <c r="D21" s="78"/>
      <c r="E21" s="78"/>
    </row>
    <row r="22" spans="1:5" x14ac:dyDescent="0.2">
      <c r="A22" s="78"/>
      <c r="B22" s="78"/>
      <c r="C22" s="238" t="s">
        <v>79</v>
      </c>
      <c r="D22" s="553">
        <f>SUM(D19:D21)</f>
        <v>82631.472806666658</v>
      </c>
      <c r="E22" s="453">
        <v>82631.47</v>
      </c>
    </row>
    <row r="23" spans="1:5" x14ac:dyDescent="0.2">
      <c r="A23" s="78"/>
      <c r="B23" s="78"/>
      <c r="C23" s="239" t="s">
        <v>80</v>
      </c>
      <c r="D23" s="554"/>
    </row>
    <row r="24" spans="1:5" x14ac:dyDescent="0.2">
      <c r="A24" s="78"/>
      <c r="B24" s="78"/>
      <c r="C24" s="80"/>
      <c r="D24" s="81"/>
    </row>
    <row r="25" spans="1:5" ht="12.75" customHeight="1" x14ac:dyDescent="0.2">
      <c r="A25" s="556"/>
      <c r="B25" s="556"/>
      <c r="C25" s="558"/>
      <c r="D25" s="553"/>
    </row>
    <row r="26" spans="1:5" x14ac:dyDescent="0.2">
      <c r="A26" s="557"/>
      <c r="B26" s="557"/>
      <c r="C26" s="559"/>
      <c r="D26" s="555"/>
    </row>
    <row r="27" spans="1:5" x14ac:dyDescent="0.2">
      <c r="A27" s="557"/>
      <c r="B27" s="557"/>
      <c r="C27" s="78"/>
    </row>
    <row r="28" spans="1:5" x14ac:dyDescent="0.2">
      <c r="A28" s="557"/>
      <c r="B28" s="557"/>
      <c r="D28" s="78"/>
    </row>
    <row r="29" spans="1:5" x14ac:dyDescent="0.2">
      <c r="A29" s="557"/>
      <c r="B29" s="557"/>
    </row>
    <row r="30" spans="1:5" x14ac:dyDescent="0.2">
      <c r="A30" s="557"/>
      <c r="B30" s="557"/>
      <c r="C30" s="78"/>
      <c r="D30" s="78"/>
    </row>
    <row r="31" spans="1:5" ht="15.75" x14ac:dyDescent="0.25">
      <c r="A31" s="557"/>
      <c r="B31" s="557"/>
      <c r="C31" s="240" t="s">
        <v>81</v>
      </c>
      <c r="D31" s="241">
        <f>D25+D22</f>
        <v>82631.472806666658</v>
      </c>
    </row>
    <row r="33" spans="1:5" x14ac:dyDescent="0.2">
      <c r="A33" s="242" t="s">
        <v>82</v>
      </c>
      <c r="B33" s="242"/>
      <c r="C33" s="242"/>
      <c r="D33" s="242"/>
      <c r="E33" s="82"/>
    </row>
    <row r="35" spans="1:5" x14ac:dyDescent="0.2">
      <c r="A35" s="243" t="s">
        <v>83</v>
      </c>
      <c r="B35" s="244"/>
      <c r="C35" s="245" t="s">
        <v>84</v>
      </c>
      <c r="D35" s="246"/>
    </row>
    <row r="36" spans="1:5" x14ac:dyDescent="0.2">
      <c r="A36" s="247"/>
      <c r="B36" s="221"/>
      <c r="C36" s="248" t="s">
        <v>85</v>
      </c>
      <c r="D36" s="249"/>
    </row>
    <row r="37" spans="1:5" x14ac:dyDescent="0.2">
      <c r="A37" s="247" t="s">
        <v>86</v>
      </c>
      <c r="B37" s="221"/>
      <c r="C37" s="247"/>
      <c r="D37" s="250"/>
    </row>
    <row r="38" spans="1:5" x14ac:dyDescent="0.2">
      <c r="A38" s="247"/>
      <c r="B38" s="221"/>
      <c r="C38" s="248" t="s">
        <v>87</v>
      </c>
      <c r="D38" s="250"/>
    </row>
    <row r="39" spans="1:5" x14ac:dyDescent="0.2">
      <c r="A39" s="251"/>
      <c r="B39" s="232"/>
      <c r="C39" s="252" t="s">
        <v>88</v>
      </c>
      <c r="D39" s="253"/>
    </row>
    <row r="40" spans="1:5" ht="13.5" thickBot="1" x14ac:dyDescent="0.25"/>
    <row r="41" spans="1:5" x14ac:dyDescent="0.2">
      <c r="A41" s="254" t="s">
        <v>89</v>
      </c>
      <c r="B41" s="255"/>
      <c r="C41" s="255"/>
      <c r="D41" s="256"/>
      <c r="E41" s="82"/>
    </row>
    <row r="42" spans="1:5" ht="13.5" thickBot="1" x14ac:dyDescent="0.25">
      <c r="A42" s="257" t="s">
        <v>153</v>
      </c>
      <c r="B42" s="258"/>
      <c r="C42" s="258"/>
      <c r="D42" s="259"/>
      <c r="E42" s="82"/>
    </row>
  </sheetData>
  <mergeCells count="10">
    <mergeCell ref="A28:B28"/>
    <mergeCell ref="A29:B29"/>
    <mergeCell ref="A30:B30"/>
    <mergeCell ref="A31:B31"/>
    <mergeCell ref="C25:C26"/>
    <mergeCell ref="D22:D23"/>
    <mergeCell ref="D25:D26"/>
    <mergeCell ref="A25:B25"/>
    <mergeCell ref="A26:B26"/>
    <mergeCell ref="A27:B27"/>
  </mergeCells>
  <printOptions horizontalCentered="1" verticalCentered="1"/>
  <pageMargins left="0.78740157480314965" right="0.78740157480314965" top="0.98425196850393704" bottom="0.98425196850393704" header="0" footer="0"/>
  <pageSetup paperSize="9" scale="80" orientation="portrait" horizont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zoomScale="70" zoomScaleNormal="70" workbookViewId="0">
      <selection activeCell="E92" sqref="E92"/>
    </sheetView>
  </sheetViews>
  <sheetFormatPr baseColWidth="10" defaultColWidth="11.42578125" defaultRowHeight="15" x14ac:dyDescent="0.25"/>
  <cols>
    <col min="1" max="1" width="17.7109375" customWidth="1"/>
    <col min="2" max="2" width="32.5703125" customWidth="1"/>
    <col min="3" max="3" width="9.7109375" customWidth="1"/>
    <col min="4" max="4" width="8.5703125" customWidth="1"/>
    <col min="5" max="5" width="16.7109375" customWidth="1"/>
    <col min="6" max="6" width="13.28515625" customWidth="1"/>
    <col min="7" max="7" width="19.28515625" customWidth="1"/>
    <col min="8" max="8" width="8.7109375" customWidth="1"/>
    <col min="9" max="9" width="16.42578125" customWidth="1"/>
    <col min="10" max="10" width="13.85546875" customWidth="1"/>
    <col min="11" max="11" width="27.28515625" customWidth="1"/>
    <col min="12" max="12" width="9.5703125" customWidth="1"/>
    <col min="13" max="13" width="39.5703125" customWidth="1"/>
    <col min="14" max="14" width="22.42578125" customWidth="1"/>
    <col min="15" max="15" width="25.7109375" customWidth="1"/>
    <col min="16" max="16" width="20.5703125" customWidth="1"/>
  </cols>
  <sheetData>
    <row r="1" spans="1:16" ht="36.75" customHeight="1" thickBot="1" x14ac:dyDescent="0.3">
      <c r="H1" s="572" t="s">
        <v>104</v>
      </c>
      <c r="I1" s="572"/>
      <c r="J1" s="572"/>
      <c r="K1" s="572"/>
      <c r="L1" s="572"/>
      <c r="M1" s="572"/>
      <c r="N1" s="572"/>
      <c r="O1" s="572"/>
      <c r="P1" s="572"/>
    </row>
    <row r="2" spans="1:16" ht="17.25" hidden="1" customHeight="1" thickBot="1" x14ac:dyDescent="0.3"/>
    <row r="3" spans="1:16" ht="30" customHeight="1" thickBot="1" x14ac:dyDescent="0.3">
      <c r="A3" s="585"/>
      <c r="B3" s="586"/>
      <c r="C3" s="589" t="s">
        <v>43</v>
      </c>
      <c r="D3" s="598" t="s">
        <v>33</v>
      </c>
      <c r="E3" s="596"/>
      <c r="F3" s="596"/>
      <c r="G3" s="597"/>
      <c r="H3" s="595" t="s">
        <v>44</v>
      </c>
      <c r="I3" s="596"/>
      <c r="J3" s="596"/>
      <c r="K3" s="597"/>
      <c r="L3" s="595" t="s">
        <v>34</v>
      </c>
      <c r="M3" s="596"/>
      <c r="N3" s="596"/>
      <c r="O3" s="597"/>
      <c r="P3" s="591" t="s">
        <v>45</v>
      </c>
    </row>
    <row r="4" spans="1:16" ht="18.75" customHeight="1" thickBot="1" x14ac:dyDescent="0.3">
      <c r="A4" s="587"/>
      <c r="B4" s="588"/>
      <c r="C4" s="590"/>
      <c r="D4" s="18" t="s">
        <v>25</v>
      </c>
      <c r="E4" s="6" t="s">
        <v>37</v>
      </c>
      <c r="F4" s="6" t="s">
        <v>35</v>
      </c>
      <c r="G4" s="7" t="s">
        <v>36</v>
      </c>
      <c r="H4" s="8" t="s">
        <v>25</v>
      </c>
      <c r="I4" s="6" t="s">
        <v>37</v>
      </c>
      <c r="J4" s="6" t="s">
        <v>35</v>
      </c>
      <c r="K4" s="7" t="s">
        <v>36</v>
      </c>
      <c r="L4" s="8" t="s">
        <v>25</v>
      </c>
      <c r="M4" s="6" t="s">
        <v>37</v>
      </c>
      <c r="N4" s="6" t="s">
        <v>35</v>
      </c>
      <c r="O4" s="7" t="s">
        <v>36</v>
      </c>
      <c r="P4" s="592"/>
    </row>
    <row r="5" spans="1:16" ht="15" customHeight="1" x14ac:dyDescent="0.25">
      <c r="A5" s="628" t="s">
        <v>22</v>
      </c>
      <c r="B5" s="606" t="s">
        <v>117</v>
      </c>
      <c r="C5" s="611">
        <v>2</v>
      </c>
      <c r="D5" s="28"/>
      <c r="E5" s="29"/>
      <c r="F5" s="29"/>
      <c r="G5" s="30"/>
      <c r="H5" s="31"/>
      <c r="I5" s="29"/>
      <c r="J5" s="29"/>
      <c r="K5" s="30"/>
      <c r="L5" s="32"/>
      <c r="M5" s="33"/>
      <c r="N5" s="34"/>
      <c r="O5" s="35"/>
      <c r="P5" s="593">
        <f>O8+K8</f>
        <v>1380</v>
      </c>
    </row>
    <row r="6" spans="1:16" ht="15" customHeight="1" x14ac:dyDescent="0.25">
      <c r="A6" s="629"/>
      <c r="B6" s="607"/>
      <c r="C6" s="612"/>
      <c r="D6" s="36"/>
      <c r="E6" s="37"/>
      <c r="F6" s="37"/>
      <c r="G6" s="38"/>
      <c r="H6" s="32">
        <v>1</v>
      </c>
      <c r="I6" s="39" t="s">
        <v>38</v>
      </c>
      <c r="J6" s="117">
        <f>(7000/30)*C5</f>
        <v>466.66666666666669</v>
      </c>
      <c r="K6" s="35">
        <f>+H6*J6</f>
        <v>466.66666666666669</v>
      </c>
      <c r="L6" s="32">
        <v>2</v>
      </c>
      <c r="M6" s="39" t="s">
        <v>41</v>
      </c>
      <c r="N6" s="34">
        <f>(J6+J7)*0.1</f>
        <v>113.33333333333333</v>
      </c>
      <c r="O6" s="35">
        <f>N6*L6</f>
        <v>226.66666666666666</v>
      </c>
      <c r="P6" s="561"/>
    </row>
    <row r="7" spans="1:16" ht="22.5" customHeight="1" x14ac:dyDescent="0.25">
      <c r="A7" s="629"/>
      <c r="B7" s="607"/>
      <c r="C7" s="612"/>
      <c r="D7" s="36"/>
      <c r="E7" s="37"/>
      <c r="F7" s="37"/>
      <c r="G7" s="38"/>
      <c r="H7" s="32">
        <v>1</v>
      </c>
      <c r="I7" s="39" t="s">
        <v>39</v>
      </c>
      <c r="J7" s="118">
        <f>(10000/30)*2</f>
        <v>666.66666666666663</v>
      </c>
      <c r="K7" s="119">
        <f>+H7*J7</f>
        <v>666.66666666666663</v>
      </c>
      <c r="L7" s="32">
        <v>2</v>
      </c>
      <c r="M7" s="39" t="s">
        <v>40</v>
      </c>
      <c r="N7" s="34">
        <f>5*C5</f>
        <v>10</v>
      </c>
      <c r="O7" s="35">
        <f>+L7*N7</f>
        <v>20</v>
      </c>
      <c r="P7" s="561"/>
    </row>
    <row r="8" spans="1:16" s="133" customFormat="1" ht="22.5" customHeight="1" x14ac:dyDescent="0.25">
      <c r="A8" s="629"/>
      <c r="B8" s="122"/>
      <c r="C8" s="123"/>
      <c r="D8" s="124"/>
      <c r="E8" s="125"/>
      <c r="F8" s="125"/>
      <c r="G8" s="135">
        <f>SUM(G5:G7)</f>
        <v>0</v>
      </c>
      <c r="H8" s="126"/>
      <c r="I8" s="127"/>
      <c r="J8" s="128"/>
      <c r="K8" s="129">
        <f>SUM(K6:K7)</f>
        <v>1133.3333333333333</v>
      </c>
      <c r="L8" s="126"/>
      <c r="M8" s="130"/>
      <c r="N8" s="131"/>
      <c r="O8" s="132">
        <f>O6+O7</f>
        <v>246.66666666666666</v>
      </c>
      <c r="P8" s="561"/>
    </row>
    <row r="9" spans="1:16" ht="27" customHeight="1" x14ac:dyDescent="0.25">
      <c r="A9" s="629"/>
      <c r="B9" s="637" t="s">
        <v>118</v>
      </c>
      <c r="C9" s="639">
        <v>3</v>
      </c>
      <c r="D9" s="36"/>
      <c r="E9" s="37"/>
      <c r="F9" s="37"/>
      <c r="G9" s="134"/>
      <c r="H9" s="32">
        <v>1</v>
      </c>
      <c r="I9" s="39" t="s">
        <v>38</v>
      </c>
      <c r="J9" s="118">
        <f>(7000/30)*C9</f>
        <v>700</v>
      </c>
      <c r="K9" s="118">
        <f>H9*J9</f>
        <v>700</v>
      </c>
      <c r="L9" s="32">
        <v>1</v>
      </c>
      <c r="M9" s="39" t="s">
        <v>24</v>
      </c>
      <c r="N9" s="34">
        <f>12*C9</f>
        <v>36</v>
      </c>
      <c r="O9" s="35">
        <f>+L9*N9</f>
        <v>36</v>
      </c>
      <c r="P9" s="561">
        <f>O12+K12</f>
        <v>2106</v>
      </c>
    </row>
    <row r="10" spans="1:16" ht="37.5" customHeight="1" x14ac:dyDescent="0.25">
      <c r="A10" s="629"/>
      <c r="B10" s="637"/>
      <c r="C10" s="640"/>
      <c r="D10" s="36"/>
      <c r="E10" s="2"/>
      <c r="F10" s="2"/>
      <c r="G10" s="40"/>
      <c r="H10" s="32">
        <v>1</v>
      </c>
      <c r="I10" s="39" t="s">
        <v>39</v>
      </c>
      <c r="J10" s="118">
        <f>(10000/30)*3</f>
        <v>1000</v>
      </c>
      <c r="K10" s="118">
        <f>H10*J10</f>
        <v>1000</v>
      </c>
      <c r="L10" s="32">
        <v>2</v>
      </c>
      <c r="M10" s="39" t="s">
        <v>41</v>
      </c>
      <c r="N10" s="34">
        <f>+(K9+K10)*0.1</f>
        <v>170</v>
      </c>
      <c r="O10" s="35">
        <f t="shared" ref="O10" si="0">+L10*N10</f>
        <v>340</v>
      </c>
      <c r="P10" s="561"/>
    </row>
    <row r="11" spans="1:16" ht="37.5" customHeight="1" x14ac:dyDescent="0.25">
      <c r="A11" s="629"/>
      <c r="B11" s="638"/>
      <c r="C11" s="641"/>
      <c r="D11" s="150"/>
      <c r="E11" s="150"/>
      <c r="F11" s="150"/>
      <c r="G11" s="151"/>
      <c r="H11" s="152"/>
      <c r="I11" s="39"/>
      <c r="J11" s="118"/>
      <c r="K11" s="136"/>
      <c r="L11" s="32">
        <v>2</v>
      </c>
      <c r="M11" s="39" t="s">
        <v>40</v>
      </c>
      <c r="N11" s="34">
        <f>5*C9</f>
        <v>15</v>
      </c>
      <c r="O11" s="35">
        <f>N11*L11</f>
        <v>30</v>
      </c>
      <c r="P11" s="561"/>
    </row>
    <row r="12" spans="1:16" ht="16.5" customHeight="1" x14ac:dyDescent="0.25">
      <c r="A12" s="630"/>
      <c r="B12" s="121"/>
      <c r="C12" s="121"/>
      <c r="D12" s="570"/>
      <c r="E12" s="570"/>
      <c r="F12" s="571"/>
      <c r="G12" s="104">
        <f>SUM(G9:G11)</f>
        <v>0</v>
      </c>
      <c r="H12" s="569"/>
      <c r="I12" s="570"/>
      <c r="J12" s="571"/>
      <c r="K12" s="104">
        <f>SUM(K9:K10)</f>
        <v>1700</v>
      </c>
      <c r="L12" s="105"/>
      <c r="M12" s="106"/>
      <c r="N12" s="107"/>
      <c r="O12" s="108">
        <f>SUM(O9:O11)</f>
        <v>406</v>
      </c>
      <c r="P12" s="562"/>
    </row>
    <row r="13" spans="1:16" ht="24" customHeight="1" x14ac:dyDescent="0.25">
      <c r="A13" s="615" t="s">
        <v>21</v>
      </c>
      <c r="B13" s="631" t="s">
        <v>119</v>
      </c>
      <c r="C13" s="642">
        <v>1</v>
      </c>
      <c r="D13" s="20"/>
      <c r="E13" s="27"/>
      <c r="F13" s="21"/>
      <c r="G13" s="22"/>
      <c r="H13" s="9">
        <v>1</v>
      </c>
      <c r="I13" s="14" t="s">
        <v>38</v>
      </c>
      <c r="J13" s="138">
        <f>(7000/30)*C13</f>
        <v>233.33333333333334</v>
      </c>
      <c r="K13" s="137">
        <f>+H13*J13</f>
        <v>233.33333333333334</v>
      </c>
      <c r="L13" s="9">
        <v>2</v>
      </c>
      <c r="M13" s="39" t="s">
        <v>42</v>
      </c>
      <c r="N13" s="25">
        <f>(0.46*24.5)*C13</f>
        <v>11.270000000000001</v>
      </c>
      <c r="O13" s="26">
        <f>+L13*N13</f>
        <v>22.540000000000003</v>
      </c>
      <c r="P13" s="560">
        <f>O15+K15</f>
        <v>598.20666666666659</v>
      </c>
    </row>
    <row r="14" spans="1:16" ht="24" customHeight="1" x14ac:dyDescent="0.25">
      <c r="A14" s="616"/>
      <c r="B14" s="632"/>
      <c r="C14" s="643"/>
      <c r="D14" s="20"/>
      <c r="E14" s="27"/>
      <c r="F14" s="21"/>
      <c r="G14" s="22"/>
      <c r="H14" s="139">
        <v>1</v>
      </c>
      <c r="I14" s="39" t="s">
        <v>39</v>
      </c>
      <c r="J14" s="140">
        <f>10000/30*C13</f>
        <v>333.33333333333331</v>
      </c>
      <c r="K14" s="137">
        <f>J14*H14</f>
        <v>333.33333333333331</v>
      </c>
      <c r="L14" s="9">
        <v>2</v>
      </c>
      <c r="M14" s="39" t="s">
        <v>125</v>
      </c>
      <c r="N14" s="25">
        <f>4.5*C13</f>
        <v>4.5</v>
      </c>
      <c r="O14" s="26">
        <f>N14*L14</f>
        <v>9</v>
      </c>
      <c r="P14" s="561"/>
    </row>
    <row r="15" spans="1:16" ht="24" customHeight="1" x14ac:dyDescent="0.25">
      <c r="A15" s="616"/>
      <c r="B15" s="141"/>
      <c r="C15" s="142"/>
      <c r="D15" s="111"/>
      <c r="E15" s="143"/>
      <c r="F15" s="112"/>
      <c r="G15" s="144">
        <f>G13+G14</f>
        <v>0</v>
      </c>
      <c r="H15" s="145"/>
      <c r="I15" s="127"/>
      <c r="J15" s="146"/>
      <c r="K15" s="147">
        <f>K13+K14</f>
        <v>566.66666666666663</v>
      </c>
      <c r="L15" s="126"/>
      <c r="M15" s="130"/>
      <c r="N15" s="107"/>
      <c r="O15" s="108">
        <f>O13+O14</f>
        <v>31.540000000000003</v>
      </c>
      <c r="P15" s="561"/>
    </row>
    <row r="16" spans="1:16" ht="29.25" customHeight="1" x14ac:dyDescent="0.25">
      <c r="A16" s="616"/>
      <c r="B16" s="631" t="s">
        <v>120</v>
      </c>
      <c r="C16" s="642">
        <v>2</v>
      </c>
      <c r="D16" s="20"/>
      <c r="E16" s="27"/>
      <c r="F16" s="21"/>
      <c r="G16" s="22"/>
      <c r="H16" s="9">
        <v>1</v>
      </c>
      <c r="I16" s="14" t="s">
        <v>38</v>
      </c>
      <c r="J16" s="138">
        <f>(7000/30)*C16</f>
        <v>466.66666666666669</v>
      </c>
      <c r="K16" s="137">
        <f>+H16*J16</f>
        <v>466.66666666666669</v>
      </c>
      <c r="L16" s="9">
        <v>2</v>
      </c>
      <c r="M16" s="39" t="s">
        <v>42</v>
      </c>
      <c r="N16" s="25">
        <f>(0.46*24.5)*C16</f>
        <v>22.540000000000003</v>
      </c>
      <c r="O16" s="26">
        <f>+L16*N16</f>
        <v>45.080000000000005</v>
      </c>
      <c r="P16" s="561">
        <f>O18+K18</f>
        <v>1196.4133333333332</v>
      </c>
    </row>
    <row r="17" spans="1:16" ht="29.25" customHeight="1" x14ac:dyDescent="0.25">
      <c r="A17" s="616"/>
      <c r="B17" s="632"/>
      <c r="C17" s="643"/>
      <c r="D17" s="20"/>
      <c r="E17" s="27"/>
      <c r="F17" s="21"/>
      <c r="G17" s="22"/>
      <c r="H17" s="139">
        <v>1</v>
      </c>
      <c r="I17" s="39" t="s">
        <v>39</v>
      </c>
      <c r="J17" s="140">
        <f>10000/30*C16</f>
        <v>666.66666666666663</v>
      </c>
      <c r="K17" s="137">
        <f>J17*H17</f>
        <v>666.66666666666663</v>
      </c>
      <c r="L17" s="9">
        <v>2</v>
      </c>
      <c r="M17" s="39" t="s">
        <v>125</v>
      </c>
      <c r="N17" s="25">
        <f>4.5*C16</f>
        <v>9</v>
      </c>
      <c r="O17" s="26">
        <f>N17*L17</f>
        <v>18</v>
      </c>
      <c r="P17" s="561"/>
    </row>
    <row r="18" spans="1:16" ht="29.25" customHeight="1" x14ac:dyDescent="0.25">
      <c r="A18" s="616"/>
      <c r="B18" s="120"/>
      <c r="C18" s="142"/>
      <c r="D18" s="111"/>
      <c r="E18" s="143"/>
      <c r="F18" s="112"/>
      <c r="G18" s="144">
        <f>G16</f>
        <v>0</v>
      </c>
      <c r="H18" s="113"/>
      <c r="I18" s="143"/>
      <c r="J18" s="112"/>
      <c r="K18" s="147">
        <f>K16+K17</f>
        <v>1133.3333333333333</v>
      </c>
      <c r="L18" s="126"/>
      <c r="M18" s="130"/>
      <c r="N18" s="107"/>
      <c r="O18" s="108">
        <f>O16+O17</f>
        <v>63.080000000000005</v>
      </c>
      <c r="P18" s="561"/>
    </row>
    <row r="19" spans="1:16" ht="41.25" customHeight="1" x14ac:dyDescent="0.25">
      <c r="A19" s="616"/>
      <c r="B19" s="631" t="s">
        <v>121</v>
      </c>
      <c r="C19" s="642">
        <v>3</v>
      </c>
      <c r="D19" s="20"/>
      <c r="E19" s="27"/>
      <c r="F19" s="21"/>
      <c r="G19" s="22"/>
      <c r="H19" s="9">
        <v>1</v>
      </c>
      <c r="I19" s="14" t="s">
        <v>38</v>
      </c>
      <c r="J19" s="138">
        <f>(7000/30)*C19</f>
        <v>700</v>
      </c>
      <c r="K19" s="137">
        <f>+H19*J19</f>
        <v>700</v>
      </c>
      <c r="L19" s="9">
        <v>2</v>
      </c>
      <c r="M19" s="39" t="s">
        <v>42</v>
      </c>
      <c r="N19" s="25">
        <f>(0.46*24.5)*C19</f>
        <v>33.81</v>
      </c>
      <c r="O19" s="26">
        <f>+L19*N19</f>
        <v>67.62</v>
      </c>
      <c r="P19" s="561">
        <f>O21+K21</f>
        <v>1794.62</v>
      </c>
    </row>
    <row r="20" spans="1:16" ht="41.25" customHeight="1" x14ac:dyDescent="0.25">
      <c r="A20" s="616"/>
      <c r="B20" s="633"/>
      <c r="C20" s="644"/>
      <c r="D20" s="20"/>
      <c r="E20" s="27"/>
      <c r="F20" s="21"/>
      <c r="G20" s="22"/>
      <c r="H20" s="139">
        <v>1</v>
      </c>
      <c r="I20" s="39" t="s">
        <v>39</v>
      </c>
      <c r="J20" s="140">
        <f>10000/30*C19</f>
        <v>1000</v>
      </c>
      <c r="K20" s="137">
        <f>J20*H20</f>
        <v>1000</v>
      </c>
      <c r="L20" s="9">
        <v>2</v>
      </c>
      <c r="M20" s="39" t="s">
        <v>125</v>
      </c>
      <c r="N20" s="25">
        <f>4.5*C19</f>
        <v>13.5</v>
      </c>
      <c r="O20" s="26">
        <f>N20*L20</f>
        <v>27</v>
      </c>
      <c r="P20" s="561"/>
    </row>
    <row r="21" spans="1:16" ht="41.25" customHeight="1" x14ac:dyDescent="0.25">
      <c r="A21" s="616"/>
      <c r="B21" s="154"/>
      <c r="C21" s="149"/>
      <c r="D21" s="111"/>
      <c r="E21" s="143"/>
      <c r="F21" s="112"/>
      <c r="G21" s="144">
        <f>G19+G20</f>
        <v>0</v>
      </c>
      <c r="H21" s="113"/>
      <c r="I21" s="143"/>
      <c r="J21" s="112"/>
      <c r="K21" s="147">
        <f>K19+K20</f>
        <v>1700</v>
      </c>
      <c r="L21" s="126"/>
      <c r="M21" s="130"/>
      <c r="N21" s="107"/>
      <c r="O21" s="108">
        <f>O19+O20</f>
        <v>94.62</v>
      </c>
      <c r="P21" s="561"/>
    </row>
    <row r="22" spans="1:16" ht="40.5" customHeight="1" x14ac:dyDescent="0.25">
      <c r="A22" s="616"/>
      <c r="B22" s="153" t="s">
        <v>122</v>
      </c>
      <c r="C22" s="116">
        <v>3</v>
      </c>
      <c r="D22" s="19"/>
      <c r="E22" s="1"/>
      <c r="F22" s="1"/>
      <c r="G22" s="5"/>
      <c r="H22" s="9">
        <v>1</v>
      </c>
      <c r="I22" s="14" t="s">
        <v>38</v>
      </c>
      <c r="J22" s="138">
        <f>(7000/30)*C22</f>
        <v>700</v>
      </c>
      <c r="K22" s="137">
        <f>+H22*J22</f>
        <v>700</v>
      </c>
      <c r="L22" s="9">
        <v>3</v>
      </c>
      <c r="M22" s="39" t="s">
        <v>41</v>
      </c>
      <c r="N22" s="10">
        <f>K25*0.1</f>
        <v>240</v>
      </c>
      <c r="O22" s="26">
        <f>+L22*N22</f>
        <v>720</v>
      </c>
      <c r="P22" s="561">
        <f>O25+K25</f>
        <v>3232.62</v>
      </c>
    </row>
    <row r="23" spans="1:16" ht="40.5" customHeight="1" x14ac:dyDescent="0.25">
      <c r="A23" s="616"/>
      <c r="B23" s="114"/>
      <c r="C23" s="116"/>
      <c r="D23" s="54"/>
      <c r="E23" s="1"/>
      <c r="F23" s="1"/>
      <c r="G23" s="95"/>
      <c r="H23" s="139">
        <v>1</v>
      </c>
      <c r="I23" s="39" t="s">
        <v>39</v>
      </c>
      <c r="J23" s="140">
        <f>10000/30*C22</f>
        <v>1000</v>
      </c>
      <c r="K23" s="137">
        <f>J23*H23</f>
        <v>1000</v>
      </c>
      <c r="L23" s="32">
        <v>3</v>
      </c>
      <c r="M23" s="39" t="s">
        <v>40</v>
      </c>
      <c r="N23" s="34">
        <f>5*C22</f>
        <v>15</v>
      </c>
      <c r="O23" s="35">
        <f>+L23*N23</f>
        <v>45</v>
      </c>
      <c r="P23" s="561"/>
    </row>
    <row r="24" spans="1:16" ht="40.5" customHeight="1" x14ac:dyDescent="0.25">
      <c r="A24" s="616"/>
      <c r="B24" s="114"/>
      <c r="C24" s="116"/>
      <c r="D24" s="155"/>
      <c r="E24" s="156"/>
      <c r="F24" s="157"/>
      <c r="G24" s="95"/>
      <c r="H24" s="139">
        <v>1</v>
      </c>
      <c r="I24" s="39" t="s">
        <v>46</v>
      </c>
      <c r="J24" s="140">
        <f>7000/30*C22</f>
        <v>700</v>
      </c>
      <c r="K24" s="137">
        <f>J24*H24</f>
        <v>700</v>
      </c>
      <c r="L24" s="9">
        <v>2</v>
      </c>
      <c r="M24" s="39" t="s">
        <v>42</v>
      </c>
      <c r="N24" s="25">
        <f>(0.46*24.5)*C22</f>
        <v>33.81</v>
      </c>
      <c r="O24" s="26">
        <f>+L24*N24</f>
        <v>67.62</v>
      </c>
      <c r="P24" s="561"/>
    </row>
    <row r="25" spans="1:16" ht="40.5" customHeight="1" x14ac:dyDescent="0.25">
      <c r="A25" s="616"/>
      <c r="B25" s="148"/>
      <c r="C25" s="149"/>
      <c r="D25" s="158"/>
      <c r="E25" s="159"/>
      <c r="F25" s="160"/>
      <c r="G25" s="163">
        <f>G23+G22</f>
        <v>0</v>
      </c>
      <c r="H25" s="113"/>
      <c r="I25" s="143"/>
      <c r="J25" s="112"/>
      <c r="K25" s="147">
        <f>K22+K23+K24</f>
        <v>2400</v>
      </c>
      <c r="L25" s="124"/>
      <c r="M25" s="162"/>
      <c r="N25" s="131"/>
      <c r="O25" s="108">
        <f>O24+O23+O22</f>
        <v>832.62</v>
      </c>
      <c r="P25" s="561"/>
    </row>
    <row r="26" spans="1:16" ht="40.5" customHeight="1" x14ac:dyDescent="0.25">
      <c r="A26" s="616"/>
      <c r="B26" s="631" t="s">
        <v>123</v>
      </c>
      <c r="C26" s="634">
        <v>2</v>
      </c>
      <c r="D26" s="152"/>
      <c r="E26" s="2"/>
      <c r="F26" s="2"/>
      <c r="G26" s="165"/>
      <c r="H26" s="9">
        <v>1</v>
      </c>
      <c r="I26" s="14" t="s">
        <v>38</v>
      </c>
      <c r="J26" s="138">
        <f>(7000/30)*C26</f>
        <v>466.66666666666669</v>
      </c>
      <c r="K26" s="11">
        <f>+H26*J26</f>
        <v>466.66666666666669</v>
      </c>
      <c r="L26" s="9">
        <v>3</v>
      </c>
      <c r="M26" s="39" t="s">
        <v>41</v>
      </c>
      <c r="N26" s="10">
        <f>K29*0.1</f>
        <v>160</v>
      </c>
      <c r="O26" s="26">
        <f>+L26*N26</f>
        <v>480</v>
      </c>
      <c r="P26" s="561">
        <f>O29+K29+G29</f>
        <v>2152.08</v>
      </c>
    </row>
    <row r="27" spans="1:16" ht="40.5" customHeight="1" x14ac:dyDescent="0.25">
      <c r="A27" s="616"/>
      <c r="B27" s="632"/>
      <c r="C27" s="635"/>
      <c r="D27" s="152"/>
      <c r="E27" s="2"/>
      <c r="F27" s="2"/>
      <c r="G27" s="165"/>
      <c r="H27" s="139">
        <v>1</v>
      </c>
      <c r="I27" s="39" t="s">
        <v>39</v>
      </c>
      <c r="J27" s="140">
        <f>10000/30*C26</f>
        <v>666.66666666666663</v>
      </c>
      <c r="K27" s="137">
        <f>J27*H27</f>
        <v>666.66666666666663</v>
      </c>
      <c r="L27" s="9">
        <v>3</v>
      </c>
      <c r="M27" s="39" t="s">
        <v>125</v>
      </c>
      <c r="N27" s="25">
        <f>4.5*C26</f>
        <v>9</v>
      </c>
      <c r="O27" s="35">
        <f>+L27*N27</f>
        <v>27</v>
      </c>
      <c r="P27" s="561"/>
    </row>
    <row r="28" spans="1:16" ht="24" customHeight="1" x14ac:dyDescent="0.25">
      <c r="A28" s="616"/>
      <c r="B28" s="632"/>
      <c r="C28" s="635"/>
      <c r="D28" s="20"/>
      <c r="E28" s="27"/>
      <c r="F28" s="21"/>
      <c r="G28" s="24"/>
      <c r="H28" s="139">
        <v>1</v>
      </c>
      <c r="I28" s="39" t="s">
        <v>46</v>
      </c>
      <c r="J28" s="140">
        <f>7000/30*C26</f>
        <v>466.66666666666669</v>
      </c>
      <c r="K28" s="137">
        <f>J28*H28</f>
        <v>466.66666666666669</v>
      </c>
      <c r="L28" s="9">
        <v>2</v>
      </c>
      <c r="M28" s="39" t="s">
        <v>42</v>
      </c>
      <c r="N28" s="25">
        <f>(0.46*24.5)*C26</f>
        <v>22.540000000000003</v>
      </c>
      <c r="O28" s="26">
        <f>+L28*N28</f>
        <v>45.080000000000005</v>
      </c>
      <c r="P28" s="561"/>
    </row>
    <row r="29" spans="1:16" ht="15.75" customHeight="1" thickBot="1" x14ac:dyDescent="0.3">
      <c r="A29" s="617"/>
      <c r="B29" s="633"/>
      <c r="C29" s="636"/>
      <c r="D29" s="111"/>
      <c r="E29" s="111"/>
      <c r="F29" s="112"/>
      <c r="G29" s="104">
        <f>SUM(G26:G28)</f>
        <v>0</v>
      </c>
      <c r="H29" s="113"/>
      <c r="I29" s="111"/>
      <c r="J29" s="112"/>
      <c r="K29" s="147">
        <f>K26+K27+K28</f>
        <v>1600</v>
      </c>
      <c r="L29" s="105"/>
      <c r="M29" s="106"/>
      <c r="N29" s="107"/>
      <c r="O29" s="108">
        <f>SUM(O26:O28)</f>
        <v>552.08000000000004</v>
      </c>
      <c r="P29" s="594"/>
    </row>
    <row r="30" spans="1:16" ht="21.75" customHeight="1" x14ac:dyDescent="0.25">
      <c r="A30" s="618" t="s">
        <v>31</v>
      </c>
      <c r="B30" s="566" t="s">
        <v>124</v>
      </c>
      <c r="C30" s="563">
        <v>3</v>
      </c>
      <c r="D30" s="20"/>
      <c r="E30" s="27"/>
      <c r="F30" s="21"/>
      <c r="G30" s="24"/>
      <c r="H30" s="23">
        <v>1</v>
      </c>
      <c r="I30" s="43" t="s">
        <v>46</v>
      </c>
      <c r="J30" s="44">
        <f>7000/30*C30</f>
        <v>700</v>
      </c>
      <c r="K30" s="44">
        <f>+H30*J30</f>
        <v>700</v>
      </c>
      <c r="L30" s="9">
        <v>3</v>
      </c>
      <c r="M30" s="166" t="s">
        <v>41</v>
      </c>
      <c r="N30" s="10">
        <f>K33*0.1</f>
        <v>170</v>
      </c>
      <c r="O30" s="26">
        <f>+L30*N30</f>
        <v>510</v>
      </c>
      <c r="P30" s="593">
        <f>+G33+K33+O33</f>
        <v>2318.12</v>
      </c>
    </row>
    <row r="31" spans="1:16" ht="15.75" customHeight="1" x14ac:dyDescent="0.25">
      <c r="A31" s="619"/>
      <c r="B31" s="567"/>
      <c r="C31" s="564"/>
      <c r="D31" s="20"/>
      <c r="E31" s="27"/>
      <c r="F31" s="21"/>
      <c r="G31" s="24"/>
      <c r="H31" s="23">
        <v>1</v>
      </c>
      <c r="I31" s="43" t="s">
        <v>39</v>
      </c>
      <c r="J31" s="44">
        <f>10000/30*C30</f>
        <v>1000</v>
      </c>
      <c r="K31" s="44">
        <f>+H31*J31</f>
        <v>1000</v>
      </c>
      <c r="L31" s="9">
        <v>3</v>
      </c>
      <c r="M31" s="39" t="s">
        <v>125</v>
      </c>
      <c r="N31" s="25">
        <f>4.5*C30</f>
        <v>13.5</v>
      </c>
      <c r="O31" s="26">
        <f>+L31*N31</f>
        <v>40.5</v>
      </c>
      <c r="P31" s="561"/>
    </row>
    <row r="32" spans="1:16" ht="15.75" customHeight="1" x14ac:dyDescent="0.25">
      <c r="A32" s="619"/>
      <c r="B32" s="567"/>
      <c r="C32" s="564"/>
      <c r="D32" s="20"/>
      <c r="E32" s="27"/>
      <c r="F32" s="21"/>
      <c r="G32" s="24"/>
      <c r="H32" s="23"/>
      <c r="I32" s="27"/>
      <c r="J32" s="21"/>
      <c r="K32" s="24"/>
      <c r="L32" s="9">
        <v>2</v>
      </c>
      <c r="M32" s="39" t="s">
        <v>42</v>
      </c>
      <c r="N32" s="25">
        <f>(0.46*24.5)*C30</f>
        <v>33.81</v>
      </c>
      <c r="O32" s="26">
        <f>+L32*N32</f>
        <v>67.62</v>
      </c>
      <c r="P32" s="561"/>
    </row>
    <row r="33" spans="1:16" ht="15" customHeight="1" thickBot="1" x14ac:dyDescent="0.3">
      <c r="A33" s="619"/>
      <c r="B33" s="568"/>
      <c r="C33" s="565"/>
      <c r="D33" s="570"/>
      <c r="E33" s="570"/>
      <c r="F33" s="571"/>
      <c r="G33" s="104">
        <f>SUM(G30:G32)</f>
        <v>0</v>
      </c>
      <c r="H33" s="569"/>
      <c r="I33" s="570"/>
      <c r="J33" s="571"/>
      <c r="K33" s="104">
        <f>SUM(K30:K32)</f>
        <v>1700</v>
      </c>
      <c r="L33" s="105"/>
      <c r="M33" s="106"/>
      <c r="N33" s="107"/>
      <c r="O33" s="108">
        <f>SUM(O30:O32)</f>
        <v>618.12</v>
      </c>
      <c r="P33" s="594"/>
    </row>
    <row r="34" spans="1:16" ht="15" customHeight="1" x14ac:dyDescent="0.25">
      <c r="A34" s="619"/>
      <c r="B34" s="566" t="s">
        <v>128</v>
      </c>
      <c r="C34" s="563">
        <v>2</v>
      </c>
      <c r="D34" s="19"/>
      <c r="E34" s="1"/>
      <c r="F34" s="1"/>
      <c r="G34" s="5"/>
      <c r="H34" s="23">
        <v>1</v>
      </c>
      <c r="I34" s="43" t="s">
        <v>46</v>
      </c>
      <c r="J34" s="44">
        <f>7000/30*C34</f>
        <v>466.66666666666669</v>
      </c>
      <c r="K34" s="44">
        <f>+H34*J34</f>
        <v>466.66666666666669</v>
      </c>
      <c r="L34" s="9">
        <v>3</v>
      </c>
      <c r="M34" s="166" t="s">
        <v>41</v>
      </c>
      <c r="N34" s="10">
        <f>K37*0.1</f>
        <v>113.33333333333333</v>
      </c>
      <c r="O34" s="11">
        <f>+L34*N34</f>
        <v>340</v>
      </c>
      <c r="P34" s="582">
        <f>+G37+K37+O37</f>
        <v>1545.4133333333332</v>
      </c>
    </row>
    <row r="35" spans="1:16" x14ac:dyDescent="0.25">
      <c r="A35" s="619"/>
      <c r="B35" s="567"/>
      <c r="C35" s="564"/>
      <c r="D35" s="19"/>
      <c r="E35" s="1"/>
      <c r="F35" s="1"/>
      <c r="G35" s="5"/>
      <c r="H35" s="23">
        <v>1</v>
      </c>
      <c r="I35" s="43" t="s">
        <v>39</v>
      </c>
      <c r="J35" s="44">
        <f>10000/30*C34</f>
        <v>666.66666666666663</v>
      </c>
      <c r="K35" s="44">
        <f>+H35*J35</f>
        <v>666.66666666666663</v>
      </c>
      <c r="L35" s="9">
        <v>3</v>
      </c>
      <c r="M35" s="39" t="s">
        <v>125</v>
      </c>
      <c r="N35" s="25">
        <f>4.5*C34</f>
        <v>9</v>
      </c>
      <c r="O35" s="11">
        <f t="shared" ref="O35" si="1">+L35*N35</f>
        <v>27</v>
      </c>
      <c r="P35" s="583"/>
    </row>
    <row r="36" spans="1:16" x14ac:dyDescent="0.25">
      <c r="A36" s="619"/>
      <c r="B36" s="567"/>
      <c r="C36" s="564"/>
      <c r="D36" s="19"/>
      <c r="E36" s="1"/>
      <c r="F36" s="1"/>
      <c r="G36" s="5"/>
      <c r="H36" s="9"/>
      <c r="I36" s="15"/>
      <c r="J36" s="12"/>
      <c r="K36" s="13"/>
      <c r="L36" s="9">
        <v>2</v>
      </c>
      <c r="M36" s="39" t="s">
        <v>42</v>
      </c>
      <c r="N36" s="25">
        <f>(0.46*24.5)*C34</f>
        <v>22.540000000000003</v>
      </c>
      <c r="O36" s="11">
        <f>+L36*N36</f>
        <v>45.080000000000005</v>
      </c>
      <c r="P36" s="583"/>
    </row>
    <row r="37" spans="1:16" x14ac:dyDescent="0.25">
      <c r="A37" s="619"/>
      <c r="B37" s="568"/>
      <c r="C37" s="565"/>
      <c r="D37" s="570"/>
      <c r="E37" s="570"/>
      <c r="F37" s="571"/>
      <c r="G37" s="104">
        <f>SUM(G34:G36)</f>
        <v>0</v>
      </c>
      <c r="H37" s="569"/>
      <c r="I37" s="570"/>
      <c r="J37" s="571"/>
      <c r="K37" s="104">
        <f>SUM(K34:K36)</f>
        <v>1133.3333333333333</v>
      </c>
      <c r="L37" s="105"/>
      <c r="M37" s="106"/>
      <c r="N37" s="107"/>
      <c r="O37" s="108">
        <f>SUM(O34:O36)</f>
        <v>412.08</v>
      </c>
      <c r="P37" s="584"/>
    </row>
    <row r="38" spans="1:16" ht="22.5" customHeight="1" x14ac:dyDescent="0.25">
      <c r="A38" s="619"/>
      <c r="B38" s="566" t="s">
        <v>127</v>
      </c>
      <c r="C38" s="563">
        <v>1</v>
      </c>
      <c r="D38" s="19"/>
      <c r="E38" s="1"/>
      <c r="F38" s="1"/>
      <c r="G38" s="5"/>
      <c r="H38" s="9">
        <v>1</v>
      </c>
      <c r="I38" s="15" t="s">
        <v>39</v>
      </c>
      <c r="J38" s="168">
        <f>+(10000/30)*C38</f>
        <v>333.33333333333331</v>
      </c>
      <c r="K38" s="169">
        <f>+H38*J38</f>
        <v>333.33333333333331</v>
      </c>
      <c r="L38" s="9">
        <v>3</v>
      </c>
      <c r="M38" s="166" t="s">
        <v>41</v>
      </c>
      <c r="N38" s="10">
        <f>K41*0.1</f>
        <v>80</v>
      </c>
      <c r="O38" s="11">
        <f>+L38*N38</f>
        <v>240</v>
      </c>
      <c r="P38" s="560">
        <f>+G41+K41+O41</f>
        <v>1076.04</v>
      </c>
    </row>
    <row r="39" spans="1:16" x14ac:dyDescent="0.25">
      <c r="A39" s="619"/>
      <c r="B39" s="567"/>
      <c r="C39" s="564"/>
      <c r="D39" s="19"/>
      <c r="E39" s="1"/>
      <c r="F39" s="1"/>
      <c r="G39" s="5"/>
      <c r="H39" s="23">
        <v>1</v>
      </c>
      <c r="I39" s="43" t="s">
        <v>46</v>
      </c>
      <c r="J39" s="167">
        <f>7000/30*C38</f>
        <v>233.33333333333334</v>
      </c>
      <c r="K39" s="167">
        <f>+H39*J39</f>
        <v>233.33333333333334</v>
      </c>
      <c r="L39" s="9">
        <v>3</v>
      </c>
      <c r="M39" s="39" t="s">
        <v>125</v>
      </c>
      <c r="N39" s="25">
        <f>4.5*C38</f>
        <v>4.5</v>
      </c>
      <c r="O39" s="11">
        <f t="shared" ref="O39" si="2">+L39*N39</f>
        <v>13.5</v>
      </c>
      <c r="P39" s="561"/>
    </row>
    <row r="40" spans="1:16" x14ac:dyDescent="0.25">
      <c r="A40" s="619"/>
      <c r="B40" s="567"/>
      <c r="C40" s="564"/>
      <c r="D40" s="19"/>
      <c r="E40" s="1"/>
      <c r="F40" s="1"/>
      <c r="G40" s="5"/>
      <c r="H40" s="9">
        <v>1</v>
      </c>
      <c r="I40" s="14" t="s">
        <v>38</v>
      </c>
      <c r="J40" s="138">
        <f>(7000/30)*C38</f>
        <v>233.33333333333334</v>
      </c>
      <c r="K40" s="11">
        <f>+H40*J40</f>
        <v>233.33333333333334</v>
      </c>
      <c r="L40" s="9">
        <v>2</v>
      </c>
      <c r="M40" s="39" t="s">
        <v>42</v>
      </c>
      <c r="N40" s="25">
        <f>(0.46*24.5)*C38</f>
        <v>11.270000000000001</v>
      </c>
      <c r="O40" s="11">
        <f>+L40*N40</f>
        <v>22.540000000000003</v>
      </c>
      <c r="P40" s="561"/>
    </row>
    <row r="41" spans="1:16" x14ac:dyDescent="0.25">
      <c r="A41" s="619"/>
      <c r="B41" s="568"/>
      <c r="C41" s="565"/>
      <c r="D41" s="570"/>
      <c r="E41" s="570"/>
      <c r="F41" s="571"/>
      <c r="G41" s="104">
        <f>SUM(G38:G40)</f>
        <v>0</v>
      </c>
      <c r="H41" s="569"/>
      <c r="I41" s="570"/>
      <c r="J41" s="571"/>
      <c r="K41" s="104">
        <f>SUM(K38:K40)</f>
        <v>800</v>
      </c>
      <c r="L41" s="105"/>
      <c r="M41" s="106"/>
      <c r="N41" s="107"/>
      <c r="O41" s="108">
        <f>SUM(O38:O40)</f>
        <v>276.04000000000002</v>
      </c>
      <c r="P41" s="562"/>
    </row>
    <row r="42" spans="1:16" ht="15" customHeight="1" x14ac:dyDescent="0.25">
      <c r="A42" s="619"/>
      <c r="B42" s="566" t="s">
        <v>126</v>
      </c>
      <c r="C42" s="563">
        <v>2</v>
      </c>
      <c r="D42" s="19"/>
      <c r="E42" s="1"/>
      <c r="F42" s="1"/>
      <c r="G42" s="5"/>
      <c r="H42" s="9">
        <v>1</v>
      </c>
      <c r="I42" s="15" t="s">
        <v>39</v>
      </c>
      <c r="J42" s="168">
        <f>+(10000/30)*C42</f>
        <v>666.66666666666663</v>
      </c>
      <c r="K42" s="169">
        <f>+H42*J42</f>
        <v>666.66666666666663</v>
      </c>
      <c r="L42" s="9">
        <v>3</v>
      </c>
      <c r="M42" s="166" t="s">
        <v>41</v>
      </c>
      <c r="N42" s="10">
        <f>K46*0.1</f>
        <v>113.33333333333333</v>
      </c>
      <c r="O42" s="11">
        <f>+L42*N42</f>
        <v>340</v>
      </c>
      <c r="P42" s="560">
        <f>+O46+K46+G46</f>
        <v>1545.4133333333332</v>
      </c>
    </row>
    <row r="43" spans="1:16" x14ac:dyDescent="0.25">
      <c r="A43" s="619"/>
      <c r="B43" s="567"/>
      <c r="C43" s="564"/>
      <c r="D43" s="19"/>
      <c r="E43" s="1"/>
      <c r="F43" s="1"/>
      <c r="G43" s="5"/>
      <c r="H43" s="23">
        <v>1</v>
      </c>
      <c r="I43" s="43" t="s">
        <v>46</v>
      </c>
      <c r="J43" s="167">
        <f>7000/30*C42</f>
        <v>466.66666666666669</v>
      </c>
      <c r="K43" s="167">
        <f>+H43*J43</f>
        <v>466.66666666666669</v>
      </c>
      <c r="L43" s="9">
        <v>3</v>
      </c>
      <c r="M43" s="39" t="s">
        <v>125</v>
      </c>
      <c r="N43" s="25">
        <f>4.5*C42</f>
        <v>9</v>
      </c>
      <c r="O43" s="11">
        <f t="shared" ref="O43" si="3">+L43*N43</f>
        <v>27</v>
      </c>
      <c r="P43" s="561"/>
    </row>
    <row r="44" spans="1:16" x14ac:dyDescent="0.25">
      <c r="A44" s="619"/>
      <c r="B44" s="567"/>
      <c r="C44" s="564"/>
      <c r="D44" s="19"/>
      <c r="E44" s="1"/>
      <c r="F44" s="1"/>
      <c r="G44" s="5"/>
      <c r="H44" s="9"/>
      <c r="I44" s="14"/>
      <c r="J44" s="138"/>
      <c r="K44" s="11"/>
      <c r="L44" s="9">
        <v>2</v>
      </c>
      <c r="M44" s="39" t="s">
        <v>42</v>
      </c>
      <c r="N44" s="25">
        <f>(0.46*24.5)*C42</f>
        <v>22.540000000000003</v>
      </c>
      <c r="O44" s="11">
        <f>+L44*N44</f>
        <v>45.080000000000005</v>
      </c>
      <c r="P44" s="561"/>
    </row>
    <row r="45" spans="1:16" x14ac:dyDescent="0.25">
      <c r="A45" s="619"/>
      <c r="B45" s="567"/>
      <c r="C45" s="564"/>
      <c r="D45" s="19"/>
      <c r="E45" s="1"/>
      <c r="F45" s="1"/>
      <c r="G45" s="95"/>
      <c r="H45" s="171"/>
      <c r="I45" s="171"/>
      <c r="J45" s="171"/>
      <c r="K45" s="170"/>
      <c r="L45" s="19"/>
      <c r="M45" s="17"/>
      <c r="N45" s="10"/>
      <c r="O45" s="11"/>
      <c r="P45" s="561"/>
    </row>
    <row r="46" spans="1:16" x14ac:dyDescent="0.25">
      <c r="A46" s="619"/>
      <c r="B46" s="568"/>
      <c r="C46" s="565"/>
      <c r="D46" s="569"/>
      <c r="E46" s="570"/>
      <c r="F46" s="571"/>
      <c r="G46" s="104">
        <v>0</v>
      </c>
      <c r="H46" s="569"/>
      <c r="I46" s="570"/>
      <c r="J46" s="571"/>
      <c r="K46" s="104">
        <f>SUM(K42:K44)</f>
        <v>1133.3333333333333</v>
      </c>
      <c r="L46" s="105"/>
      <c r="M46" s="106"/>
      <c r="N46" s="107"/>
      <c r="O46" s="108">
        <f>SUM(O42:O45)</f>
        <v>412.08</v>
      </c>
      <c r="P46" s="562"/>
    </row>
    <row r="47" spans="1:16" x14ac:dyDescent="0.25">
      <c r="A47" s="619"/>
      <c r="B47" s="566" t="s">
        <v>129</v>
      </c>
      <c r="C47" s="563">
        <v>3</v>
      </c>
      <c r="D47" s="36"/>
      <c r="E47" s="2"/>
      <c r="F47" s="46"/>
      <c r="G47" s="47"/>
      <c r="H47" s="9">
        <v>1</v>
      </c>
      <c r="I47" s="15" t="s">
        <v>39</v>
      </c>
      <c r="J47" s="168">
        <f>+(10000/30)*C47</f>
        <v>1000</v>
      </c>
      <c r="K47" s="169">
        <f>+H47*J47</f>
        <v>1000</v>
      </c>
      <c r="L47" s="9">
        <v>3</v>
      </c>
      <c r="M47" s="166" t="s">
        <v>41</v>
      </c>
      <c r="N47" s="10">
        <f>K51*0.1</f>
        <v>170</v>
      </c>
      <c r="O47" s="94">
        <f>+L47*N47</f>
        <v>510</v>
      </c>
      <c r="P47" s="560">
        <f>+O51+K51+G51</f>
        <v>2318.12</v>
      </c>
    </row>
    <row r="48" spans="1:16" x14ac:dyDescent="0.25">
      <c r="A48" s="619"/>
      <c r="B48" s="567"/>
      <c r="C48" s="564"/>
      <c r="D48" s="19"/>
      <c r="E48" s="1"/>
      <c r="F48" s="1"/>
      <c r="G48" s="5"/>
      <c r="H48" s="23">
        <v>1</v>
      </c>
      <c r="I48" s="43" t="s">
        <v>46</v>
      </c>
      <c r="J48" s="167">
        <f>7000/30*C47</f>
        <v>700</v>
      </c>
      <c r="K48" s="167">
        <f>+H48*J48</f>
        <v>700</v>
      </c>
      <c r="L48" s="9">
        <v>3</v>
      </c>
      <c r="M48" s="39" t="s">
        <v>125</v>
      </c>
      <c r="N48" s="25">
        <f>4.5*C47</f>
        <v>13.5</v>
      </c>
      <c r="O48" s="94">
        <f t="shared" ref="O48:O49" si="4">+L48*N48</f>
        <v>40.5</v>
      </c>
      <c r="P48" s="561"/>
    </row>
    <row r="49" spans="1:16" x14ac:dyDescent="0.25">
      <c r="A49" s="619"/>
      <c r="B49" s="567"/>
      <c r="C49" s="564"/>
      <c r="D49" s="19"/>
      <c r="E49" s="1"/>
      <c r="F49" s="1"/>
      <c r="G49" s="5"/>
      <c r="H49" s="9"/>
      <c r="I49" s="14"/>
      <c r="J49" s="138"/>
      <c r="K49" s="11"/>
      <c r="L49" s="9">
        <v>2</v>
      </c>
      <c r="M49" s="39" t="s">
        <v>42</v>
      </c>
      <c r="N49" s="25">
        <f>(0.46*24.5)*C47</f>
        <v>33.81</v>
      </c>
      <c r="O49" s="94">
        <f t="shared" si="4"/>
        <v>67.62</v>
      </c>
      <c r="P49" s="561"/>
    </row>
    <row r="50" spans="1:16" x14ac:dyDescent="0.25">
      <c r="A50" s="619"/>
      <c r="B50" s="567"/>
      <c r="C50" s="564"/>
      <c r="D50" s="19"/>
      <c r="E50" s="1"/>
      <c r="F50" s="1"/>
      <c r="G50" s="5"/>
      <c r="H50" s="171"/>
      <c r="I50" s="171"/>
      <c r="J50" s="171"/>
      <c r="K50" s="170"/>
      <c r="L50" s="19"/>
      <c r="M50" s="17"/>
      <c r="N50" s="10"/>
      <c r="O50" s="94"/>
      <c r="P50" s="561"/>
    </row>
    <row r="51" spans="1:16" x14ac:dyDescent="0.25">
      <c r="A51" s="619"/>
      <c r="B51" s="568"/>
      <c r="C51" s="565"/>
      <c r="D51" s="569"/>
      <c r="E51" s="570"/>
      <c r="F51" s="571"/>
      <c r="G51" s="109">
        <f>SUM(G47:G50)</f>
        <v>0</v>
      </c>
      <c r="H51" s="569"/>
      <c r="I51" s="570"/>
      <c r="J51" s="571"/>
      <c r="K51" s="104">
        <f>SUM(K47:K49)</f>
        <v>1700</v>
      </c>
      <c r="L51" s="105"/>
      <c r="M51" s="106"/>
      <c r="N51" s="107"/>
      <c r="O51" s="108">
        <f>SUM(O47:O50)</f>
        <v>618.12</v>
      </c>
      <c r="P51" s="562"/>
    </row>
    <row r="52" spans="1:16" ht="15" customHeight="1" x14ac:dyDescent="0.25">
      <c r="A52" s="619"/>
      <c r="B52" s="576" t="s">
        <v>130</v>
      </c>
      <c r="C52" s="573">
        <v>3</v>
      </c>
      <c r="D52" s="19"/>
      <c r="E52" s="1"/>
      <c r="F52" s="1"/>
      <c r="G52" s="5"/>
      <c r="H52" s="9"/>
      <c r="I52" s="15"/>
      <c r="J52" s="45"/>
      <c r="K52" s="13"/>
      <c r="L52" s="9">
        <v>2</v>
      </c>
      <c r="M52" s="166" t="s">
        <v>41</v>
      </c>
      <c r="N52" s="10">
        <f>K55*0.1</f>
        <v>170</v>
      </c>
      <c r="O52" s="94">
        <f>+L52*N52</f>
        <v>340</v>
      </c>
      <c r="P52" s="560">
        <f>+O55+K55+G55</f>
        <v>2134.62</v>
      </c>
    </row>
    <row r="53" spans="1:16" x14ac:dyDescent="0.25">
      <c r="A53" s="619"/>
      <c r="B53" s="577"/>
      <c r="C53" s="574"/>
      <c r="D53" s="19"/>
      <c r="E53" s="1"/>
      <c r="F53" s="1"/>
      <c r="G53" s="5"/>
      <c r="H53" s="9">
        <v>1</v>
      </c>
      <c r="I53" s="15" t="s">
        <v>39</v>
      </c>
      <c r="J53" s="168">
        <f>+(10000/30)*C52</f>
        <v>1000</v>
      </c>
      <c r="K53" s="169">
        <f>+H53*J53</f>
        <v>1000</v>
      </c>
      <c r="L53" s="9">
        <v>2</v>
      </c>
      <c r="M53" s="39" t="s">
        <v>125</v>
      </c>
      <c r="N53" s="25">
        <f>4.5*C52</f>
        <v>13.5</v>
      </c>
      <c r="O53" s="94">
        <f t="shared" ref="O53:O54" si="5">+L53*N53</f>
        <v>27</v>
      </c>
      <c r="P53" s="561"/>
    </row>
    <row r="54" spans="1:16" x14ac:dyDescent="0.25">
      <c r="A54" s="619"/>
      <c r="B54" s="577"/>
      <c r="C54" s="574"/>
      <c r="D54" s="19"/>
      <c r="E54" s="1"/>
      <c r="F54" s="1"/>
      <c r="G54" s="5"/>
      <c r="H54" s="23">
        <v>1</v>
      </c>
      <c r="I54" s="43" t="s">
        <v>46</v>
      </c>
      <c r="J54" s="167">
        <f>7000/30*C52</f>
        <v>700</v>
      </c>
      <c r="K54" s="167">
        <f>+H54*J54</f>
        <v>700</v>
      </c>
      <c r="L54" s="9">
        <v>2</v>
      </c>
      <c r="M54" s="39" t="s">
        <v>42</v>
      </c>
      <c r="N54" s="25">
        <f>(0.46*24.5)*C52</f>
        <v>33.81</v>
      </c>
      <c r="O54" s="94">
        <f t="shared" si="5"/>
        <v>67.62</v>
      </c>
      <c r="P54" s="561"/>
    </row>
    <row r="55" spans="1:16" x14ac:dyDescent="0.25">
      <c r="A55" s="619"/>
      <c r="B55" s="578"/>
      <c r="C55" s="575"/>
      <c r="D55" s="569"/>
      <c r="E55" s="570"/>
      <c r="F55" s="571"/>
      <c r="G55" s="104">
        <v>0</v>
      </c>
      <c r="H55" s="569"/>
      <c r="I55" s="570"/>
      <c r="J55" s="571"/>
      <c r="K55" s="104">
        <f>SUM(K52:K54)</f>
        <v>1700</v>
      </c>
      <c r="L55" s="105"/>
      <c r="M55" s="106"/>
      <c r="N55" s="107"/>
      <c r="O55" s="108">
        <f>SUM(O52:O54)</f>
        <v>434.62</v>
      </c>
      <c r="P55" s="562"/>
    </row>
    <row r="56" spans="1:16" x14ac:dyDescent="0.25">
      <c r="A56" s="619"/>
      <c r="B56" s="579" t="s">
        <v>131</v>
      </c>
      <c r="C56" s="573">
        <v>2</v>
      </c>
      <c r="D56" s="19"/>
      <c r="E56" s="1"/>
      <c r="F56" s="1"/>
      <c r="G56" s="5"/>
      <c r="H56" s="9"/>
      <c r="I56" s="15"/>
      <c r="J56" s="45"/>
      <c r="K56" s="13"/>
      <c r="L56" s="9">
        <v>2</v>
      </c>
      <c r="M56" s="166" t="s">
        <v>41</v>
      </c>
      <c r="N56" s="10">
        <f>K59*0.1</f>
        <v>113.33333333333333</v>
      </c>
      <c r="O56" s="94">
        <f>+L56*N56</f>
        <v>226.66666666666666</v>
      </c>
      <c r="P56" s="560">
        <f>+O59+K59+G59</f>
        <v>1423.08</v>
      </c>
    </row>
    <row r="57" spans="1:16" x14ac:dyDescent="0.25">
      <c r="A57" s="619"/>
      <c r="B57" s="580"/>
      <c r="C57" s="574"/>
      <c r="D57" s="19"/>
      <c r="E57" s="1"/>
      <c r="F57" s="1"/>
      <c r="G57" s="5"/>
      <c r="H57" s="9">
        <v>1</v>
      </c>
      <c r="I57" s="15" t="s">
        <v>39</v>
      </c>
      <c r="J57" s="168">
        <f>+(10000/30)*C56</f>
        <v>666.66666666666663</v>
      </c>
      <c r="K57" s="169">
        <f>+H57*J57</f>
        <v>666.66666666666663</v>
      </c>
      <c r="L57" s="9">
        <v>2</v>
      </c>
      <c r="M57" s="39" t="s">
        <v>125</v>
      </c>
      <c r="N57" s="25">
        <f>4.5*C56</f>
        <v>9</v>
      </c>
      <c r="O57" s="94">
        <f t="shared" ref="O57:O58" si="6">+L57*N57</f>
        <v>18</v>
      </c>
      <c r="P57" s="561"/>
    </row>
    <row r="58" spans="1:16" x14ac:dyDescent="0.25">
      <c r="A58" s="619"/>
      <c r="B58" s="580"/>
      <c r="C58" s="574"/>
      <c r="D58" s="19"/>
      <c r="E58" s="1"/>
      <c r="F58" s="1"/>
      <c r="G58" s="5"/>
      <c r="H58" s="23">
        <v>1</v>
      </c>
      <c r="I58" s="43" t="s">
        <v>46</v>
      </c>
      <c r="J58" s="167">
        <f>7000/30*C56</f>
        <v>466.66666666666669</v>
      </c>
      <c r="K58" s="167">
        <f>+H58*J58</f>
        <v>466.66666666666669</v>
      </c>
      <c r="L58" s="9">
        <v>2</v>
      </c>
      <c r="M58" s="39" t="s">
        <v>42</v>
      </c>
      <c r="N58" s="25">
        <f>(0.46*24.5)*C56</f>
        <v>22.540000000000003</v>
      </c>
      <c r="O58" s="94">
        <f t="shared" si="6"/>
        <v>45.080000000000005</v>
      </c>
      <c r="P58" s="561"/>
    </row>
    <row r="59" spans="1:16" x14ac:dyDescent="0.25">
      <c r="A59" s="619"/>
      <c r="B59" s="581"/>
      <c r="C59" s="575"/>
      <c r="D59" s="569"/>
      <c r="E59" s="570"/>
      <c r="F59" s="571"/>
      <c r="G59" s="104">
        <v>0</v>
      </c>
      <c r="H59" s="569"/>
      <c r="I59" s="570"/>
      <c r="J59" s="571"/>
      <c r="K59" s="104">
        <f>SUM(K56:K58)</f>
        <v>1133.3333333333333</v>
      </c>
      <c r="L59" s="105"/>
      <c r="M59" s="106"/>
      <c r="N59" s="107"/>
      <c r="O59" s="108">
        <f>SUM(O56:O58)</f>
        <v>289.74666666666667</v>
      </c>
      <c r="P59" s="562"/>
    </row>
    <row r="60" spans="1:16" x14ac:dyDescent="0.25">
      <c r="A60" s="619"/>
      <c r="B60" s="576" t="s">
        <v>132</v>
      </c>
      <c r="C60" s="573">
        <v>2</v>
      </c>
      <c r="D60" s="19"/>
      <c r="E60" s="1"/>
      <c r="F60" s="1"/>
      <c r="G60" s="5"/>
      <c r="H60" s="9">
        <v>1</v>
      </c>
      <c r="I60" s="14" t="s">
        <v>38</v>
      </c>
      <c r="J60" s="138">
        <f>(7000/30)*C60</f>
        <v>466.66666666666669</v>
      </c>
      <c r="K60" s="11">
        <f>+H60*J60</f>
        <v>466.66666666666669</v>
      </c>
      <c r="L60" s="9">
        <v>3</v>
      </c>
      <c r="M60" s="166" t="s">
        <v>41</v>
      </c>
      <c r="N60" s="10">
        <f>K63*0.1</f>
        <v>160</v>
      </c>
      <c r="O60" s="94">
        <f>+L60*N60</f>
        <v>480</v>
      </c>
      <c r="P60" s="560">
        <f>+O63+K63+G63</f>
        <v>2174.62</v>
      </c>
    </row>
    <row r="61" spans="1:16" x14ac:dyDescent="0.25">
      <c r="A61" s="619"/>
      <c r="B61" s="577"/>
      <c r="C61" s="574"/>
      <c r="D61" s="19"/>
      <c r="E61" s="1"/>
      <c r="F61" s="1"/>
      <c r="G61" s="5"/>
      <c r="H61" s="139">
        <v>1</v>
      </c>
      <c r="I61" s="39" t="s">
        <v>39</v>
      </c>
      <c r="J61" s="140">
        <f>10000/30*C60</f>
        <v>666.66666666666663</v>
      </c>
      <c r="K61" s="137">
        <f>J61*H61</f>
        <v>666.66666666666663</v>
      </c>
      <c r="L61" s="9">
        <v>3</v>
      </c>
      <c r="M61" s="39" t="s">
        <v>125</v>
      </c>
      <c r="N61" s="25">
        <f>4.5*C60</f>
        <v>9</v>
      </c>
      <c r="O61" s="94">
        <f t="shared" ref="O61:O62" si="7">+L61*N61</f>
        <v>27</v>
      </c>
      <c r="P61" s="561"/>
    </row>
    <row r="62" spans="1:16" x14ac:dyDescent="0.25">
      <c r="A62" s="619"/>
      <c r="B62" s="577"/>
      <c r="C62" s="574"/>
      <c r="D62" s="19"/>
      <c r="E62" s="1"/>
      <c r="F62" s="1"/>
      <c r="G62" s="5"/>
      <c r="H62" s="139">
        <v>1</v>
      </c>
      <c r="I62" s="39" t="s">
        <v>46</v>
      </c>
      <c r="J62" s="140">
        <f>7000/30*C60</f>
        <v>466.66666666666669</v>
      </c>
      <c r="K62" s="137">
        <f>J62*H62</f>
        <v>466.66666666666669</v>
      </c>
      <c r="L62" s="9">
        <v>3</v>
      </c>
      <c r="M62" s="39" t="s">
        <v>42</v>
      </c>
      <c r="N62" s="25">
        <f>(0.46*24.5)*C60</f>
        <v>22.540000000000003</v>
      </c>
      <c r="O62" s="94">
        <f t="shared" si="7"/>
        <v>67.62</v>
      </c>
      <c r="P62" s="561"/>
    </row>
    <row r="63" spans="1:16" x14ac:dyDescent="0.25">
      <c r="A63" s="619"/>
      <c r="B63" s="578"/>
      <c r="C63" s="575"/>
      <c r="D63" s="569"/>
      <c r="E63" s="570"/>
      <c r="F63" s="571"/>
      <c r="G63" s="104">
        <v>0</v>
      </c>
      <c r="H63" s="113"/>
      <c r="I63" s="111"/>
      <c r="J63" s="112"/>
      <c r="K63" s="147">
        <f>K60+K61+K62</f>
        <v>1600</v>
      </c>
      <c r="L63" s="105"/>
      <c r="M63" s="106"/>
      <c r="N63" s="107"/>
      <c r="O63" s="108">
        <f>SUM(O60:O62)</f>
        <v>574.62</v>
      </c>
      <c r="P63" s="562"/>
    </row>
    <row r="64" spans="1:16" x14ac:dyDescent="0.25">
      <c r="A64" s="619"/>
      <c r="B64" s="621" t="s">
        <v>133</v>
      </c>
      <c r="C64" s="624">
        <v>1</v>
      </c>
      <c r="D64" s="19"/>
      <c r="E64" s="1"/>
      <c r="F64" s="1"/>
      <c r="G64" s="5"/>
      <c r="H64" s="9"/>
      <c r="I64" s="15"/>
      <c r="J64" s="45"/>
      <c r="K64" s="13"/>
      <c r="L64" s="9"/>
      <c r="M64" s="16"/>
      <c r="N64" s="10"/>
      <c r="O64" s="53"/>
      <c r="P64" s="560">
        <f>SUM(G66:O66)</f>
        <v>338.33333333333331</v>
      </c>
    </row>
    <row r="65" spans="1:16" x14ac:dyDescent="0.25">
      <c r="A65" s="619"/>
      <c r="B65" s="622"/>
      <c r="C65" s="625"/>
      <c r="D65" s="19"/>
      <c r="E65" s="1"/>
      <c r="F65" s="1"/>
      <c r="G65" s="5"/>
      <c r="H65" s="139">
        <v>1</v>
      </c>
      <c r="I65" s="39" t="s">
        <v>39</v>
      </c>
      <c r="J65" s="140">
        <f>10000/30*C64</f>
        <v>333.33333333333331</v>
      </c>
      <c r="K65" s="137">
        <f>J65*H65</f>
        <v>333.33333333333331</v>
      </c>
      <c r="L65" s="9">
        <v>1</v>
      </c>
      <c r="M65" s="39" t="s">
        <v>140</v>
      </c>
      <c r="N65" s="10">
        <f>5*L65</f>
        <v>5</v>
      </c>
      <c r="O65" s="53">
        <f>N65*C64</f>
        <v>5</v>
      </c>
      <c r="P65" s="561"/>
    </row>
    <row r="66" spans="1:16" x14ac:dyDescent="0.25">
      <c r="A66" s="619"/>
      <c r="B66" s="622"/>
      <c r="C66" s="625"/>
      <c r="D66" s="569"/>
      <c r="E66" s="570"/>
      <c r="F66" s="571"/>
      <c r="G66" s="104">
        <v>0</v>
      </c>
      <c r="H66" s="126"/>
      <c r="I66" s="164"/>
      <c r="J66" s="176"/>
      <c r="K66" s="161">
        <f>SUM(K65)</f>
        <v>333.33333333333331</v>
      </c>
      <c r="L66" s="126"/>
      <c r="M66" s="130"/>
      <c r="N66" s="131"/>
      <c r="O66" s="177">
        <f>SUM(O65)</f>
        <v>5</v>
      </c>
      <c r="P66" s="561"/>
    </row>
    <row r="67" spans="1:16" ht="24" customHeight="1" x14ac:dyDescent="0.25">
      <c r="A67" s="619"/>
      <c r="B67" s="622" t="s">
        <v>134</v>
      </c>
      <c r="C67" s="626">
        <v>1</v>
      </c>
      <c r="D67" s="19"/>
      <c r="E67" s="48"/>
      <c r="F67" s="48"/>
      <c r="G67" s="49"/>
      <c r="H67" s="9"/>
      <c r="I67" s="15"/>
      <c r="J67" s="45"/>
      <c r="K67" s="13"/>
      <c r="L67" s="9">
        <v>1</v>
      </c>
      <c r="M67" s="39" t="s">
        <v>140</v>
      </c>
      <c r="N67" s="10">
        <f>5*L67</f>
        <v>5</v>
      </c>
      <c r="O67" s="53">
        <f>N67*C67</f>
        <v>5</v>
      </c>
      <c r="P67" s="561"/>
    </row>
    <row r="68" spans="1:16" ht="10.5" hidden="1" customHeight="1" x14ac:dyDescent="0.25">
      <c r="A68" s="619"/>
      <c r="B68" s="622"/>
      <c r="C68" s="626"/>
      <c r="D68" s="569"/>
      <c r="E68" s="570"/>
      <c r="F68" s="571"/>
      <c r="G68" s="104">
        <v>0</v>
      </c>
      <c r="H68" s="569"/>
      <c r="I68" s="570"/>
      <c r="J68" s="571"/>
      <c r="K68" s="109">
        <f>SUM(K64:K67)</f>
        <v>666.66666666666663</v>
      </c>
      <c r="L68" s="105"/>
      <c r="M68" s="106"/>
      <c r="N68" s="107"/>
      <c r="O68" s="108">
        <f>SUM(O64:O67)</f>
        <v>15</v>
      </c>
      <c r="P68" s="562"/>
    </row>
    <row r="69" spans="1:16" ht="9" hidden="1" customHeight="1" x14ac:dyDescent="0.25">
      <c r="A69" s="619"/>
      <c r="B69" s="622"/>
      <c r="C69" s="626"/>
      <c r="D69" s="54"/>
      <c r="E69" s="1"/>
      <c r="F69" s="1"/>
      <c r="G69" s="1"/>
      <c r="H69" s="19">
        <v>1</v>
      </c>
      <c r="I69" s="15" t="s">
        <v>49</v>
      </c>
      <c r="J69" s="45">
        <f>+(333.333333333333)*1</f>
        <v>333.33333333333297</v>
      </c>
      <c r="K69" s="13">
        <f t="shared" ref="K69" si="8">+H69*J69</f>
        <v>333.33333333333297</v>
      </c>
      <c r="L69" s="9"/>
      <c r="M69" s="16"/>
      <c r="N69" s="10"/>
      <c r="O69" s="53"/>
      <c r="P69" s="560">
        <f>O73+K73+G73</f>
        <v>338.33333333333331</v>
      </c>
    </row>
    <row r="70" spans="1:16" ht="11.25" hidden="1" customHeight="1" x14ac:dyDescent="0.25">
      <c r="A70" s="619"/>
      <c r="B70" s="622"/>
      <c r="C70" s="626"/>
      <c r="D70" s="54"/>
      <c r="E70" s="1"/>
      <c r="F70" s="1"/>
      <c r="G70" s="1"/>
      <c r="H70" s="19"/>
      <c r="I70" s="50"/>
      <c r="J70" s="70"/>
      <c r="K70" s="52"/>
      <c r="L70" s="9">
        <v>1</v>
      </c>
      <c r="M70" s="39" t="s">
        <v>140</v>
      </c>
      <c r="N70" s="10">
        <f>5*L70</f>
        <v>5</v>
      </c>
      <c r="O70" s="53">
        <f>N70*C67</f>
        <v>5</v>
      </c>
      <c r="P70" s="561"/>
    </row>
    <row r="71" spans="1:16" ht="15" hidden="1" customHeight="1" x14ac:dyDescent="0.25">
      <c r="A71" s="619"/>
      <c r="B71" s="622"/>
      <c r="C71" s="626"/>
      <c r="D71" s="54"/>
      <c r="E71" s="1"/>
      <c r="F71" s="1"/>
      <c r="G71" s="1"/>
      <c r="H71" s="19"/>
      <c r="I71" s="50"/>
      <c r="J71" s="51"/>
      <c r="K71" s="52"/>
      <c r="L71" s="126"/>
      <c r="M71" s="130"/>
      <c r="N71" s="131"/>
      <c r="O71" s="177">
        <f>SUM(O70)</f>
        <v>5</v>
      </c>
      <c r="P71" s="561"/>
    </row>
    <row r="72" spans="1:16" ht="20.25" customHeight="1" x14ac:dyDescent="0.25">
      <c r="A72" s="619"/>
      <c r="B72" s="622"/>
      <c r="C72" s="626"/>
      <c r="D72" s="181"/>
      <c r="E72" s="181"/>
      <c r="F72" s="181"/>
      <c r="G72" s="181"/>
      <c r="H72" s="139">
        <v>1</v>
      </c>
      <c r="I72" s="39" t="s">
        <v>39</v>
      </c>
      <c r="J72" s="140">
        <f>10000/30*C67</f>
        <v>333.33333333333331</v>
      </c>
      <c r="K72" s="137">
        <f>J72*H72</f>
        <v>333.33333333333331</v>
      </c>
      <c r="L72" s="9"/>
      <c r="M72" s="17"/>
      <c r="N72" s="10"/>
      <c r="O72" s="53"/>
      <c r="P72" s="561"/>
    </row>
    <row r="73" spans="1:16" ht="13.5" customHeight="1" x14ac:dyDescent="0.25">
      <c r="A73" s="620"/>
      <c r="B73" s="623"/>
      <c r="C73" s="627"/>
      <c r="D73" s="178"/>
      <c r="E73" s="179"/>
      <c r="F73" s="179"/>
      <c r="G73" s="180">
        <f>SUM(G68:G72)</f>
        <v>0</v>
      </c>
      <c r="H73" s="126"/>
      <c r="I73" s="164"/>
      <c r="J73" s="176"/>
      <c r="K73" s="161">
        <f>SUM(K72)</f>
        <v>333.33333333333331</v>
      </c>
      <c r="L73" s="105"/>
      <c r="M73" s="106"/>
      <c r="N73" s="107"/>
      <c r="O73" s="108">
        <f>SUM(O67)</f>
        <v>5</v>
      </c>
      <c r="P73" s="562"/>
    </row>
    <row r="74" spans="1:16" ht="30.75" customHeight="1" x14ac:dyDescent="0.25">
      <c r="A74" s="599" t="s">
        <v>32</v>
      </c>
      <c r="B74" s="606" t="s">
        <v>135</v>
      </c>
      <c r="C74" s="611">
        <v>2</v>
      </c>
      <c r="D74" s="20"/>
      <c r="E74" s="20"/>
      <c r="F74" s="21"/>
      <c r="G74" s="24"/>
      <c r="H74" s="139">
        <v>1</v>
      </c>
      <c r="I74" s="39" t="s">
        <v>39</v>
      </c>
      <c r="J74" s="140">
        <f>10000/30*C74</f>
        <v>666.66666666666663</v>
      </c>
      <c r="K74" s="137">
        <f>J74*H74</f>
        <v>666.66666666666663</v>
      </c>
      <c r="L74" s="23"/>
      <c r="M74" s="174"/>
      <c r="N74" s="175"/>
      <c r="O74" s="173"/>
      <c r="P74" s="648">
        <f>SUM(G76:O76)</f>
        <v>1153.3333333333333</v>
      </c>
    </row>
    <row r="75" spans="1:16" ht="30.75" customHeight="1" x14ac:dyDescent="0.25">
      <c r="A75" s="600"/>
      <c r="B75" s="607"/>
      <c r="C75" s="612"/>
      <c r="D75" s="27"/>
      <c r="E75" s="27"/>
      <c r="F75" s="27"/>
      <c r="G75" s="170"/>
      <c r="H75" s="155">
        <v>1</v>
      </c>
      <c r="I75" s="39" t="s">
        <v>141</v>
      </c>
      <c r="J75" s="140">
        <f>7000/30*C74</f>
        <v>466.66666666666669</v>
      </c>
      <c r="K75" s="137">
        <f>J75*H75</f>
        <v>466.66666666666669</v>
      </c>
      <c r="L75" s="9">
        <v>2</v>
      </c>
      <c r="M75" s="39" t="s">
        <v>140</v>
      </c>
      <c r="N75" s="10">
        <f>5*L75</f>
        <v>10</v>
      </c>
      <c r="O75" s="53">
        <f>N75*C74</f>
        <v>20</v>
      </c>
      <c r="P75" s="649"/>
    </row>
    <row r="76" spans="1:16" ht="30.75" customHeight="1" x14ac:dyDescent="0.25">
      <c r="A76" s="600"/>
      <c r="B76" s="608"/>
      <c r="C76" s="613"/>
      <c r="D76" s="178"/>
      <c r="E76" s="179"/>
      <c r="F76" s="179"/>
      <c r="G76" s="180">
        <f>SUM(G74)</f>
        <v>0</v>
      </c>
      <c r="H76" s="126"/>
      <c r="I76" s="164"/>
      <c r="J76" s="176"/>
      <c r="K76" s="161">
        <f>SUM(K74:K75)</f>
        <v>1133.3333333333333</v>
      </c>
      <c r="L76" s="126"/>
      <c r="M76" s="130"/>
      <c r="N76" s="131"/>
      <c r="O76" s="177">
        <f>SUM(O75)</f>
        <v>20</v>
      </c>
      <c r="P76" s="649"/>
    </row>
    <row r="77" spans="1:16" ht="30.75" customHeight="1" x14ac:dyDescent="0.25">
      <c r="A77" s="600"/>
      <c r="B77" s="192"/>
      <c r="C77" s="191"/>
      <c r="D77" s="181"/>
      <c r="E77" s="181"/>
      <c r="F77" s="181"/>
      <c r="G77" s="181"/>
      <c r="H77" s="110"/>
      <c r="I77" s="41"/>
      <c r="J77" s="183"/>
      <c r="K77" s="42"/>
      <c r="L77" s="9">
        <v>2</v>
      </c>
      <c r="M77" s="166" t="s">
        <v>41</v>
      </c>
      <c r="N77" s="10">
        <f>K80*0.1</f>
        <v>510</v>
      </c>
      <c r="O77" s="94">
        <f>+L77*N77</f>
        <v>1020</v>
      </c>
      <c r="P77" s="650">
        <f>O80+K80+G80</f>
        <v>6340.78</v>
      </c>
    </row>
    <row r="78" spans="1:16" ht="30.75" customHeight="1" x14ac:dyDescent="0.25">
      <c r="A78" s="600"/>
      <c r="B78" s="192"/>
      <c r="C78" s="191"/>
      <c r="D78" s="181"/>
      <c r="E78" s="181"/>
      <c r="F78" s="181"/>
      <c r="G78" s="181"/>
      <c r="H78" s="139">
        <v>1</v>
      </c>
      <c r="I78" s="39" t="s">
        <v>39</v>
      </c>
      <c r="J78" s="140">
        <f>10000/30*C79</f>
        <v>2333.333333333333</v>
      </c>
      <c r="K78" s="137">
        <f>J78*H78</f>
        <v>2333.333333333333</v>
      </c>
      <c r="L78" s="9">
        <v>2</v>
      </c>
      <c r="M78" s="39" t="s">
        <v>125</v>
      </c>
      <c r="N78" s="25">
        <f>4.5*C79</f>
        <v>31.5</v>
      </c>
      <c r="O78" s="94">
        <f>+L78*N78</f>
        <v>63</v>
      </c>
      <c r="P78" s="650"/>
    </row>
    <row r="79" spans="1:16" ht="30.75" customHeight="1" x14ac:dyDescent="0.25">
      <c r="A79" s="600"/>
      <c r="B79" s="609" t="s">
        <v>109</v>
      </c>
      <c r="C79" s="611">
        <v>7</v>
      </c>
      <c r="D79" s="27"/>
      <c r="E79" s="27"/>
      <c r="F79" s="27"/>
      <c r="G79" s="170"/>
      <c r="H79" s="139">
        <v>1</v>
      </c>
      <c r="I79" s="39" t="s">
        <v>141</v>
      </c>
      <c r="J79" s="140">
        <f>7000/30*C79</f>
        <v>1633.3333333333335</v>
      </c>
      <c r="K79" s="137">
        <f>J79*H79</f>
        <v>1633.3333333333335</v>
      </c>
      <c r="L79" s="9">
        <v>2</v>
      </c>
      <c r="M79" s="39" t="s">
        <v>42</v>
      </c>
      <c r="N79" s="25">
        <f>(0.46*24.5)*C79</f>
        <v>78.890000000000015</v>
      </c>
      <c r="O79" s="94">
        <f>+L79*N79</f>
        <v>157.78000000000003</v>
      </c>
      <c r="P79" s="650"/>
    </row>
    <row r="80" spans="1:16" x14ac:dyDescent="0.25">
      <c r="A80" s="600"/>
      <c r="B80" s="610"/>
      <c r="C80" s="613"/>
      <c r="D80" s="178"/>
      <c r="E80" s="179"/>
      <c r="F80" s="179"/>
      <c r="G80" s="180">
        <f>SUM(G76)</f>
        <v>0</v>
      </c>
      <c r="H80" s="126"/>
      <c r="I80" s="164"/>
      <c r="J80" s="176"/>
      <c r="K80" s="161">
        <f>SUM(K76:K79)</f>
        <v>5100</v>
      </c>
      <c r="L80" s="105"/>
      <c r="M80" s="106"/>
      <c r="N80" s="107"/>
      <c r="O80" s="108">
        <f>SUM(O77:O79)</f>
        <v>1240.78</v>
      </c>
      <c r="P80" s="650"/>
    </row>
    <row r="81" spans="1:16" x14ac:dyDescent="0.25">
      <c r="A81" s="600"/>
      <c r="B81" s="609" t="s">
        <v>136</v>
      </c>
      <c r="C81" s="611">
        <v>2</v>
      </c>
      <c r="D81" s="181"/>
      <c r="E81" s="181"/>
      <c r="F81" s="181"/>
      <c r="G81" s="181"/>
      <c r="H81" s="139">
        <v>1</v>
      </c>
      <c r="I81" s="39" t="s">
        <v>39</v>
      </c>
      <c r="J81" s="140">
        <f>10000/30*C81</f>
        <v>666.66666666666663</v>
      </c>
      <c r="K81" s="137">
        <f>J81*H81</f>
        <v>666.66666666666663</v>
      </c>
      <c r="L81" s="32">
        <v>1</v>
      </c>
      <c r="M81" s="39" t="s">
        <v>24</v>
      </c>
      <c r="N81" s="34">
        <f>48*C81</f>
        <v>96</v>
      </c>
      <c r="O81" s="35">
        <f>+L81*N81</f>
        <v>96</v>
      </c>
      <c r="P81" s="650">
        <f>O83+K83+G83</f>
        <v>1253.8733333333332</v>
      </c>
    </row>
    <row r="82" spans="1:16" x14ac:dyDescent="0.25">
      <c r="A82" s="600"/>
      <c r="B82" s="614"/>
      <c r="C82" s="612"/>
      <c r="D82" s="27"/>
      <c r="E82" s="27"/>
      <c r="F82" s="27"/>
      <c r="G82" s="170"/>
      <c r="H82" s="139">
        <v>1</v>
      </c>
      <c r="I82" s="39" t="s">
        <v>141</v>
      </c>
      <c r="J82" s="140">
        <f>7000/30*C81</f>
        <v>466.66666666666669</v>
      </c>
      <c r="K82" s="137">
        <f>J82*H82</f>
        <v>466.66666666666669</v>
      </c>
      <c r="L82" s="9">
        <v>2</v>
      </c>
      <c r="M82" s="39" t="s">
        <v>42</v>
      </c>
      <c r="N82" s="201">
        <f>(0.46*24.5)*C81</f>
        <v>22.540000000000003</v>
      </c>
      <c r="O82" s="94">
        <f>+N82+L82</f>
        <v>24.540000000000003</v>
      </c>
      <c r="P82" s="650"/>
    </row>
    <row r="83" spans="1:16" x14ac:dyDescent="0.25">
      <c r="A83" s="600"/>
      <c r="B83" s="610"/>
      <c r="C83" s="613"/>
      <c r="D83" s="178"/>
      <c r="E83" s="179"/>
      <c r="F83" s="179"/>
      <c r="G83" s="180">
        <f>SUM(G79)</f>
        <v>0</v>
      </c>
      <c r="H83" s="126"/>
      <c r="I83" s="164"/>
      <c r="J83" s="176"/>
      <c r="K83" s="161">
        <f>SUM(K81:K82)</f>
        <v>1133.3333333333333</v>
      </c>
      <c r="L83" s="105"/>
      <c r="M83" s="106"/>
      <c r="N83" s="107"/>
      <c r="O83" s="108">
        <f>SUM(O81:O82)</f>
        <v>120.54</v>
      </c>
      <c r="P83" s="650"/>
    </row>
    <row r="84" spans="1:16" x14ac:dyDescent="0.25">
      <c r="A84" s="600"/>
      <c r="B84" s="609" t="s">
        <v>23</v>
      </c>
      <c r="C84" s="611">
        <v>2</v>
      </c>
      <c r="D84" s="181"/>
      <c r="E84" s="181"/>
      <c r="F84" s="181"/>
      <c r="G84" s="181"/>
      <c r="H84" s="139">
        <v>1</v>
      </c>
      <c r="I84" s="39" t="s">
        <v>39</v>
      </c>
      <c r="J84" s="140">
        <f>10000/30*C84</f>
        <v>666.66666666666663</v>
      </c>
      <c r="K84" s="137">
        <f>J84*H84</f>
        <v>666.66666666666663</v>
      </c>
      <c r="L84" s="9">
        <v>2</v>
      </c>
      <c r="M84" s="166" t="s">
        <v>41</v>
      </c>
      <c r="N84" s="10">
        <f>K87*0.1</f>
        <v>113.33333333333333</v>
      </c>
      <c r="O84" s="94">
        <f>+L84*N84</f>
        <v>226.66666666666666</v>
      </c>
      <c r="P84" s="650">
        <f>O87+K87+G87</f>
        <v>1402.54</v>
      </c>
    </row>
    <row r="85" spans="1:16" x14ac:dyDescent="0.25">
      <c r="A85" s="600"/>
      <c r="B85" s="614"/>
      <c r="C85" s="612"/>
      <c r="F85" s="133"/>
      <c r="H85" s="139">
        <v>1</v>
      </c>
      <c r="I85" s="39" t="s">
        <v>141</v>
      </c>
      <c r="J85" s="140">
        <f>7000/30*C84</f>
        <v>466.66666666666669</v>
      </c>
      <c r="K85" s="137">
        <f>J85*H85</f>
        <v>466.66666666666669</v>
      </c>
      <c r="L85" s="9">
        <v>2</v>
      </c>
      <c r="M85" s="39" t="s">
        <v>125</v>
      </c>
      <c r="N85" s="25">
        <f>4.5*C84</f>
        <v>9</v>
      </c>
      <c r="O85" s="94">
        <f>+L85*N85</f>
        <v>18</v>
      </c>
      <c r="P85" s="650"/>
    </row>
    <row r="86" spans="1:16" x14ac:dyDescent="0.25">
      <c r="A86" s="600"/>
      <c r="B86" s="614"/>
      <c r="C86" s="612"/>
      <c r="F86" s="133"/>
      <c r="H86" s="139"/>
      <c r="I86" s="39"/>
      <c r="J86" s="140"/>
      <c r="K86" s="137"/>
      <c r="L86" s="9">
        <v>2</v>
      </c>
      <c r="M86" s="39" t="s">
        <v>42</v>
      </c>
      <c r="N86" s="25">
        <f>(0.46*24.5)*C84</f>
        <v>22.540000000000003</v>
      </c>
      <c r="O86" s="94">
        <f>+N86+L86</f>
        <v>24.540000000000003</v>
      </c>
      <c r="P86" s="650"/>
    </row>
    <row r="87" spans="1:16" x14ac:dyDescent="0.25">
      <c r="A87" s="600"/>
      <c r="B87" s="610"/>
      <c r="C87" s="613"/>
      <c r="D87" s="178"/>
      <c r="E87" s="179"/>
      <c r="F87" s="179"/>
      <c r="G87" s="180">
        <f>SUM(G85)</f>
        <v>0</v>
      </c>
      <c r="H87" s="126"/>
      <c r="I87" s="164"/>
      <c r="J87" s="176"/>
      <c r="K87" s="161">
        <f>SUM(K84:K85)</f>
        <v>1133.3333333333333</v>
      </c>
      <c r="L87" s="126"/>
      <c r="M87" s="106"/>
      <c r="N87" s="107"/>
      <c r="O87" s="108">
        <f>SUM(O84:O86)</f>
        <v>269.20666666666665</v>
      </c>
      <c r="P87" s="650"/>
    </row>
    <row r="88" spans="1:16" x14ac:dyDescent="0.25">
      <c r="A88" s="600"/>
      <c r="B88" s="609" t="s">
        <v>137</v>
      </c>
      <c r="C88" s="611">
        <v>3</v>
      </c>
      <c r="D88" s="27"/>
      <c r="E88" s="27"/>
      <c r="F88" s="27"/>
      <c r="G88" s="170"/>
      <c r="H88" s="139">
        <v>1</v>
      </c>
      <c r="I88" s="39" t="s">
        <v>141</v>
      </c>
      <c r="J88" s="140">
        <f>7000/30*C88</f>
        <v>700</v>
      </c>
      <c r="K88" s="137">
        <f>J88*H88</f>
        <v>700</v>
      </c>
      <c r="L88" s="9">
        <v>1</v>
      </c>
      <c r="M88" s="166" t="s">
        <v>41</v>
      </c>
      <c r="N88" s="10">
        <f>K91*0.1</f>
        <v>70</v>
      </c>
      <c r="O88" s="94">
        <f>+L88*N88</f>
        <v>70</v>
      </c>
      <c r="P88" s="650">
        <f>O91+K91+G91</f>
        <v>818.31</v>
      </c>
    </row>
    <row r="89" spans="1:16" x14ac:dyDescent="0.25">
      <c r="A89" s="600"/>
      <c r="B89" s="614"/>
      <c r="C89" s="612"/>
      <c r="D89" s="187"/>
      <c r="E89" s="182"/>
      <c r="F89" s="182"/>
      <c r="G89" s="190"/>
      <c r="H89" s="139"/>
      <c r="I89" s="39"/>
      <c r="J89" s="140"/>
      <c r="K89" s="137"/>
      <c r="L89" s="9">
        <v>1</v>
      </c>
      <c r="M89" s="39" t="s">
        <v>125</v>
      </c>
      <c r="N89" s="25">
        <f>4.5*C88</f>
        <v>13.5</v>
      </c>
      <c r="O89" s="94">
        <f>+L89*N89</f>
        <v>13.5</v>
      </c>
      <c r="P89" s="650"/>
    </row>
    <row r="90" spans="1:16" x14ac:dyDescent="0.25">
      <c r="A90" s="600"/>
      <c r="B90" s="614"/>
      <c r="C90" s="612"/>
      <c r="D90" s="187"/>
      <c r="E90" s="182"/>
      <c r="F90" s="182"/>
      <c r="G90" s="190"/>
      <c r="H90" s="139"/>
      <c r="I90" s="39"/>
      <c r="J90" s="140"/>
      <c r="K90" s="137"/>
      <c r="L90" s="9">
        <v>1</v>
      </c>
      <c r="M90" s="39" t="s">
        <v>42</v>
      </c>
      <c r="N90" s="25">
        <f>(0.46*24.5)*C88</f>
        <v>33.81</v>
      </c>
      <c r="O90" s="94">
        <f>+N90+L90</f>
        <v>34.81</v>
      </c>
      <c r="P90" s="650"/>
    </row>
    <row r="91" spans="1:16" x14ac:dyDescent="0.25">
      <c r="A91" s="600"/>
      <c r="B91" s="610"/>
      <c r="C91" s="613"/>
      <c r="D91" s="178"/>
      <c r="E91" s="179"/>
      <c r="F91" s="179"/>
      <c r="G91" s="180">
        <f>SUM(G84)</f>
        <v>0</v>
      </c>
      <c r="H91" s="126"/>
      <c r="I91" s="164"/>
      <c r="J91" s="176"/>
      <c r="K91" s="161">
        <f>SUM(K88)</f>
        <v>700</v>
      </c>
      <c r="L91" s="126"/>
      <c r="M91" s="106"/>
      <c r="N91" s="107"/>
      <c r="O91" s="108">
        <f>SUM(O88:O90)</f>
        <v>118.31</v>
      </c>
      <c r="P91" s="650"/>
    </row>
    <row r="92" spans="1:16" ht="30" x14ac:dyDescent="0.25">
      <c r="A92" s="600"/>
      <c r="B92" s="609" t="s">
        <v>138</v>
      </c>
      <c r="C92" s="611">
        <v>1</v>
      </c>
      <c r="D92" s="27">
        <v>1</v>
      </c>
      <c r="E92" s="27" t="s">
        <v>142</v>
      </c>
      <c r="F92" s="184">
        <v>25</v>
      </c>
      <c r="G92" s="186">
        <f>F92</f>
        <v>25</v>
      </c>
      <c r="H92" s="139">
        <v>1</v>
      </c>
      <c r="I92" s="39" t="s">
        <v>39</v>
      </c>
      <c r="J92" s="140">
        <f>10000/30*C92</f>
        <v>333.33333333333331</v>
      </c>
      <c r="K92" s="137">
        <f>J92*H92</f>
        <v>333.33333333333331</v>
      </c>
      <c r="L92" s="9">
        <v>2</v>
      </c>
      <c r="M92" s="166" t="s">
        <v>41</v>
      </c>
      <c r="N92" s="10">
        <f>K95*0.1</f>
        <v>56.666666666666664</v>
      </c>
      <c r="O92" s="94">
        <f>+L92*N92</f>
        <v>113.33333333333333</v>
      </c>
      <c r="P92" s="650">
        <f>O95+K95+G95</f>
        <v>727.27</v>
      </c>
    </row>
    <row r="93" spans="1:16" x14ac:dyDescent="0.25">
      <c r="A93" s="600"/>
      <c r="B93" s="614"/>
      <c r="C93" s="612"/>
      <c r="D93" s="27"/>
      <c r="E93" s="27"/>
      <c r="F93" s="184"/>
      <c r="G93" s="185"/>
      <c r="H93" s="139">
        <v>1</v>
      </c>
      <c r="I93" s="39" t="s">
        <v>141</v>
      </c>
      <c r="J93" s="140">
        <f>7000/30*C92</f>
        <v>233.33333333333334</v>
      </c>
      <c r="K93" s="137">
        <f>J93*H93</f>
        <v>233.33333333333334</v>
      </c>
      <c r="L93" s="9">
        <v>2</v>
      </c>
      <c r="M93" s="39" t="s">
        <v>140</v>
      </c>
      <c r="N93" s="10">
        <f>5*C92</f>
        <v>5</v>
      </c>
      <c r="O93" s="53">
        <f>N93*L93</f>
        <v>10</v>
      </c>
      <c r="P93" s="650"/>
    </row>
    <row r="94" spans="1:16" x14ac:dyDescent="0.25">
      <c r="A94" s="600"/>
      <c r="B94" s="614"/>
      <c r="C94" s="612"/>
      <c r="D94" s="187"/>
      <c r="E94" s="182"/>
      <c r="F94" s="188"/>
      <c r="G94" s="189"/>
      <c r="H94" s="139"/>
      <c r="I94" s="39"/>
      <c r="J94" s="140"/>
      <c r="K94" s="137"/>
      <c r="L94" s="9">
        <v>1</v>
      </c>
      <c r="M94" s="39" t="s">
        <v>42</v>
      </c>
      <c r="N94" s="25">
        <f>(0.46*24.5)*C92</f>
        <v>11.270000000000001</v>
      </c>
      <c r="O94" s="94">
        <f>+N94+L94</f>
        <v>12.270000000000001</v>
      </c>
      <c r="P94" s="650"/>
    </row>
    <row r="95" spans="1:16" ht="30.75" customHeight="1" x14ac:dyDescent="0.25">
      <c r="A95" s="600"/>
      <c r="B95" s="610"/>
      <c r="C95" s="613"/>
      <c r="D95" s="178"/>
      <c r="E95" s="179"/>
      <c r="F95" s="179"/>
      <c r="G95" s="180">
        <f>SUM(G92)</f>
        <v>25</v>
      </c>
      <c r="H95" s="126"/>
      <c r="I95" s="164"/>
      <c r="J95" s="176"/>
      <c r="K95" s="161">
        <f>SUM(K92:K93)</f>
        <v>566.66666666666663</v>
      </c>
      <c r="L95" s="126"/>
      <c r="M95" s="106"/>
      <c r="N95" s="107"/>
      <c r="O95" s="108">
        <f>SUM(O92:O94)</f>
        <v>135.60333333333332</v>
      </c>
      <c r="P95" s="650"/>
    </row>
    <row r="96" spans="1:16" x14ac:dyDescent="0.25">
      <c r="A96" s="600"/>
      <c r="B96" s="609" t="s">
        <v>139</v>
      </c>
      <c r="C96" s="611">
        <v>1</v>
      </c>
      <c r="D96" s="27"/>
      <c r="E96" s="27"/>
      <c r="F96" s="27"/>
      <c r="G96" s="170"/>
      <c r="H96" s="139">
        <v>1</v>
      </c>
      <c r="I96" s="39" t="s">
        <v>39</v>
      </c>
      <c r="J96" s="140">
        <f>10000/30*C96</f>
        <v>333.33333333333331</v>
      </c>
      <c r="K96" s="137">
        <f>J96*H96</f>
        <v>333.33333333333331</v>
      </c>
      <c r="L96" s="9">
        <v>1</v>
      </c>
      <c r="M96" s="39" t="s">
        <v>140</v>
      </c>
      <c r="N96" s="10">
        <f>5*C96</f>
        <v>5</v>
      </c>
      <c r="O96" s="53">
        <f>N96*L96</f>
        <v>5</v>
      </c>
      <c r="P96" s="650">
        <f>O97+K97+G97</f>
        <v>338.33333333333331</v>
      </c>
    </row>
    <row r="97" spans="1:16" x14ac:dyDescent="0.25">
      <c r="A97" s="600"/>
      <c r="B97" s="610"/>
      <c r="C97" s="613"/>
      <c r="D97" s="178"/>
      <c r="E97" s="179"/>
      <c r="F97" s="179"/>
      <c r="G97" s="180">
        <f>SUM(G91)</f>
        <v>0</v>
      </c>
      <c r="H97" s="126"/>
      <c r="I97" s="164"/>
      <c r="J97" s="176"/>
      <c r="K97" s="161">
        <f>SUM(K96)</f>
        <v>333.33333333333331</v>
      </c>
      <c r="L97" s="126"/>
      <c r="M97" s="106"/>
      <c r="N97" s="107"/>
      <c r="O97" s="108">
        <f>SUM(O96:O96)</f>
        <v>5</v>
      </c>
      <c r="P97" s="651"/>
    </row>
    <row r="98" spans="1:16" ht="31.5" customHeight="1" thickBot="1" x14ac:dyDescent="0.3">
      <c r="A98" s="600"/>
      <c r="B98" s="55"/>
      <c r="C98" s="103">
        <f>SUM(C5:C97)</f>
        <v>54</v>
      </c>
      <c r="D98" s="604" t="s">
        <v>93</v>
      </c>
      <c r="E98" s="604"/>
      <c r="F98" s="605"/>
      <c r="G98" s="172">
        <f>G97+G95+G91+G87+G83+G80+G76+G73+G66+G63+G59+G55+G51+G46+G41+G37+G33+G29+G25+G21+G18+G15+G12+G8</f>
        <v>25</v>
      </c>
      <c r="H98" s="601" t="s">
        <v>55</v>
      </c>
      <c r="I98" s="602"/>
      <c r="J98" s="603"/>
      <c r="K98" s="172">
        <f>K97+K95+K91+K87+K83+K80+K76+K73+K66+K63+K59+K55+K51+K46+K41+K37+K33+K29+K25+K21+K18+K15+K8</f>
        <v>30199.999999999996</v>
      </c>
      <c r="L98" s="645" t="s">
        <v>143</v>
      </c>
      <c r="M98" s="646"/>
      <c r="N98" s="647"/>
      <c r="O98" s="137">
        <f>O97+O95+O91+O87+O83+O80+O76+O73+O66+O63+O59+O55+O51+O46+O41+O37+O33+O29+O25+O21+O18+O15+O12+O8</f>
        <v>7781.4733333333324</v>
      </c>
      <c r="P98" s="115">
        <f>SUM(P5:P96)</f>
        <v>39706.473333333328</v>
      </c>
    </row>
  </sheetData>
  <mergeCells count="104">
    <mergeCell ref="L98:N98"/>
    <mergeCell ref="C96:C97"/>
    <mergeCell ref="P74:P76"/>
    <mergeCell ref="B96:B97"/>
    <mergeCell ref="B92:B95"/>
    <mergeCell ref="B88:B91"/>
    <mergeCell ref="B84:B87"/>
    <mergeCell ref="P77:P80"/>
    <mergeCell ref="P81:P83"/>
    <mergeCell ref="P84:P87"/>
    <mergeCell ref="P88:P91"/>
    <mergeCell ref="P92:P95"/>
    <mergeCell ref="P96:P97"/>
    <mergeCell ref="C79:C80"/>
    <mergeCell ref="C81:C83"/>
    <mergeCell ref="C84:C87"/>
    <mergeCell ref="C88:C91"/>
    <mergeCell ref="C92:C95"/>
    <mergeCell ref="A13:A29"/>
    <mergeCell ref="A30:A73"/>
    <mergeCell ref="B64:B66"/>
    <mergeCell ref="B67:B73"/>
    <mergeCell ref="C64:C66"/>
    <mergeCell ref="C67:C73"/>
    <mergeCell ref="C5:C7"/>
    <mergeCell ref="B5:B7"/>
    <mergeCell ref="D41:F41"/>
    <mergeCell ref="C47:C51"/>
    <mergeCell ref="B47:B51"/>
    <mergeCell ref="A5:A12"/>
    <mergeCell ref="B26:B29"/>
    <mergeCell ref="C26:C29"/>
    <mergeCell ref="B9:B11"/>
    <mergeCell ref="C9:C11"/>
    <mergeCell ref="B16:B17"/>
    <mergeCell ref="C16:C17"/>
    <mergeCell ref="B19:B20"/>
    <mergeCell ref="C19:C20"/>
    <mergeCell ref="C13:C14"/>
    <mergeCell ref="B13:B14"/>
    <mergeCell ref="A74:A98"/>
    <mergeCell ref="C34:C37"/>
    <mergeCell ref="B34:B37"/>
    <mergeCell ref="H98:J98"/>
    <mergeCell ref="D98:F98"/>
    <mergeCell ref="B38:B41"/>
    <mergeCell ref="D66:F66"/>
    <mergeCell ref="B74:B76"/>
    <mergeCell ref="B79:B80"/>
    <mergeCell ref="C74:C76"/>
    <mergeCell ref="B81:B83"/>
    <mergeCell ref="H41:J41"/>
    <mergeCell ref="D46:F46"/>
    <mergeCell ref="H46:J46"/>
    <mergeCell ref="D51:F51"/>
    <mergeCell ref="H51:J51"/>
    <mergeCell ref="D55:F55"/>
    <mergeCell ref="H55:J55"/>
    <mergeCell ref="D59:F59"/>
    <mergeCell ref="H59:J59"/>
    <mergeCell ref="H37:J37"/>
    <mergeCell ref="C3:C4"/>
    <mergeCell ref="C30:C33"/>
    <mergeCell ref="H12:J12"/>
    <mergeCell ref="B30:B33"/>
    <mergeCell ref="P3:P4"/>
    <mergeCell ref="D33:F33"/>
    <mergeCell ref="H33:J33"/>
    <mergeCell ref="P30:P33"/>
    <mergeCell ref="L3:O3"/>
    <mergeCell ref="D3:G3"/>
    <mergeCell ref="H3:K3"/>
    <mergeCell ref="D12:F12"/>
    <mergeCell ref="P5:P8"/>
    <mergeCell ref="P9:P12"/>
    <mergeCell ref="P22:P25"/>
    <mergeCell ref="P26:P29"/>
    <mergeCell ref="P13:P15"/>
    <mergeCell ref="P16:P18"/>
    <mergeCell ref="P19:P21"/>
    <mergeCell ref="P38:P41"/>
    <mergeCell ref="P42:P46"/>
    <mergeCell ref="C42:C46"/>
    <mergeCell ref="B42:B46"/>
    <mergeCell ref="P69:P73"/>
    <mergeCell ref="D68:F68"/>
    <mergeCell ref="H68:J68"/>
    <mergeCell ref="H1:P1"/>
    <mergeCell ref="P60:P63"/>
    <mergeCell ref="C60:C63"/>
    <mergeCell ref="B60:B63"/>
    <mergeCell ref="P64:P68"/>
    <mergeCell ref="D63:F63"/>
    <mergeCell ref="P47:P51"/>
    <mergeCell ref="P52:P55"/>
    <mergeCell ref="C52:C55"/>
    <mergeCell ref="B52:B55"/>
    <mergeCell ref="P56:P59"/>
    <mergeCell ref="C56:C59"/>
    <mergeCell ref="B56:B59"/>
    <mergeCell ref="P34:P37"/>
    <mergeCell ref="C38:C41"/>
    <mergeCell ref="A3:B4"/>
    <mergeCell ref="D37:F3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16" workbookViewId="0">
      <selection activeCell="B32" sqref="B32"/>
    </sheetView>
  </sheetViews>
  <sheetFormatPr baseColWidth="10" defaultColWidth="11.42578125" defaultRowHeight="15" x14ac:dyDescent="0.25"/>
  <cols>
    <col min="2" max="2" width="45.28515625" customWidth="1"/>
    <col min="3" max="3" width="13.85546875" customWidth="1"/>
    <col min="4" max="4" width="14" customWidth="1"/>
    <col min="6" max="6" width="5.28515625" customWidth="1"/>
    <col min="7" max="7" width="18.140625" customWidth="1"/>
    <col min="9" max="9" width="13.28515625" customWidth="1"/>
  </cols>
  <sheetData>
    <row r="1" spans="1:9" ht="33" customHeight="1" x14ac:dyDescent="0.25">
      <c r="A1" s="550" t="s">
        <v>104</v>
      </c>
      <c r="B1" s="550"/>
      <c r="C1" s="550"/>
      <c r="D1" s="550"/>
      <c r="E1" s="77"/>
    </row>
    <row r="2" spans="1:9" ht="15.75" x14ac:dyDescent="0.25">
      <c r="A2" s="551" t="s">
        <v>105</v>
      </c>
      <c r="B2" s="551"/>
      <c r="C2" s="551"/>
      <c r="D2" s="551"/>
    </row>
    <row r="3" spans="1:9" ht="24" customHeight="1" x14ac:dyDescent="0.25"/>
    <row r="4" spans="1:9" ht="31.5" x14ac:dyDescent="0.25">
      <c r="A4" s="62" t="s">
        <v>50</v>
      </c>
      <c r="B4" s="62" t="s">
        <v>51</v>
      </c>
      <c r="C4" s="63" t="s">
        <v>52</v>
      </c>
      <c r="D4" s="62" t="s">
        <v>36</v>
      </c>
      <c r="G4" s="74" t="s">
        <v>91</v>
      </c>
      <c r="H4" s="76" t="s">
        <v>92</v>
      </c>
      <c r="I4" s="76" t="s">
        <v>93</v>
      </c>
    </row>
    <row r="5" spans="1:9" ht="26.25" x14ac:dyDescent="0.25">
      <c r="A5" s="65">
        <v>1</v>
      </c>
      <c r="B5" s="56" t="s">
        <v>57</v>
      </c>
      <c r="C5" s="45">
        <f>36.4*24.5</f>
        <v>891.8</v>
      </c>
      <c r="D5" s="45">
        <f>+A5*C5</f>
        <v>891.8</v>
      </c>
      <c r="G5" s="75">
        <f>+D24</f>
        <v>192977.92499999999</v>
      </c>
      <c r="H5" s="75" t="e">
        <f>+D29+D30+D31+D32+D33</f>
        <v>#REF!</v>
      </c>
      <c r="I5" s="75" t="e">
        <f>+G5+H5</f>
        <v>#REF!</v>
      </c>
    </row>
    <row r="6" spans="1:9" ht="27" x14ac:dyDescent="0.25">
      <c r="A6" s="65">
        <v>1</v>
      </c>
      <c r="B6" s="56" t="s">
        <v>1</v>
      </c>
      <c r="C6" s="45">
        <f>369.87*24.5</f>
        <v>9061.8150000000005</v>
      </c>
      <c r="D6" s="45">
        <f t="shared" ref="D6:D37" si="0">+A6*C6</f>
        <v>9061.8150000000005</v>
      </c>
    </row>
    <row r="7" spans="1:9" ht="31.5" x14ac:dyDescent="0.25">
      <c r="A7" s="65">
        <v>24</v>
      </c>
      <c r="B7" s="56" t="s">
        <v>2</v>
      </c>
      <c r="C7" s="45">
        <f>4.05*24.5</f>
        <v>99.224999999999994</v>
      </c>
      <c r="D7" s="45">
        <f t="shared" si="0"/>
        <v>2381.3999999999996</v>
      </c>
      <c r="G7" s="90" t="s">
        <v>94</v>
      </c>
      <c r="H7" s="76" t="s">
        <v>95</v>
      </c>
      <c r="I7" s="76" t="s">
        <v>96</v>
      </c>
    </row>
    <row r="8" spans="1:9" ht="16.5" x14ac:dyDescent="0.25">
      <c r="A8" s="65">
        <v>24</v>
      </c>
      <c r="B8" s="56" t="s">
        <v>3</v>
      </c>
      <c r="C8" s="45">
        <f>2.47*24.5</f>
        <v>60.515000000000008</v>
      </c>
      <c r="D8" s="45">
        <f t="shared" si="0"/>
        <v>1452.3600000000001</v>
      </c>
      <c r="G8" s="75" t="e">
        <f>+D28</f>
        <v>#REF!</v>
      </c>
      <c r="H8" s="75" t="e">
        <f>+D34+D35+D36+D37</f>
        <v>#REF!</v>
      </c>
      <c r="I8" s="75" t="e">
        <f>+G8+H8</f>
        <v>#REF!</v>
      </c>
    </row>
    <row r="9" spans="1:9" ht="16.5" x14ac:dyDescent="0.25">
      <c r="A9" s="65">
        <v>48</v>
      </c>
      <c r="B9" s="56" t="s">
        <v>4</v>
      </c>
      <c r="C9" s="45">
        <f>3.77*24.5</f>
        <v>92.364999999999995</v>
      </c>
      <c r="D9" s="45">
        <f t="shared" si="0"/>
        <v>4433.5199999999995</v>
      </c>
      <c r="G9" s="91"/>
      <c r="H9" s="91"/>
      <c r="I9" s="91"/>
    </row>
    <row r="10" spans="1:9" ht="16.5" x14ac:dyDescent="0.25">
      <c r="A10" s="65">
        <v>24</v>
      </c>
      <c r="B10" s="56" t="s">
        <v>5</v>
      </c>
      <c r="C10" s="45">
        <f>1.29*24.5</f>
        <v>31.605</v>
      </c>
      <c r="D10" s="45">
        <f t="shared" si="0"/>
        <v>758.52</v>
      </c>
      <c r="G10" s="545" t="s">
        <v>97</v>
      </c>
      <c r="H10" s="546"/>
      <c r="I10" s="92" t="e">
        <f>+I5+I8</f>
        <v>#REF!</v>
      </c>
    </row>
    <row r="11" spans="1:9" ht="16.5" x14ac:dyDescent="0.25">
      <c r="A11" s="65">
        <v>1</v>
      </c>
      <c r="B11" s="56" t="s">
        <v>6</v>
      </c>
      <c r="C11" s="45">
        <f>137.41*24.5</f>
        <v>3366.5450000000001</v>
      </c>
      <c r="D11" s="45">
        <f t="shared" si="0"/>
        <v>3366.5450000000001</v>
      </c>
      <c r="G11" s="547" t="s">
        <v>102</v>
      </c>
      <c r="H11" s="547"/>
      <c r="I11" s="75" t="e">
        <f>+I10*0.1</f>
        <v>#REF!</v>
      </c>
    </row>
    <row r="12" spans="1:9" ht="16.5" x14ac:dyDescent="0.25">
      <c r="A12" s="65">
        <v>2</v>
      </c>
      <c r="B12" s="56" t="s">
        <v>7</v>
      </c>
      <c r="C12" s="45">
        <f>310.5*24.5</f>
        <v>7607.25</v>
      </c>
      <c r="D12" s="45">
        <f t="shared" si="0"/>
        <v>15214.5</v>
      </c>
      <c r="G12" s="547" t="s">
        <v>98</v>
      </c>
      <c r="H12" s="547"/>
      <c r="I12" s="75" t="e">
        <f>SUM(I10:I11)</f>
        <v>#REF!</v>
      </c>
    </row>
    <row r="13" spans="1:9" ht="16.5" x14ac:dyDescent="0.25">
      <c r="A13" s="65">
        <v>3</v>
      </c>
      <c r="B13" s="56" t="s">
        <v>8</v>
      </c>
      <c r="C13" s="45">
        <f>228.83*24.5</f>
        <v>5606.335</v>
      </c>
      <c r="D13" s="45">
        <f t="shared" si="0"/>
        <v>16819.005000000001</v>
      </c>
    </row>
    <row r="14" spans="1:9" ht="27" x14ac:dyDescent="0.25">
      <c r="A14" s="66">
        <v>1</v>
      </c>
      <c r="B14" s="56" t="s">
        <v>0</v>
      </c>
      <c r="C14" s="45">
        <f>914.16*24.5</f>
        <v>22396.92</v>
      </c>
      <c r="D14" s="45">
        <f t="shared" si="0"/>
        <v>22396.92</v>
      </c>
      <c r="H14" t="e">
        <f>+H5+H8</f>
        <v>#REF!</v>
      </c>
    </row>
    <row r="15" spans="1:9" ht="27" x14ac:dyDescent="0.25">
      <c r="A15" s="67">
        <v>1</v>
      </c>
      <c r="B15" s="57" t="s">
        <v>10</v>
      </c>
      <c r="C15" s="45">
        <f>2196.95*24.5</f>
        <v>53825.274999999994</v>
      </c>
      <c r="D15" s="45">
        <f t="shared" si="0"/>
        <v>53825.274999999994</v>
      </c>
    </row>
    <row r="16" spans="1:9" x14ac:dyDescent="0.25">
      <c r="A16" s="67">
        <v>1</v>
      </c>
      <c r="B16" s="58" t="s">
        <v>9</v>
      </c>
      <c r="C16" s="45">
        <f>89*24.5</f>
        <v>2180.5</v>
      </c>
      <c r="D16" s="45">
        <f t="shared" si="0"/>
        <v>2180.5</v>
      </c>
    </row>
    <row r="17" spans="1:4" ht="19.5" customHeight="1" thickBot="1" x14ac:dyDescent="0.3">
      <c r="A17" s="68">
        <v>96</v>
      </c>
      <c r="B17" s="59" t="s">
        <v>11</v>
      </c>
      <c r="C17" s="45">
        <f>5.44*24.5</f>
        <v>133.28</v>
      </c>
      <c r="D17" s="45">
        <f t="shared" si="0"/>
        <v>12794.880000000001</v>
      </c>
    </row>
    <row r="18" spans="1:4" ht="21" customHeight="1" x14ac:dyDescent="0.25">
      <c r="A18" s="69">
        <v>1</v>
      </c>
      <c r="B18" s="60" t="s">
        <v>17</v>
      </c>
      <c r="C18" s="45">
        <f>15.18*24.5</f>
        <v>371.90999999999997</v>
      </c>
      <c r="D18" s="45">
        <f t="shared" si="0"/>
        <v>371.90999999999997</v>
      </c>
    </row>
    <row r="19" spans="1:4" ht="27.75" customHeight="1" x14ac:dyDescent="0.25">
      <c r="A19" s="69">
        <v>1</v>
      </c>
      <c r="B19" s="60" t="s">
        <v>12</v>
      </c>
      <c r="C19" s="45">
        <f>12.01*24.5</f>
        <v>294.245</v>
      </c>
      <c r="D19" s="45">
        <f t="shared" si="0"/>
        <v>294.245</v>
      </c>
    </row>
    <row r="20" spans="1:4" ht="20.25" customHeight="1" x14ac:dyDescent="0.25">
      <c r="A20" s="69">
        <v>14</v>
      </c>
      <c r="B20" s="60" t="s">
        <v>16</v>
      </c>
      <c r="C20" s="45">
        <f>0.71*24.5</f>
        <v>17.395</v>
      </c>
      <c r="D20" s="45">
        <f t="shared" si="0"/>
        <v>243.53</v>
      </c>
    </row>
    <row r="21" spans="1:4" ht="19.5" customHeight="1" x14ac:dyDescent="0.25">
      <c r="A21" s="69">
        <v>94</v>
      </c>
      <c r="B21" s="60" t="s">
        <v>15</v>
      </c>
      <c r="C21" s="45">
        <f>3.9*24.5</f>
        <v>95.55</v>
      </c>
      <c r="D21" s="45">
        <f t="shared" si="0"/>
        <v>8981.6999999999989</v>
      </c>
    </row>
    <row r="22" spans="1:4" ht="16.5" customHeight="1" x14ac:dyDescent="0.25">
      <c r="A22" s="4">
        <v>1</v>
      </c>
      <c r="B22" s="56" t="s">
        <v>14</v>
      </c>
      <c r="C22" s="45">
        <f>1495*24.5</f>
        <v>36627.5</v>
      </c>
      <c r="D22" s="45">
        <f t="shared" si="0"/>
        <v>36627.5</v>
      </c>
    </row>
    <row r="23" spans="1:4" ht="27.75" customHeight="1" x14ac:dyDescent="0.25">
      <c r="A23" s="4">
        <v>1</v>
      </c>
      <c r="B23" s="56" t="s">
        <v>13</v>
      </c>
      <c r="C23" s="45">
        <f>36*24.5</f>
        <v>882</v>
      </c>
      <c r="D23" s="45">
        <f t="shared" si="0"/>
        <v>882</v>
      </c>
    </row>
    <row r="24" spans="1:4" ht="15.75" customHeight="1" x14ac:dyDescent="0.25">
      <c r="A24" s="552" t="s">
        <v>56</v>
      </c>
      <c r="B24" s="552"/>
      <c r="C24" s="552"/>
      <c r="D24" s="61">
        <f>SUM(D5:D23)</f>
        <v>192977.92499999999</v>
      </c>
    </row>
    <row r="25" spans="1:4" ht="18" customHeight="1" x14ac:dyDescent="0.25">
      <c r="A25" s="65">
        <v>1</v>
      </c>
      <c r="B25" s="1" t="s">
        <v>53</v>
      </c>
      <c r="C25" s="45" t="e">
        <f>+'costo x actividades'!K6+'costo x actividades'!K13+'costo x actividades'!#REF!+'costo x actividades'!K52+'costo x actividades'!K56+'costo x actividades'!K60</f>
        <v>#REF!</v>
      </c>
      <c r="D25" s="45" t="e">
        <f t="shared" si="0"/>
        <v>#REF!</v>
      </c>
    </row>
    <row r="26" spans="1:4" ht="18" customHeight="1" x14ac:dyDescent="0.25">
      <c r="A26" s="65">
        <v>1</v>
      </c>
      <c r="B26" s="1" t="s">
        <v>39</v>
      </c>
      <c r="C26" s="45">
        <f>+'costo x actividades'!K7+'costo x actividades'!K28+'costo x actividades'!K31+'costo x actividades'!K35+'costo x actividades'!K38+'costo x actividades'!K42+'costo x actividades'!K48+'costo x actividades'!K54+'costo x actividades'!K58+'costo x actividades'!K62+'costo x actividades'!K67+'costo x actividades'!K69</f>
        <v>6466.666666666667</v>
      </c>
      <c r="D26" s="45">
        <f t="shared" si="0"/>
        <v>6466.666666666667</v>
      </c>
    </row>
    <row r="27" spans="1:4" ht="18" customHeight="1" x14ac:dyDescent="0.25">
      <c r="A27" s="65">
        <v>1</v>
      </c>
      <c r="B27" s="1" t="s">
        <v>54</v>
      </c>
      <c r="C27" s="45">
        <f>+'costo x actividades'!K30+'costo x actividades'!K34+'costo x actividades'!K47+'costo x actividades'!K53+'costo x actividades'!K57+'costo x actividades'!K61+'costo x actividades'!K64</f>
        <v>4500</v>
      </c>
      <c r="D27" s="45">
        <f t="shared" si="0"/>
        <v>4500</v>
      </c>
    </row>
    <row r="28" spans="1:4" ht="17.25" customHeight="1" x14ac:dyDescent="0.25">
      <c r="A28" s="552" t="s">
        <v>58</v>
      </c>
      <c r="B28" s="552"/>
      <c r="C28" s="552"/>
      <c r="D28" s="61" t="e">
        <f>SUM(D25:D27)</f>
        <v>#REF!</v>
      </c>
    </row>
    <row r="29" spans="1:4" ht="15.75" customHeight="1" x14ac:dyDescent="0.25">
      <c r="A29" s="65">
        <v>1</v>
      </c>
      <c r="B29" s="64" t="s">
        <v>59</v>
      </c>
      <c r="C29" s="45" t="e">
        <f>+'costo x actividades'!O6+'costo x actividades'!O13+'costo x actividades'!#REF!+'costo x actividades'!O30+'costo x actividades'!O34+'costo x actividades'!O38+'costo x actividades'!O52+'costo x actividades'!O56+'costo x actividades'!O60+'costo x actividades'!O64</f>
        <v>#REF!</v>
      </c>
      <c r="D29" s="45" t="e">
        <f t="shared" si="0"/>
        <v>#REF!</v>
      </c>
    </row>
    <row r="30" spans="1:4" ht="15.75" customHeight="1" x14ac:dyDescent="0.25">
      <c r="A30" s="65">
        <v>1</v>
      </c>
      <c r="B30" s="64" t="s">
        <v>47</v>
      </c>
      <c r="C30" s="45">
        <f>+'costo x actividades'!O5+'costo x actividades'!O42+'costo x actividades'!O69</f>
        <v>340</v>
      </c>
      <c r="D30" s="45">
        <f t="shared" si="0"/>
        <v>340</v>
      </c>
    </row>
    <row r="31" spans="1:4" ht="15.75" customHeight="1" x14ac:dyDescent="0.25">
      <c r="A31" s="65">
        <v>1</v>
      </c>
      <c r="B31" s="64" t="s">
        <v>48</v>
      </c>
      <c r="C31" s="45">
        <f>+'costo x actividades'!O47</f>
        <v>510</v>
      </c>
      <c r="D31" s="45">
        <f t="shared" si="0"/>
        <v>510</v>
      </c>
    </row>
    <row r="32" spans="1:4" ht="15.75" customHeight="1" x14ac:dyDescent="0.25">
      <c r="A32" s="65">
        <v>1</v>
      </c>
      <c r="B32" s="64" t="s">
        <v>61</v>
      </c>
      <c r="C32" s="45">
        <f>+'costo x actividades'!O16+'costo x actividades'!O28+'costo x actividades'!O31+'costo x actividades'!O35+'costo x actividades'!O39</f>
        <v>171.16000000000003</v>
      </c>
      <c r="D32" s="45">
        <f>+A32*C32</f>
        <v>171.16000000000003</v>
      </c>
    </row>
    <row r="33" spans="1:4" ht="15.75" customHeight="1" x14ac:dyDescent="0.25">
      <c r="A33" s="65">
        <v>1</v>
      </c>
      <c r="B33" s="64" t="s">
        <v>19</v>
      </c>
      <c r="C33" s="45" t="e">
        <f>+'costo x actividades'!O19+'costo x actividades'!#REF!+'costo x actividades'!O32+'costo x actividades'!O36+'costo x actividades'!O40</f>
        <v>#REF!</v>
      </c>
      <c r="D33" s="45" t="e">
        <f>+A33*C33</f>
        <v>#REF!</v>
      </c>
    </row>
    <row r="34" spans="1:4" ht="15.75" customHeight="1" x14ac:dyDescent="0.25">
      <c r="A34" s="65">
        <v>1</v>
      </c>
      <c r="B34" s="64" t="s">
        <v>40</v>
      </c>
      <c r="C34" s="45" t="e">
        <f>+'costo x actividades'!O7+'costo x actividades'!#REF!+'costo x actividades'!O43+'costo x actividades'!O48+'costo x actividades'!O72</f>
        <v>#REF!</v>
      </c>
      <c r="D34" s="45" t="e">
        <f t="shared" si="0"/>
        <v>#REF!</v>
      </c>
    </row>
    <row r="35" spans="1:4" ht="15.75" customHeight="1" x14ac:dyDescent="0.25">
      <c r="A35" s="65">
        <v>1</v>
      </c>
      <c r="B35" s="64" t="s">
        <v>60</v>
      </c>
      <c r="C35" s="45" t="e">
        <f>+'costo x actividades'!O9+'costo x actividades'!#REF!+'costo x actividades'!O44+'costo x actividades'!O49+'costo x actividades'!O71</f>
        <v>#REF!</v>
      </c>
      <c r="D35" s="45" t="e">
        <f t="shared" si="0"/>
        <v>#REF!</v>
      </c>
    </row>
    <row r="36" spans="1:4" ht="15.75" customHeight="1" x14ac:dyDescent="0.25">
      <c r="A36" s="65">
        <v>1</v>
      </c>
      <c r="B36" s="64" t="s">
        <v>18</v>
      </c>
      <c r="C36" s="45" t="e">
        <f>+'costo x actividades'!#REF!</f>
        <v>#REF!</v>
      </c>
      <c r="D36" s="45" t="e">
        <f t="shared" si="0"/>
        <v>#REF!</v>
      </c>
    </row>
    <row r="37" spans="1:4" ht="15.75" customHeight="1" x14ac:dyDescent="0.25">
      <c r="A37" s="65">
        <v>1</v>
      </c>
      <c r="B37" s="64" t="s">
        <v>41</v>
      </c>
      <c r="C37" s="45" t="e">
        <f>+'costo x actividades'!O10+'costo x actividades'!O22+'costo x actividades'!#REF!+'costo x actividades'!#REF!+'costo x actividades'!#REF!+'costo x actividades'!#REF!+'costo x actividades'!O45+'costo x actividades'!O50+'costo x actividades'!O53+'costo x actividades'!O57+'costo x actividades'!O61+'costo x actividades'!O67+'costo x actividades'!O70</f>
        <v>#REF!</v>
      </c>
      <c r="D37" s="45" t="e">
        <f t="shared" si="0"/>
        <v>#REF!</v>
      </c>
    </row>
    <row r="38" spans="1:4" ht="15.75" customHeight="1" x14ac:dyDescent="0.25">
      <c r="A38" s="552" t="s">
        <v>62</v>
      </c>
      <c r="B38" s="552"/>
      <c r="C38" s="552"/>
      <c r="D38" s="61" t="e">
        <f>SUM(D29:D37)</f>
        <v>#REF!</v>
      </c>
    </row>
    <row r="39" spans="1:4" ht="18" customHeight="1" x14ac:dyDescent="0.25">
      <c r="A39" s="549" t="s">
        <v>63</v>
      </c>
      <c r="B39" s="549"/>
      <c r="C39" s="549"/>
      <c r="D39" s="71" t="e">
        <f>+D24+D28+D38</f>
        <v>#REF!</v>
      </c>
    </row>
    <row r="40" spans="1:4" ht="21" customHeight="1" x14ac:dyDescent="0.25"/>
    <row r="41" spans="1:4" ht="18.75" customHeight="1" x14ac:dyDescent="0.25">
      <c r="A41" t="s">
        <v>65</v>
      </c>
      <c r="B41" s="73"/>
      <c r="C41" s="72"/>
      <c r="D41" s="72"/>
    </row>
    <row r="42" spans="1:4" ht="18.75" customHeight="1" x14ac:dyDescent="0.25">
      <c r="A42" s="3" t="s">
        <v>64</v>
      </c>
      <c r="B42" s="3"/>
      <c r="C42" s="548" t="s">
        <v>66</v>
      </c>
      <c r="D42" s="548"/>
    </row>
    <row r="43" spans="1:4" ht="18.75" customHeight="1" x14ac:dyDescent="0.25"/>
    <row r="44" spans="1:4" x14ac:dyDescent="0.25">
      <c r="A44" s="3" t="s">
        <v>67</v>
      </c>
    </row>
  </sheetData>
  <mergeCells count="10">
    <mergeCell ref="G10:H10"/>
    <mergeCell ref="G11:H11"/>
    <mergeCell ref="G12:H12"/>
    <mergeCell ref="A1:D1"/>
    <mergeCell ref="A2:D2"/>
    <mergeCell ref="C42:D42"/>
    <mergeCell ref="A24:C24"/>
    <mergeCell ref="A28:C28"/>
    <mergeCell ref="A38:C38"/>
    <mergeCell ref="A39:C39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7" sqref="E7"/>
    </sheetView>
  </sheetViews>
  <sheetFormatPr baseColWidth="10" defaultRowHeight="15" x14ac:dyDescent="0.25"/>
  <cols>
    <col min="1" max="1" width="22.140625" customWidth="1"/>
    <col min="2" max="2" width="11.7109375" bestFit="1" customWidth="1"/>
    <col min="3" max="3" width="12.85546875" customWidth="1"/>
    <col min="4" max="4" width="11.7109375" bestFit="1" customWidth="1"/>
    <col min="5" max="5" width="11.5703125" customWidth="1"/>
  </cols>
  <sheetData>
    <row r="1" spans="1:5" ht="21.75" customHeight="1" x14ac:dyDescent="0.25">
      <c r="A1" s="96" t="s">
        <v>110</v>
      </c>
      <c r="B1" s="102">
        <v>12695</v>
      </c>
      <c r="C1" s="102">
        <v>8000</v>
      </c>
      <c r="D1" s="102">
        <v>32000</v>
      </c>
      <c r="E1" s="102">
        <v>8250</v>
      </c>
    </row>
    <row r="2" spans="1:5" ht="18" customHeight="1" x14ac:dyDescent="0.25">
      <c r="A2" s="96" t="s">
        <v>112</v>
      </c>
      <c r="B2" s="102">
        <v>3173.75</v>
      </c>
      <c r="C2" s="102">
        <v>2000</v>
      </c>
      <c r="D2" s="102">
        <v>8000</v>
      </c>
      <c r="E2" s="102">
        <v>2062.5</v>
      </c>
    </row>
    <row r="3" spans="1:5" x14ac:dyDescent="0.25">
      <c r="A3" s="1" t="s">
        <v>116</v>
      </c>
      <c r="B3" s="97">
        <v>25</v>
      </c>
      <c r="C3" s="97">
        <v>32</v>
      </c>
      <c r="D3" s="97">
        <v>20</v>
      </c>
      <c r="E3" s="98">
        <v>16</v>
      </c>
    </row>
    <row r="4" spans="1:5" ht="15.75" thickBot="1" x14ac:dyDescent="0.3">
      <c r="A4" s="652" t="s">
        <v>113</v>
      </c>
      <c r="B4" s="99" t="s">
        <v>114</v>
      </c>
      <c r="C4" s="99" t="s">
        <v>111</v>
      </c>
      <c r="D4" s="100"/>
      <c r="E4" s="100"/>
    </row>
    <row r="5" spans="1:5" x14ac:dyDescent="0.25">
      <c r="A5" s="653"/>
      <c r="B5" s="490" t="s">
        <v>115</v>
      </c>
      <c r="C5" s="490"/>
      <c r="D5" s="101"/>
      <c r="E5" s="101"/>
    </row>
  </sheetData>
  <mergeCells count="2">
    <mergeCell ref="B5:C5"/>
    <mergeCell ref="A4:A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29"/>
  <sheetViews>
    <sheetView tabSelected="1" workbookViewId="0">
      <pane ySplit="1" topLeftCell="A14" activePane="bottomLeft" state="frozen"/>
      <selection pane="bottomLeft" activeCell="D28" sqref="D28"/>
    </sheetView>
  </sheetViews>
  <sheetFormatPr baseColWidth="10" defaultRowHeight="15" x14ac:dyDescent="0.25"/>
  <cols>
    <col min="2" max="2" width="33" customWidth="1"/>
    <col min="3" max="3" width="16.5703125" customWidth="1"/>
    <col min="4" max="4" width="14.85546875" customWidth="1"/>
    <col min="5" max="5" width="13.85546875" customWidth="1"/>
    <col min="6" max="6" width="12.85546875" customWidth="1"/>
    <col min="7" max="7" width="13.42578125" customWidth="1"/>
    <col min="8" max="8" width="13.7109375" customWidth="1"/>
    <col min="9" max="9" width="13.5703125" customWidth="1"/>
    <col min="10" max="10" width="14.140625" customWidth="1"/>
    <col min="11" max="11" width="13.140625" bestFit="1" customWidth="1"/>
    <col min="12" max="12" width="29.140625" customWidth="1"/>
  </cols>
  <sheetData>
    <row r="1" spans="2:10" ht="18.75" x14ac:dyDescent="0.25">
      <c r="B1" s="654" t="s">
        <v>206</v>
      </c>
      <c r="C1" s="654"/>
      <c r="D1" s="654"/>
      <c r="E1" s="654"/>
      <c r="F1" s="654"/>
      <c r="G1" s="654"/>
      <c r="H1" s="654"/>
      <c r="I1" s="654"/>
      <c r="J1" s="410"/>
    </row>
    <row r="2" spans="2:10" ht="18.75" x14ac:dyDescent="0.25">
      <c r="B2" s="654" t="s">
        <v>237</v>
      </c>
      <c r="C2" s="654"/>
      <c r="D2" s="654"/>
      <c r="E2" s="654"/>
      <c r="F2" s="654"/>
      <c r="G2" s="654"/>
      <c r="H2" s="654"/>
      <c r="I2" s="654"/>
      <c r="J2" s="410"/>
    </row>
    <row r="4" spans="2:10" ht="45" x14ac:dyDescent="0.25">
      <c r="D4" s="411" t="s">
        <v>238</v>
      </c>
      <c r="E4" s="411" t="s">
        <v>239</v>
      </c>
      <c r="F4" s="411" t="s">
        <v>240</v>
      </c>
      <c r="G4" s="411" t="s">
        <v>160</v>
      </c>
      <c r="H4" s="411" t="s">
        <v>161</v>
      </c>
      <c r="I4" s="411" t="s">
        <v>103</v>
      </c>
      <c r="J4" s="411" t="s">
        <v>241</v>
      </c>
    </row>
    <row r="5" spans="2:10" x14ac:dyDescent="0.25">
      <c r="D5" s="412">
        <v>1</v>
      </c>
      <c r="E5" s="412">
        <v>2</v>
      </c>
      <c r="F5" s="412">
        <v>3</v>
      </c>
      <c r="G5" s="412">
        <v>4</v>
      </c>
      <c r="H5" s="412">
        <v>5</v>
      </c>
      <c r="I5" s="412">
        <v>6</v>
      </c>
      <c r="J5" s="412">
        <v>7</v>
      </c>
    </row>
    <row r="6" spans="2:10" ht="15.75" x14ac:dyDescent="0.25">
      <c r="B6" s="413" t="s">
        <v>242</v>
      </c>
      <c r="C6" s="414">
        <f>'Presupuesto del proyecto'!E23</f>
        <v>75119.520733333338</v>
      </c>
      <c r="D6" s="415"/>
      <c r="E6" s="416"/>
      <c r="F6" s="416"/>
      <c r="G6" s="416"/>
      <c r="H6" s="416"/>
      <c r="I6" s="416"/>
      <c r="J6" s="416"/>
    </row>
    <row r="7" spans="2:10" ht="15.75" x14ac:dyDescent="0.25">
      <c r="B7" s="417" t="s">
        <v>243</v>
      </c>
      <c r="C7" s="418"/>
      <c r="D7" s="415"/>
      <c r="E7" s="416"/>
      <c r="F7" s="416"/>
      <c r="G7" s="416"/>
      <c r="H7" s="416"/>
      <c r="I7" s="416"/>
      <c r="J7" s="416"/>
    </row>
    <row r="8" spans="2:10" ht="15.75" x14ac:dyDescent="0.25">
      <c r="B8" s="419" t="s">
        <v>244</v>
      </c>
      <c r="C8" s="420"/>
      <c r="D8" s="415"/>
      <c r="E8" s="421">
        <f t="shared" ref="E8:J8" si="0">+D25</f>
        <v>34444.935803333326</v>
      </c>
      <c r="F8" s="421">
        <f t="shared" si="0"/>
        <v>26911.015403333324</v>
      </c>
      <c r="G8" s="421">
        <f t="shared" si="0"/>
        <v>21780.216025555546</v>
      </c>
      <c r="H8" s="421">
        <f t="shared" si="0"/>
        <v>15448.030169999991</v>
      </c>
      <c r="I8" s="422">
        <f t="shared" si="0"/>
        <v>5010.0495699999919</v>
      </c>
      <c r="J8" s="422">
        <f t="shared" si="0"/>
        <v>-8156.4229466666748</v>
      </c>
    </row>
    <row r="9" spans="2:10" ht="15.75" x14ac:dyDescent="0.25">
      <c r="B9" s="419" t="s">
        <v>245</v>
      </c>
      <c r="C9" s="423"/>
      <c r="D9" s="421">
        <f>'Oferta economica'!D31*0.5</f>
        <v>41315.736403333329</v>
      </c>
      <c r="E9" s="421"/>
      <c r="F9" s="421"/>
      <c r="G9" s="421"/>
      <c r="H9" s="421"/>
      <c r="I9" s="422"/>
      <c r="J9" s="422"/>
    </row>
    <row r="10" spans="2:10" ht="15.75" x14ac:dyDescent="0.25">
      <c r="B10" s="424" t="s">
        <v>246</v>
      </c>
      <c r="C10" s="425"/>
      <c r="D10" s="426">
        <f>SUM(D8:D9)</f>
        <v>41315.736403333329</v>
      </c>
      <c r="E10" s="427">
        <f>SUM(E8:E9)</f>
        <v>34444.935803333326</v>
      </c>
      <c r="F10" s="427">
        <f t="shared" ref="F10:H10" si="1">SUM(F8:F9)</f>
        <v>26911.015403333324</v>
      </c>
      <c r="G10" s="427">
        <f t="shared" si="1"/>
        <v>21780.216025555546</v>
      </c>
      <c r="H10" s="427">
        <f t="shared" si="1"/>
        <v>15448.030169999991</v>
      </c>
      <c r="I10" s="427">
        <f>SUM(I8:I9)</f>
        <v>5010.0495699999919</v>
      </c>
      <c r="J10" s="427">
        <f>SUM(J8:J9)</f>
        <v>-8156.4229466666748</v>
      </c>
    </row>
    <row r="11" spans="2:10" ht="15.75" x14ac:dyDescent="0.25">
      <c r="B11" s="413"/>
      <c r="C11" s="420"/>
      <c r="D11" s="421"/>
      <c r="E11" s="421"/>
      <c r="F11" s="421"/>
      <c r="G11" s="421"/>
      <c r="H11" s="421"/>
      <c r="I11" s="422"/>
      <c r="J11" s="422"/>
    </row>
    <row r="12" spans="2:10" ht="15.75" x14ac:dyDescent="0.25">
      <c r="B12" s="417" t="s">
        <v>247</v>
      </c>
      <c r="C12" s="418"/>
      <c r="D12" s="421"/>
      <c r="E12" s="421"/>
      <c r="F12" s="421"/>
      <c r="G12" s="421"/>
      <c r="H12" s="421"/>
      <c r="I12" s="422"/>
      <c r="J12" s="422"/>
    </row>
    <row r="13" spans="2:10" ht="15.75" x14ac:dyDescent="0.25">
      <c r="B13" s="428" t="s">
        <v>248</v>
      </c>
      <c r="C13" s="420"/>
      <c r="D13" s="421">
        <f>+'Costo por Actividades'!P6+'Costo por Actividades'!P13+'Costo por Actividades'!P19</f>
        <v>25.980599999999999</v>
      </c>
      <c r="E13" s="421">
        <f>+'Costo por Actividades'!P24+'Costo por Actividades'!P40</f>
        <v>17.320399999999999</v>
      </c>
      <c r="F13" s="421">
        <f>'Costo por Actividades'!P45+'Costo por Actividades'!P49+'Costo por Actividades'!P55+'Costo por Actividades'!P59+'Costo por Actividades'!S49</f>
        <v>23.732711111111112</v>
      </c>
      <c r="G13" s="421">
        <f>'Costo por Actividades'!T49+'Costo por Actividades'!P69+'Costo por Actividades'!T62</f>
        <v>21.252522222222222</v>
      </c>
      <c r="H13" s="421">
        <f>+'Costo por Actividades'!S73</f>
        <v>25.980599999999999</v>
      </c>
      <c r="I13" s="422">
        <f>+'Costo por Actividades'!T73+'Costo por Actividades'!S84</f>
        <v>36.80585</v>
      </c>
      <c r="J13" s="422">
        <f>+'Costo por Actividades'!W73+'Costo por Actividades'!W84+'Costo por Actividades'!P82+'Costo por Actividades'!P86</f>
        <v>41.135950000000001</v>
      </c>
    </row>
    <row r="14" spans="2:10" ht="15.75" x14ac:dyDescent="0.25">
      <c r="B14" s="428" t="s">
        <v>24</v>
      </c>
      <c r="C14" s="420"/>
      <c r="D14" s="421">
        <f>+'Costo por Actividades'!P5+'Costo por Actividades'!P12+'Costo por Actividades'!P18</f>
        <v>102.42</v>
      </c>
      <c r="E14" s="421">
        <v>0</v>
      </c>
      <c r="F14" s="421">
        <v>0</v>
      </c>
      <c r="G14" s="421">
        <v>0</v>
      </c>
      <c r="H14" s="421">
        <v>0</v>
      </c>
      <c r="I14" s="422">
        <v>0</v>
      </c>
      <c r="J14" s="422">
        <v>0</v>
      </c>
    </row>
    <row r="15" spans="2:10" ht="15.75" x14ac:dyDescent="0.25">
      <c r="B15" s="428" t="s">
        <v>40</v>
      </c>
      <c r="C15" s="420"/>
      <c r="D15" s="421">
        <v>0</v>
      </c>
      <c r="E15" s="421">
        <f>'Costo por Actividades'!P29+'Costo por Actividades'!P33</f>
        <v>400</v>
      </c>
      <c r="F15" s="421">
        <v>0</v>
      </c>
      <c r="G15" s="421">
        <v>0</v>
      </c>
      <c r="H15" s="421">
        <v>0</v>
      </c>
      <c r="I15" s="422">
        <v>0</v>
      </c>
      <c r="J15" s="422">
        <v>0</v>
      </c>
    </row>
    <row r="16" spans="2:10" ht="15.75" x14ac:dyDescent="0.25">
      <c r="B16" s="428" t="s">
        <v>41</v>
      </c>
      <c r="C16" s="429"/>
      <c r="D16" s="421">
        <f>+'Costo por Actividades'!P7+'Costo por Actividades'!P14+'Costo por Actividades'!P20</f>
        <v>572</v>
      </c>
      <c r="E16" s="421">
        <f>+'Costo por Actividades'!P25+'Costo por Actividades'!P30+'Costo por Actividades'!P34+'Costo por Actividades'!P41</f>
        <v>619.66666666666674</v>
      </c>
      <c r="F16" s="421">
        <f>'Costo por Actividades'!P46+'Costo por Actividades'!P50+'Costo por Actividades'!P56+'Costo por Actividades'!P60+'Costo por Actividades'!S50</f>
        <v>443.33333333333343</v>
      </c>
      <c r="G16" s="421">
        <f>+'Costo por Actividades'!T50+'Costo por Actividades'!P70+'Costo por Actividades'!T63</f>
        <v>556.26666666666665</v>
      </c>
      <c r="H16" s="421">
        <f>+'Costo por Actividades'!S74</f>
        <v>925.6</v>
      </c>
      <c r="I16" s="422">
        <f>+'Costo por Actividades'!T74+'Costo por Actividades'!S85</f>
        <v>1163.9333333333334</v>
      </c>
      <c r="J16" s="422">
        <f>+'Costo por Actividades'!W74+'Costo por Actividades'!W85+'Costo por Actividades'!P83</f>
        <v>998.40000000000009</v>
      </c>
    </row>
    <row r="17" spans="2:13" ht="15.75" x14ac:dyDescent="0.25">
      <c r="B17" s="16" t="s">
        <v>155</v>
      </c>
      <c r="C17" s="420"/>
      <c r="D17" s="421">
        <f>+'Costo por Actividades'!P8+'Costo por Actividades'!P15+'Costo por Actividades'!P21</f>
        <v>230.4</v>
      </c>
      <c r="E17" s="421">
        <f>+'Costo por Actividades'!P26+'Costo por Actividades'!P42</f>
        <v>153.6</v>
      </c>
      <c r="F17" s="421">
        <f>'Costo por Actividades'!P47+'Costo por Actividades'!P53+'Costo por Actividades'!P57+'Costo por Actividades'!P61+'Costo por Actividades'!S53</f>
        <v>230.39999999999998</v>
      </c>
      <c r="G17" s="421">
        <f>+'Costo por Actividades'!T53+'Costo por Actividades'!P71+'Costo por Actividades'!T65</f>
        <v>192</v>
      </c>
      <c r="H17" s="421">
        <f>+'Costo por Actividades'!S76</f>
        <v>230.39999999999998</v>
      </c>
      <c r="I17" s="422">
        <f>+'Costo por Actividades'!T76+'Costo por Actividades'!S86</f>
        <v>326.39999999999998</v>
      </c>
      <c r="J17" s="422">
        <f>+'Costo por Actividades'!W76+'Costo por Actividades'!W86+'Costo por Actividades'!P84+'Costo por Actividades'!P88</f>
        <v>364.79999999999995</v>
      </c>
      <c r="K17" s="1"/>
    </row>
    <row r="18" spans="2:13" ht="15.75" x14ac:dyDescent="0.25">
      <c r="B18" s="16" t="s">
        <v>19</v>
      </c>
      <c r="C18" s="420"/>
      <c r="D18" s="421">
        <f>+'Costo por Actividades'!P10+'Costo por Actividades'!P16+'Costo por Actividades'!P22</f>
        <v>220</v>
      </c>
      <c r="E18" s="421">
        <f>+'Costo por Actividades'!P27+'Costo por Actividades'!P43</f>
        <v>146.66666666666666</v>
      </c>
      <c r="F18" s="430">
        <v>0</v>
      </c>
      <c r="G18" s="430">
        <v>0</v>
      </c>
      <c r="H18" s="421">
        <v>0</v>
      </c>
      <c r="I18" s="422">
        <v>0</v>
      </c>
      <c r="J18" s="422">
        <f>'Costo por Actividades'!W86+'Costo por Actividades'!P87</f>
        <v>151</v>
      </c>
      <c r="K18" s="422"/>
    </row>
    <row r="19" spans="2:13" ht="15.75" x14ac:dyDescent="0.25">
      <c r="B19" s="428" t="s">
        <v>249</v>
      </c>
      <c r="C19" s="420"/>
      <c r="D19" s="421">
        <v>0</v>
      </c>
      <c r="E19" s="421">
        <v>0</v>
      </c>
      <c r="F19" s="421">
        <v>0</v>
      </c>
      <c r="G19" s="421">
        <v>0</v>
      </c>
      <c r="H19" s="421">
        <v>0</v>
      </c>
      <c r="I19" s="422">
        <v>0</v>
      </c>
      <c r="J19" s="422">
        <v>0</v>
      </c>
      <c r="K19" s="422"/>
    </row>
    <row r="20" spans="2:13" ht="24" x14ac:dyDescent="0.25">
      <c r="B20" s="431" t="s">
        <v>250</v>
      </c>
      <c r="C20" s="420"/>
      <c r="D20" s="430">
        <f>+'Costo por Actividades'!L5+'Costo por Actividades'!L12+'Costo por Actividades'!L18</f>
        <v>5720</v>
      </c>
      <c r="E20" s="430">
        <f>+'Costo por Actividades'!L24+'Costo por Actividades'!L29+'Costo por Actividades'!L33+'Costo por Actividades'!L40</f>
        <v>6196.666666666667</v>
      </c>
      <c r="F20" s="430">
        <f>'Costo por Actividades'!L45+'Costo por Actividades'!L49+'Costo por Actividades'!L55+'Costo por Actividades'!L59+'Costo por Actividades'!S54</f>
        <v>4433.3333333333339</v>
      </c>
      <c r="G20" s="430">
        <f>+'Costo por Actividades'!T54+'Costo por Actividades'!L69+'Costo por Actividades'!T66+'Costo por Actividades'!T67</f>
        <v>5562.6666666666661</v>
      </c>
      <c r="H20" s="430">
        <f>+'Costo por Actividades'!S77+'Costo por Actividades'!S78</f>
        <v>9256</v>
      </c>
      <c r="I20" s="432">
        <f>+'Costo por Actividades'!T77+'Costo por Actividades'!T78+'Costo por Actividades'!S87</f>
        <v>11639.333333333334</v>
      </c>
      <c r="J20" s="432">
        <f>'Costo por Actividades'!W77+'Costo por Actividades'!W78+'Costo por Actividades'!W87+'Costo por Actividades'!L82+'Costo por Actividades'!L86</f>
        <v>11414</v>
      </c>
      <c r="K20" s="432"/>
    </row>
    <row r="21" spans="2:13" ht="15.75" x14ac:dyDescent="0.25">
      <c r="B21" s="261" t="s">
        <v>193</v>
      </c>
      <c r="C21" s="420"/>
      <c r="D21" s="430"/>
      <c r="E21" s="430">
        <v>0</v>
      </c>
      <c r="F21" s="430"/>
      <c r="G21" s="430"/>
      <c r="H21" s="430"/>
      <c r="I21" s="432"/>
      <c r="J21" s="432"/>
      <c r="K21" s="1"/>
    </row>
    <row r="22" spans="2:13" ht="15.75" x14ac:dyDescent="0.25">
      <c r="B22" s="428" t="s">
        <v>251</v>
      </c>
      <c r="C22" s="420"/>
      <c r="D22" s="421">
        <v>0</v>
      </c>
      <c r="E22" s="421">
        <v>0</v>
      </c>
      <c r="F22" s="421">
        <v>0</v>
      </c>
      <c r="G22" s="421">
        <v>0</v>
      </c>
      <c r="H22" s="421">
        <v>0</v>
      </c>
      <c r="I22" s="422">
        <v>0</v>
      </c>
      <c r="J22" s="422">
        <f>+$F$9/2</f>
        <v>0</v>
      </c>
    </row>
    <row r="23" spans="2:13" x14ac:dyDescent="0.25">
      <c r="B23" s="433" t="s">
        <v>252</v>
      </c>
      <c r="C23" s="416"/>
      <c r="D23" s="416">
        <v>0</v>
      </c>
      <c r="E23" s="416">
        <v>0</v>
      </c>
      <c r="F23" s="416">
        <v>0</v>
      </c>
      <c r="G23" s="421">
        <f>+F9*0.05</f>
        <v>0</v>
      </c>
      <c r="H23" s="421">
        <f>+F9*0.05</f>
        <v>0</v>
      </c>
      <c r="I23" s="416">
        <f>+(F9-H22)*0.05</f>
        <v>0</v>
      </c>
      <c r="J23" s="416">
        <f>+(G9-I22)*0.05</f>
        <v>0</v>
      </c>
    </row>
    <row r="24" spans="2:13" ht="15.75" x14ac:dyDescent="0.25">
      <c r="B24" s="424" t="s">
        <v>253</v>
      </c>
      <c r="C24" s="425"/>
      <c r="D24" s="426">
        <f t="shared" ref="D24:J24" si="2">SUM(D13:D23)</f>
        <v>6870.8006000000005</v>
      </c>
      <c r="E24" s="426">
        <f t="shared" si="2"/>
        <v>7533.9204000000009</v>
      </c>
      <c r="F24" s="426">
        <f t="shared" si="2"/>
        <v>5130.7993777777783</v>
      </c>
      <c r="G24" s="426">
        <f t="shared" si="2"/>
        <v>6332.1858555555546</v>
      </c>
      <c r="H24" s="426">
        <f t="shared" si="2"/>
        <v>10437.980599999999</v>
      </c>
      <c r="I24" s="426">
        <f t="shared" si="2"/>
        <v>13166.472516666667</v>
      </c>
      <c r="J24" s="439">
        <f t="shared" si="2"/>
        <v>12969.335950000001</v>
      </c>
    </row>
    <row r="25" spans="2:13" ht="15.75" x14ac:dyDescent="0.25">
      <c r="B25" s="434" t="s">
        <v>254</v>
      </c>
      <c r="C25" s="435">
        <f>+C6</f>
        <v>75119.520733333338</v>
      </c>
      <c r="D25" s="435">
        <f t="shared" ref="D25:J25" si="3">+D10-D24</f>
        <v>34444.935803333326</v>
      </c>
      <c r="E25" s="435">
        <f t="shared" si="3"/>
        <v>26911.015403333324</v>
      </c>
      <c r="F25" s="435">
        <f t="shared" si="3"/>
        <v>21780.216025555546</v>
      </c>
      <c r="G25" s="435">
        <f t="shared" si="3"/>
        <v>15448.030169999991</v>
      </c>
      <c r="H25" s="435">
        <f t="shared" si="3"/>
        <v>5010.0495699999919</v>
      </c>
      <c r="I25" s="435">
        <f t="shared" si="3"/>
        <v>-8156.4229466666748</v>
      </c>
      <c r="J25" s="440">
        <f t="shared" si="3"/>
        <v>-21125.758896666674</v>
      </c>
    </row>
    <row r="27" spans="2:13" ht="12" customHeight="1" x14ac:dyDescent="0.25">
      <c r="L27" s="261" t="s">
        <v>193</v>
      </c>
      <c r="M27">
        <f>'Costo por Actividades'!P38</f>
        <v>30.630000000000003</v>
      </c>
    </row>
    <row r="28" spans="2:13" x14ac:dyDescent="0.25">
      <c r="B28" s="462" t="s">
        <v>286</v>
      </c>
      <c r="C28" s="462"/>
      <c r="D28" s="463">
        <f>IRR(C25:J25)</f>
        <v>-0.30512721912476126</v>
      </c>
    </row>
    <row r="29" spans="2:13" x14ac:dyDescent="0.25">
      <c r="B29" s="462" t="s">
        <v>287</v>
      </c>
      <c r="C29" s="462"/>
      <c r="D29" s="464">
        <f>NPV(0.1,D25:J25)+C25</f>
        <v>143254.52227609046</v>
      </c>
    </row>
  </sheetData>
  <mergeCells count="2">
    <mergeCell ref="B1:I1"/>
    <mergeCell ref="B2:I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13" sqref="F13"/>
    </sheetView>
  </sheetViews>
  <sheetFormatPr baseColWidth="10" defaultRowHeight="15" x14ac:dyDescent="0.25"/>
  <sheetData>
    <row r="1" spans="1:6" x14ac:dyDescent="0.25">
      <c r="A1" s="656" t="s">
        <v>206</v>
      </c>
      <c r="B1" s="656"/>
      <c r="C1" s="656"/>
      <c r="D1" s="656"/>
      <c r="E1" s="656"/>
      <c r="F1" s="656"/>
    </row>
    <row r="2" spans="1:6" ht="15.75" x14ac:dyDescent="0.25">
      <c r="A2" s="657" t="s">
        <v>263</v>
      </c>
      <c r="B2" s="657"/>
      <c r="C2" s="657"/>
      <c r="D2" s="657"/>
      <c r="E2" s="657"/>
      <c r="F2" s="657"/>
    </row>
    <row r="3" spans="1:6" ht="15.75" x14ac:dyDescent="0.25">
      <c r="A3" s="441"/>
      <c r="B3" s="441"/>
      <c r="C3" s="441"/>
      <c r="D3" s="441"/>
      <c r="E3" s="441"/>
      <c r="F3" s="441"/>
    </row>
    <row r="4" spans="1:6" ht="15.75" x14ac:dyDescent="0.25">
      <c r="A4" s="441"/>
      <c r="B4" s="441"/>
      <c r="C4" s="442">
        <v>1</v>
      </c>
      <c r="D4" s="442">
        <v>2</v>
      </c>
      <c r="E4" s="442">
        <v>3</v>
      </c>
      <c r="F4" s="442">
        <v>4</v>
      </c>
    </row>
    <row r="5" spans="1:6" ht="15.75" x14ac:dyDescent="0.25">
      <c r="A5" s="658" t="s">
        <v>264</v>
      </c>
      <c r="B5" s="658"/>
      <c r="C5" s="443"/>
      <c r="D5" s="443"/>
      <c r="E5" s="443"/>
      <c r="F5" s="443">
        <f>'Oferta economica'!$E$22</f>
        <v>82631.47</v>
      </c>
    </row>
    <row r="6" spans="1:6" ht="15.75" x14ac:dyDescent="0.25">
      <c r="A6" s="658" t="s">
        <v>265</v>
      </c>
      <c r="B6" s="658"/>
      <c r="C6" s="443"/>
      <c r="D6" s="443"/>
      <c r="E6" s="443"/>
      <c r="F6" s="443"/>
    </row>
    <row r="7" spans="1:6" ht="15.75" x14ac:dyDescent="0.25">
      <c r="A7" s="658" t="s">
        <v>266</v>
      </c>
      <c r="B7" s="658"/>
      <c r="C7" s="441"/>
      <c r="D7" s="441"/>
      <c r="E7" s="443">
        <f>'Presupuesto del proyecto'!$G$11</f>
        <v>2920.68</v>
      </c>
      <c r="F7" s="443"/>
    </row>
    <row r="8" spans="1:6" ht="15.75" x14ac:dyDescent="0.25">
      <c r="A8" s="658" t="s">
        <v>267</v>
      </c>
      <c r="B8" s="658"/>
      <c r="C8" s="441"/>
      <c r="D8" s="441"/>
      <c r="E8" s="443">
        <f>'Presupuesto del proyecto'!$H$11</f>
        <v>3919.4407333333334</v>
      </c>
      <c r="F8" s="443"/>
    </row>
    <row r="9" spans="1:6" ht="15.75" x14ac:dyDescent="0.25">
      <c r="A9" s="658" t="s">
        <v>268</v>
      </c>
      <c r="B9" s="658"/>
      <c r="C9" s="443"/>
      <c r="D9" s="441"/>
      <c r="E9" s="443"/>
      <c r="F9" s="443">
        <f>E7+E8</f>
        <v>6840.1207333333332</v>
      </c>
    </row>
    <row r="10" spans="1:6" ht="15.75" x14ac:dyDescent="0.25">
      <c r="A10" s="658" t="s">
        <v>269</v>
      </c>
      <c r="B10" s="658"/>
      <c r="C10" s="443"/>
      <c r="D10" s="443"/>
      <c r="E10" s="443"/>
      <c r="F10" s="444"/>
    </row>
    <row r="11" spans="1:6" ht="15.75" x14ac:dyDescent="0.25">
      <c r="A11" s="445" t="s">
        <v>270</v>
      </c>
      <c r="B11" s="445"/>
      <c r="C11" s="443"/>
      <c r="D11" s="443"/>
      <c r="E11" s="443"/>
      <c r="F11" s="446">
        <f>+F9</f>
        <v>6840.1207333333332</v>
      </c>
    </row>
    <row r="12" spans="1:6" x14ac:dyDescent="0.25">
      <c r="A12" s="659" t="s">
        <v>271</v>
      </c>
      <c r="B12" s="659"/>
      <c r="C12" s="447"/>
      <c r="D12" s="447"/>
      <c r="E12" s="447"/>
      <c r="F12" s="447">
        <f>+F5-F11</f>
        <v>75791.349266666672</v>
      </c>
    </row>
    <row r="13" spans="1:6" ht="15.75" x14ac:dyDescent="0.25">
      <c r="A13" s="659" t="s">
        <v>272</v>
      </c>
      <c r="B13" s="659"/>
      <c r="C13" s="443"/>
      <c r="D13" s="443"/>
      <c r="E13" s="443"/>
      <c r="F13" s="447">
        <f>'Presupuesto del proyecto'!$I$14</f>
        <v>68279.399999999994</v>
      </c>
    </row>
    <row r="14" spans="1:6" ht="15.75" x14ac:dyDescent="0.25">
      <c r="A14" s="448" t="s">
        <v>273</v>
      </c>
      <c r="B14" s="441"/>
      <c r="C14" s="443"/>
      <c r="D14" s="443"/>
      <c r="E14" s="443"/>
      <c r="F14" s="449">
        <f>+F12-F13</f>
        <v>7511.9492666666774</v>
      </c>
    </row>
    <row r="15" spans="1:6" ht="15.75" x14ac:dyDescent="0.25">
      <c r="A15" s="441" t="s">
        <v>274</v>
      </c>
      <c r="B15" s="441"/>
      <c r="C15" s="443"/>
      <c r="D15" s="443"/>
      <c r="E15" s="443"/>
      <c r="F15" s="450"/>
    </row>
    <row r="16" spans="1:6" ht="15.75" x14ac:dyDescent="0.25">
      <c r="A16" s="451" t="s">
        <v>275</v>
      </c>
      <c r="B16" s="441"/>
      <c r="C16" s="443"/>
      <c r="D16" s="443"/>
      <c r="E16" s="443"/>
      <c r="F16" s="447">
        <f>F14-F15</f>
        <v>7511.9492666666774</v>
      </c>
    </row>
    <row r="17" spans="1:6" ht="15.75" x14ac:dyDescent="0.25">
      <c r="A17" s="441"/>
      <c r="B17" s="441"/>
      <c r="C17" s="441"/>
      <c r="D17" s="441"/>
      <c r="E17" s="441"/>
      <c r="F17" s="447"/>
    </row>
    <row r="18" spans="1:6" ht="15.75" x14ac:dyDescent="0.25">
      <c r="A18" s="452"/>
      <c r="B18" s="452"/>
      <c r="C18" s="441"/>
      <c r="D18" s="452"/>
      <c r="E18" s="452"/>
      <c r="F18" s="443"/>
    </row>
    <row r="19" spans="1:6" ht="15.75" x14ac:dyDescent="0.25">
      <c r="A19" s="660" t="s">
        <v>276</v>
      </c>
      <c r="B19" s="660"/>
      <c r="C19" s="441"/>
      <c r="D19" s="655" t="s">
        <v>64</v>
      </c>
      <c r="E19" s="655"/>
      <c r="F19" s="446"/>
    </row>
  </sheetData>
  <mergeCells count="12">
    <mergeCell ref="D19:E19"/>
    <mergeCell ref="A1:F1"/>
    <mergeCell ref="A2:F2"/>
    <mergeCell ref="A5:B5"/>
    <mergeCell ref="A6:B6"/>
    <mergeCell ref="A7:B7"/>
    <mergeCell ref="A8:B8"/>
    <mergeCell ref="A9:B9"/>
    <mergeCell ref="A10:B10"/>
    <mergeCell ref="A12:B12"/>
    <mergeCell ref="A13:B13"/>
    <mergeCell ref="A19:B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Cronograma actividades</vt:lpstr>
      <vt:lpstr>Costo por Actividades</vt:lpstr>
      <vt:lpstr>Presupuesto del proyecto</vt:lpstr>
      <vt:lpstr>Oferta economica</vt:lpstr>
      <vt:lpstr>costo x actividades</vt:lpstr>
      <vt:lpstr>Presupuesto </vt:lpstr>
      <vt:lpstr>Depreciasion</vt:lpstr>
      <vt:lpstr>Flujo de Efectivos</vt:lpstr>
      <vt:lpstr>Estado de Perdidas y Ganacias</vt:lpstr>
      <vt:lpstr>Balance 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Sindi</dc:creator>
  <cp:lastModifiedBy>Karen</cp:lastModifiedBy>
  <cp:lastPrinted>2013-03-07T22:40:11Z</cp:lastPrinted>
  <dcterms:created xsi:type="dcterms:W3CDTF">2012-11-29T19:58:35Z</dcterms:created>
  <dcterms:modified xsi:type="dcterms:W3CDTF">2016-09-22T21:37:04Z</dcterms:modified>
</cp:coreProperties>
</file>