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x-wmf" Extension="wmf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comments+xml" PartName="/xl/comments14.xml"/>
  <Override ContentType="application/vnd.openxmlformats-officedocument.spreadsheetml.comments+xml" PartName="/xl/comments15.xml"/>
  <Override ContentType="application/vnd.openxmlformats-officedocument.drawing+xml" PartName="/xl/drawings/drawing1.xml"/>
  <Override ContentType="application/vnd.openxmlformats-officedocument.spreadsheetml.comments+xml" PartName="/xl/comments16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60" windowWidth="20730" windowHeight="10320" tabRatio="905" firstSheet="36" activeTab="40"/>
  </bookViews>
  <sheets>
    <sheet name="MALANG BAT AGUSTUS - OK" sheetId="1" r:id="rId1"/>
    <sheet name="MALANG BAT JULI - OK" sheetId="2" r:id="rId2"/>
    <sheet name="MALANG BAT 2 AGUSTUS - OK" sheetId="3" r:id="rId3"/>
    <sheet name="YAMAZAKI JEMBER AGUSTUS - OK" sheetId="4" r:id="rId4"/>
    <sheet name="YAMAZAKI MALANG AGUSTUS - OK" sheetId="5" r:id="rId5"/>
    <sheet name="YAMAZAKI MALANG JULI - OK" sheetId="6" r:id="rId6"/>
    <sheet name="MADIUN ANTERAJA AGUSTUS - OK" sheetId="7" r:id="rId7"/>
    <sheet name="MADIUN ANTERAJA JULI - OK" sheetId="8" r:id="rId8"/>
    <sheet name="JEMBER ANTERAJA AGUSTUS - OK" sheetId="9" r:id="rId9"/>
    <sheet name="BANYUWANGI ANTERAJA AGUSTS - OK" sheetId="10" r:id="rId10"/>
    <sheet name="PAMEKASAN ANTERAJA AGUST- OK" sheetId="11" r:id="rId11"/>
    <sheet name="LAMONGAN ANTERAJA AGUST - OK" sheetId="12" r:id="rId12"/>
    <sheet name="LAMONGAN ANTERAJA JULI - OK" sheetId="13" r:id="rId13"/>
    <sheet name="TUBAN ANTERAJA AGUSTUS - OK" sheetId="14" r:id="rId14"/>
    <sheet name="SURABAYA ANTERAJA AGUSTUS - OK" sheetId="15" r:id="rId15"/>
    <sheet name="SURABAYA ANTERAJA JULI - OK" sheetId="16" r:id="rId16"/>
    <sheet name="MALANG ANTERAJA AGUSTUS - OK" sheetId="17" r:id="rId17"/>
    <sheet name="MALANG ANTERAJA JULI - OK" sheetId="18" r:id="rId18"/>
    <sheet name="PROBOLINGGO ANTERAJA AGUST - OK" sheetId="19" r:id="rId19"/>
    <sheet name="JOMBANG ANTERAJA AGUST - OK" sheetId="20" r:id="rId20"/>
    <sheet name="BALI CK AGUSTUS - OK" sheetId="21" r:id="rId21"/>
    <sheet name="BALI AOP AGUSTUS - OK" sheetId="22" r:id="rId22"/>
    <sheet name="BALI ANTERAJA AGUSTUS - OK" sheetId="23" r:id="rId23"/>
    <sheet name="MATARAM ANTERAJA AGUSTUS - OK" sheetId="24" r:id="rId24"/>
    <sheet name="SUMBAWA ANTERAJA - OK" sheetId="25" r:id="rId25"/>
    <sheet name="BIMA ANTERAJA - OK" sheetId="26" r:id="rId26"/>
    <sheet name="SAT REMBANG AGUSTUS - OK" sheetId="27" r:id="rId27"/>
    <sheet name="SEMARANG AOP AGUSTUS - OK" sheetId="28" r:id="rId28"/>
    <sheet name="SEMARANG ANTERAJA AGUSTUS- OK" sheetId="29" r:id="rId29"/>
    <sheet name="PURWOKERTO AOP AGUSTUS - OK" sheetId="30" r:id="rId30"/>
    <sheet name="PURWOKERTO ANTERAJA AGUSTS - OK" sheetId="31" r:id="rId31"/>
    <sheet name="JOGJA ANTERAJA AGUSTUS - OK" sheetId="32" r:id="rId32"/>
    <sheet name="JOGJA ANTERAJA JULI - OK" sheetId="33" r:id="rId33"/>
    <sheet name="TEGAL ANTERAJA AGUSTUS - OK" sheetId="34" r:id="rId34"/>
    <sheet name="CILACAP ANTERAJA AGUSTUS - OK" sheetId="35" r:id="rId35"/>
    <sheet name="PEMALANG ANTERAJA AGUSTUS - OK" sheetId="36" r:id="rId36"/>
    <sheet name="KUDUS ANTERAJA AGUSTUS - OK" sheetId="37" r:id="rId37"/>
    <sheet name="SOLO ANTERAJA AGUSTUS - OK" sheetId="38" r:id="rId38"/>
    <sheet name="sharing budget" sheetId="39" r:id="rId39"/>
    <sheet name="in out" sheetId="40" state="hidden" r:id="rId40"/>
    <sheet name="INVOICE AGUSTUS" sheetId="41" r:id="rId41"/>
    <sheet name="INVOICE JULI" sheetId="42" r:id="rId42"/>
    <sheet name="sharing budget invoice " sheetId="43" r:id="rId43"/>
  </sheets>
  <externalReferences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a">[1]DBU!$C$4:$C$117</definedName>
    <definedName name="_xlnm.Database">#REF!</definedName>
    <definedName name="DBU">[2]DBU!$C$4:$C$219</definedName>
    <definedName name="DEPARTEMENTAL_COSTING_ON_MARCH_99">"MCOST1"</definedName>
    <definedName name="DRIVER">[2]DBD!$C$5:$C$352</definedName>
    <definedName name="int_ext_sel">1</definedName>
    <definedName name="KODE">[2]DBR!$AI$5:$AI$32</definedName>
    <definedName name="notip">#REF!</definedName>
    <definedName name="Rute">[2]DBR!$C$6:$C$607</definedName>
    <definedName name="s">[3]DBU!$C$4:$C$165</definedName>
    <definedName name="tip">#REF!</definedName>
    <definedName name="WAVE">[2]DBR!$AF$35:$AF$38</definedName>
    <definedName name="X">[4]DBR!$C$6:$C$602</definedName>
    <definedName name="_xlnm.Print_Area" localSheetId="0">'MALANG BAT AGUSTUS - OK'!$A$1:$V$35</definedName>
    <definedName name="_xlnm.Database" localSheetId="1">#REF!</definedName>
    <definedName name="notip" localSheetId="1">#REF!</definedName>
    <definedName name="_xlnm.Print_Area" localSheetId="1">'MALANG BAT JULI - OK'!$A$1:$V$21</definedName>
    <definedName name="tip" localSheetId="1">#REF!</definedName>
    <definedName name="_xlnm.Print_Area" localSheetId="2">'MALANG BAT 2 AGUSTUS - OK'!$A$1:$V$20</definedName>
    <definedName name="_xlnm.Database" localSheetId="3">#REF!</definedName>
    <definedName name="notip" localSheetId="3">#REF!</definedName>
    <definedName name="_xlnm.Print_Area" localSheetId="3">'YAMAZAKI JEMBER AGUSTUS - OK'!$A$1:$U$29</definedName>
    <definedName name="tip" localSheetId="3">#REF!</definedName>
    <definedName name="_xlnm.Database" localSheetId="4">#REF!</definedName>
    <definedName name="notip" localSheetId="4">#REF!</definedName>
    <definedName name="_xlnm.Print_Area" localSheetId="4">'YAMAZAKI MALANG AGUSTUS - OK'!$A$1:$U$43</definedName>
    <definedName name="tip" localSheetId="4">#REF!</definedName>
    <definedName name="_xlnm.Database" localSheetId="5">#REF!</definedName>
    <definedName name="notip" localSheetId="5">#REF!</definedName>
    <definedName name="_xlnm.Print_Area" localSheetId="5">'YAMAZAKI MALANG JULI - OK'!$A$1:$U$21</definedName>
    <definedName name="tip" localSheetId="5">#REF!</definedName>
    <definedName name="_xlnm.Print_Area" localSheetId="6">'MADIUN ANTERAJA AGUSTUS - OK'!$A$1:$V$37</definedName>
    <definedName name="_xlnm.Database" localSheetId="7">#REF!</definedName>
    <definedName name="notip" localSheetId="7">#REF!</definedName>
    <definedName name="_xlnm.Print_Area" localSheetId="7">'MADIUN ANTERAJA JULI - OK'!$A$1:$V$20</definedName>
    <definedName name="tip" localSheetId="7">#REF!</definedName>
    <definedName name="_xlnm.Print_Area" localSheetId="8">'JEMBER ANTERAJA AGUSTUS - OK'!$A$1:$V$54</definedName>
    <definedName name="_xlnm.Print_Area" localSheetId="9">'BANYUWANGI ANTERAJA AGUSTS - OK'!$A$1:$V$26</definedName>
    <definedName name="_xlnm.Print_Area" localSheetId="10">'PAMEKASAN ANTERAJA AGUST- OK'!$A$1:$V$28</definedName>
    <definedName name="_xlnm.Print_Area" localSheetId="11">'LAMONGAN ANTERAJA AGUST - OK'!$A$1:$V$38</definedName>
    <definedName name="_xlnm.Print_Area" localSheetId="12">'LAMONGAN ANTERAJA JULI - OK'!$A$1:$V$20</definedName>
    <definedName name="_xlnm.Print_Area" localSheetId="13">'TUBAN ANTERAJA AGUSTUS - OK'!$A$1:$V$21</definedName>
    <definedName name="_xlnm._FilterDatabase" localSheetId="14" hidden="1">'SURABAYA ANTERAJA AGUSTUS - OK'!$A$23:$V$225</definedName>
    <definedName name="_xlnm.Print_Area" localSheetId="14">'SURABAYA ANTERAJA AGUSTUS - OK'!$A$1:$V$238</definedName>
    <definedName name="_xlnm.Print_Titles" localSheetId="14">'SURABAYA ANTERAJA AGUSTUS - OK'!$6:$6</definedName>
    <definedName name="_xlnm._FilterDatabase" localSheetId="15" hidden="1">'SURABAYA ANTERAJA JULI - OK'!#REF!</definedName>
    <definedName name="_xlnm.Print_Area" localSheetId="15">'SURABAYA ANTERAJA JULI - OK'!$A$1:$V$20</definedName>
    <definedName name="_xlnm.Print_Titles" localSheetId="15">'SURABAYA ANTERAJA JULI - OK'!$6:$6</definedName>
    <definedName name="_xlnm._FilterDatabase" localSheetId="16" hidden="1">'MALANG ANTERAJA AGUSTUS - OK'!$A$15:$V$90</definedName>
    <definedName name="_xlnm.Database" localSheetId="16">#REF!</definedName>
    <definedName name="notip" localSheetId="16">#REF!</definedName>
    <definedName name="_xlnm.Print_Area" localSheetId="16">'MALANG ANTERAJA AGUSTUS - OK'!$A$1:$V$101</definedName>
    <definedName name="_xlnm.Print_Titles" localSheetId="16">'MALANG ANTERAJA AGUSTUS - OK'!$6:$6</definedName>
    <definedName name="tip" localSheetId="16">#REF!</definedName>
    <definedName name="_xlnm._FilterDatabase" localSheetId="17" hidden="1">'MALANG ANTERAJA JULI - OK'!#REF!</definedName>
    <definedName name="_xlnm.Database" localSheetId="17">#REF!</definedName>
    <definedName name="notip" localSheetId="17">#REF!</definedName>
    <definedName name="_xlnm.Print_Area" localSheetId="17">'MALANG ANTERAJA JULI - OK'!$A$1:$V$20</definedName>
    <definedName name="_xlnm.Print_Titles" localSheetId="17">'MALANG ANTERAJA JULI - OK'!$6:$6</definedName>
    <definedName name="tip" localSheetId="17">#REF!</definedName>
    <definedName name="_xlnm._FilterDatabase" localSheetId="18" hidden="1">'PROBOLINGGO ANTERAJA AGUST - OK'!#REF!</definedName>
    <definedName name="_xlnm.Print_Area" localSheetId="18">'PROBOLINGGO ANTERAJA AGUST - OK'!$A$1:$V$36</definedName>
    <definedName name="_xlnm._FilterDatabase" localSheetId="19" hidden="1">'JOMBANG ANTERAJA AGUST - OK'!$A$12:$V$64</definedName>
    <definedName name="_xlnm.Print_Area" localSheetId="19">'JOMBANG ANTERAJA AGUST - OK'!$A$1:$V$77</definedName>
    <definedName name="_xlnm._FilterDatabase" localSheetId="20" hidden="1">'BALI CK AGUSTUS - OK'!$A$10:$V$20</definedName>
    <definedName name="_xlnm.Print_Area" localSheetId="20">'BALI CK AGUSTUS - OK'!$A$1:$V$33</definedName>
    <definedName name="_xlnm.Print_Area" localSheetId="21">'BALI AOP AGUSTUS - OK'!$A$1:$V$23</definedName>
    <definedName name="_xlnm.Print_Area" localSheetId="22">'BALI ANTERAJA AGUSTUS - OK'!$A$1:$V$36</definedName>
    <definedName name="_xlnm.Print_Area" localSheetId="23">'MATARAM ANTERAJA AGUSTUS - OK'!$A$1:$V$25</definedName>
    <definedName name="_xlnm.Database" localSheetId="24">#REF!</definedName>
    <definedName name="notip" localSheetId="24">#REF!</definedName>
    <definedName name="_xlnm.Print_Area" localSheetId="24">'SUMBAWA ANTERAJA - OK'!$A$1:$V$21</definedName>
    <definedName name="tip" localSheetId="24">#REF!</definedName>
    <definedName name="_xlnm.Database" localSheetId="25">#REF!</definedName>
    <definedName name="notip" localSheetId="25">#REF!</definedName>
    <definedName name="_xlnm.Print_Area" localSheetId="25">'BIMA ANTERAJA - OK'!$A$1:$V$21</definedName>
    <definedName name="tip" localSheetId="25">#REF!</definedName>
    <definedName name="_xlnm._FilterDatabase" localSheetId="26" hidden="1">'SAT REMBANG AGUSTUS - OK'!$A$6:$V$26</definedName>
    <definedName name="_xlnm.Print_Area" localSheetId="26">'SAT REMBANG AGUSTUS - OK'!$A$1:$V$140</definedName>
    <definedName name="_xlnm.Print_Titles" localSheetId="26">'SAT REMBANG AGUSTUS - OK'!$5:$6</definedName>
    <definedName name="_xlnm.Print_Area" localSheetId="27">'SEMARANG AOP AGUSTUS - OK'!$A$1:$V$37</definedName>
    <definedName name="_xlnm._FilterDatabase" localSheetId="28" hidden="1">'SEMARANG ANTERAJA AGUSTUS- OK'!$A$13:$V$53</definedName>
    <definedName name="_xlnm.Print_Area" localSheetId="28">'SEMARANG ANTERAJA AGUSTUS- OK'!$A$1:$V$65</definedName>
    <definedName name="_xlnm.Print_Titles" localSheetId="28">'SEMARANG ANTERAJA AGUSTUS- OK'!$6:$6</definedName>
    <definedName name="_xlnm.Print_Area" localSheetId="29">'PURWOKERTO AOP AGUSTUS - OK'!$A$1:$V$24</definedName>
    <definedName name="_xlnm.Print_Area" localSheetId="30">'PURWOKERTO ANTERAJA AGUSTS - OK'!$A$1:$V$41</definedName>
    <definedName name="_xlnm.Print_Area" localSheetId="31">'JOGJA ANTERAJA AGUSTUS - OK'!$A$1:$V$76</definedName>
    <definedName name="_xlnm.Print_Titles" localSheetId="31">'JOGJA ANTERAJA AGUSTUS - OK'!$6:$6</definedName>
    <definedName name="_xlnm.Database" localSheetId="32">#REF!</definedName>
    <definedName name="notip" localSheetId="32">#REF!</definedName>
    <definedName name="_xlnm.Print_Area" localSheetId="32">'JOGJA ANTERAJA JULI - OK'!$A$1:$V$20</definedName>
    <definedName name="_xlnm.Print_Titles" localSheetId="32">'JOGJA ANTERAJA JULI - OK'!$6:$6</definedName>
    <definedName name="tip" localSheetId="32">#REF!</definedName>
    <definedName name="_xlnm.Print_Area" localSheetId="33">'TEGAL ANTERAJA AGUSTUS - OK'!$A$1:$V$37</definedName>
    <definedName name="_xlnm.Print_Area" localSheetId="34">'CILACAP ANTERAJA AGUSTUS - OK'!$A$1:$V$21</definedName>
    <definedName name="_xlnm.Print_Area" localSheetId="35">'PEMALANG ANTERAJA AGUSTUS - OK'!$A$1:$V$21</definedName>
    <definedName name="_xlnm._FilterDatabase" localSheetId="36" hidden="1">'KUDUS ANTERAJA AGUSTUS - OK'!$A$10:$V$28</definedName>
    <definedName name="_xlnm.Print_Area" localSheetId="36">'KUDUS ANTERAJA AGUSTUS - OK'!$A$1:$V$41</definedName>
    <definedName name="_xlnm.Print_Area" localSheetId="37">'SOLO ANTERAJA AGUSTUS - OK'!$A$1:$V$51</definedName>
    <definedName name="_xlnm.Print_Area" localSheetId="38">'sharing budget'!$A$1:$O$25</definedName>
    <definedName name="_xlnm._FilterDatabase" localSheetId="39" hidden="1">'in out'!$B$7:$K$383</definedName>
    <definedName name="_xlnm.Print_Area" localSheetId="39">'in out'!$B$2:$K$434</definedName>
    <definedName name="_xlnm.Print_Area" localSheetId="40">'INVOICE AGUSTUS'!$A$1:$J$65</definedName>
    <definedName name="_xlnm.Print_Titles" localSheetId="40">'INVOICE AGUSTUS'!$13:$13</definedName>
    <definedName name="_xlnm._FilterDatabase" localSheetId="41" hidden="1">'INVOICE JULI'!$A$14:$S$45</definedName>
    <definedName name="_xlnm.Print_Area" localSheetId="41">'INVOICE JULI'!$A$1:$J$69</definedName>
    <definedName name="_xlnm.Print_Area" localSheetId="42">'sharing budget invoice '!$A$1:$G$47</definedName>
  </definedNames>
  <calcPr calcId="144525" concurrentCalc="0" fullCalcOnLoad="1"/>
</workbook>
</file>

<file path=xl/comments1.xml><?xml version="1.0" encoding="utf-8"?>
<comments xmlns="http://schemas.openxmlformats.org/spreadsheetml/2006/main">
  <authors>
    <author>irman</author>
  </authors>
  <commentList>
    <comment ref="O7" authorId="0">
      <text>
        <r>
          <rPr>
            <sz val="9"/>
            <color indexed="81"/>
            <rFont val="宋体"/>
            <charset val="134"/>
          </rPr>
          <t>irman:
Jombang</t>
        </r>
      </text>
    </comment>
    <comment ref="O9" authorId="0">
      <text>
        <r>
          <rPr>
            <sz val="9"/>
            <color indexed="81"/>
            <rFont val="宋体"/>
            <charset val="134"/>
          </rPr>
          <t>irman:
Jombang</t>
        </r>
      </text>
    </comment>
    <comment ref="O11" authorId="0">
      <text>
        <r>
          <rPr>
            <sz val="9"/>
            <color indexed="81"/>
            <rFont val="宋体"/>
            <charset val="134"/>
          </rPr>
          <t>irman:
Jombang</t>
        </r>
      </text>
    </comment>
    <comment ref="O15" authorId="0">
      <text>
        <r>
          <rPr>
            <sz val="9"/>
            <color indexed="81"/>
            <rFont val="宋体"/>
            <charset val="134"/>
          </rPr>
          <t>irman:
Jombang</t>
        </r>
      </text>
    </comment>
  </commentList>
</comments>
</file>

<file path=xl/comments10.xml><?xml version="1.0" encoding="utf-8"?>
<comments xmlns="http://schemas.openxmlformats.org/spreadsheetml/2006/main">
  <authors>
    <author>ASUS</author>
  </authors>
  <commentList>
    <comment ref="G25" authorId="0">
      <text>
        <r>
          <rPr>
            <sz val="9"/>
            <color indexed="81"/>
            <rFont val="宋体"/>
            <charset val="134"/>
          </rPr>
          <t>ASUS:
GAPOK 4.500.000</t>
        </r>
      </text>
    </comment>
    <comment ref="P25" authorId="0">
      <text>
        <r>
          <rPr>
            <sz val="9"/>
            <color indexed="81"/>
            <rFont val="宋体"/>
            <charset val="134"/>
          </rPr>
          <t>ASUS:
TUNJANGAN PULSA JULI 200.000</t>
        </r>
      </text>
    </comment>
    <comment ref="Q25" authorId="0">
      <text>
        <r>
          <rPr>
            <sz val="9"/>
            <color indexed="81"/>
            <rFont val="宋体"/>
            <charset val="134"/>
          </rPr>
          <t>ASUS:
TUNJANGAN KEHADIRAN 15.000/HARI</t>
        </r>
      </text>
    </comment>
  </commentList>
</comments>
</file>

<file path=xl/comments11.xml><?xml version="1.0" encoding="utf-8"?>
<comments xmlns="http://schemas.openxmlformats.org/spreadsheetml/2006/main">
  <authors>
    <author>irman</author>
  </authors>
  <commentList>
    <comment ref="O11" authorId="0">
      <text>
        <r>
          <rPr>
            <sz val="9"/>
            <color indexed="81"/>
            <rFont val="宋体"/>
            <charset val="134"/>
          </rPr>
          <t>irman:
insenntif smrng anteraja</t>
        </r>
      </text>
    </comment>
    <comment ref="O19" authorId="0">
      <text>
        <r>
          <rPr>
            <sz val="9"/>
            <color indexed="81"/>
            <rFont val="宋体"/>
            <charset val="134"/>
          </rPr>
          <t xml:space="preserve">irman:
insnetif tegal 40000
</t>
        </r>
      </text>
    </comment>
  </commentList>
</comments>
</file>

<file path=xl/comments12.xml><?xml version="1.0" encoding="utf-8"?>
<comments xmlns="http://schemas.openxmlformats.org/spreadsheetml/2006/main">
  <authors>
    <author>buldoze</author>
    <author>irman</author>
    <author>ASUS</author>
  </authors>
  <commentList>
    <comment ref="O7" authorId="0">
      <text>
        <r>
          <rPr>
            <sz val="9"/>
            <color indexed="81"/>
            <rFont val="宋体"/>
            <charset val="134"/>
          </rPr>
          <t>buldoze:
insentif 500.000+insentif driver 430.000</t>
        </r>
      </text>
    </comment>
    <comment ref="O8" authorId="1">
      <text>
        <r>
          <rPr>
            <sz val="9"/>
            <color indexed="81"/>
            <rFont val="宋体"/>
            <charset val="134"/>
          </rPr>
          <t>irman:
insentif tegal 430000</t>
        </r>
      </text>
    </comment>
    <comment ref="P9" authorId="2">
      <text>
        <r>
          <rPr>
            <sz val="9"/>
            <color indexed="81"/>
            <rFont val="宋体"/>
            <charset val="134"/>
          </rPr>
          <t>ASUS:
tidak ada tunj pulsa</t>
        </r>
      </text>
    </comment>
    <comment ref="O25" authorId="1">
      <text>
        <r>
          <rPr>
            <sz val="9"/>
            <color indexed="81"/>
            <rFont val="宋体"/>
            <charset val="134"/>
          </rPr>
          <t>irman:
insentif tegal 20.000</t>
        </r>
      </text>
    </comment>
  </commentList>
</comments>
</file>

<file path=xl/comments13.xml><?xml version="1.0" encoding="utf-8"?>
<comments xmlns="http://schemas.openxmlformats.org/spreadsheetml/2006/main">
  <authors>
    <author>sujono.sujono</author>
    <author>Administrator</author>
  </authors>
  <commentList>
    <comment ref="Q12" authorId="0">
      <text>
        <r>
          <rPr>
            <sz val="9"/>
            <color indexed="81"/>
            <rFont val="宋体"/>
            <charset val="134"/>
          </rPr>
          <t>sujono.sujono:
Insentif driver leader Juni 2021</t>
        </r>
      </text>
    </comment>
    <comment ref="O27" authorId="1">
      <text>
        <r>
          <rPr>
            <sz val="9"/>
            <color indexed="81"/>
            <rFont val="宋体"/>
            <charset val="134"/>
          </rPr>
          <t>Administrator:
insentif anteraja purwokerto 
1365000</t>
        </r>
      </text>
    </comment>
  </commentList>
</comments>
</file>

<file path=xl/comments14.xml><?xml version="1.0" encoding="utf-8"?>
<comments xmlns="http://schemas.openxmlformats.org/spreadsheetml/2006/main">
  <authors>
    <author>irman</author>
  </authors>
  <commentList>
    <comment ref="O7" authorId="0">
      <text>
        <r>
          <rPr>
            <sz val="9"/>
            <color indexed="81"/>
            <rFont val="宋体"/>
            <charset val="134"/>
          </rPr>
          <t>irman:
insentif purwokerto anteraja
730000</t>
        </r>
      </text>
    </comment>
    <comment ref="O8" authorId="0">
      <text>
        <r>
          <rPr>
            <sz val="9"/>
            <color indexed="81"/>
            <rFont val="宋体"/>
            <charset val="134"/>
          </rPr>
          <t>irman:
insentif purwokerto anteraja
762.500</t>
        </r>
      </text>
    </comment>
  </commentList>
</comments>
</file>

<file path=xl/comments15.xml><?xml version="1.0" encoding="utf-8"?>
<comments xmlns="http://schemas.openxmlformats.org/spreadsheetml/2006/main">
  <authors>
    <author>irman</author>
  </authors>
  <commentList>
    <comment ref="O19" authorId="0">
      <text>
        <r>
          <rPr>
            <sz val="9"/>
            <color indexed="81"/>
            <rFont val="宋体"/>
            <charset val="134"/>
          </rPr>
          <t>irman:
KUDUS</t>
        </r>
      </text>
    </comment>
    <comment ref="O20" authorId="0">
      <text>
        <r>
          <rPr>
            <sz val="9"/>
            <color indexed="81"/>
            <rFont val="宋体"/>
            <charset val="134"/>
          </rPr>
          <t xml:space="preserve">irman:
</t>
        </r>
      </text>
    </comment>
  </commentList>
</comments>
</file>

<file path=xl/comments16.xml><?xml version="1.0" encoding="utf-8"?>
<comments xmlns="http://schemas.openxmlformats.org/spreadsheetml/2006/main">
  <authors>
    <author>ASUS</author>
  </authors>
  <commentList>
    <comment ref="N18" authorId="0">
      <text>
        <r>
          <rPr>
            <sz val="9"/>
            <color indexed="81"/>
            <rFont val="宋体"/>
            <charset val="134"/>
          </rPr>
          <t>ASUS:
TAMBAHAN INSENTIF BEBAN ASSA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DELL 5420 NEW</author>
  </authors>
  <commentList>
    <comment ref="C6" authorId="0">
      <text>
        <r>
          <rPr>
            <sz val="9"/>
            <color indexed="81"/>
            <rFont val="宋体"/>
            <charset val="134"/>
          </rPr>
          <t xml:space="preserve">Administrator:MUTASI KE JEMBER, TAPI GAPOK TETAP MENGGUNAKAN ACUAN PROBOLINGGO
</t>
        </r>
      </text>
    </comment>
    <comment ref="C14" authorId="1">
      <text>
        <r>
          <rPr>
            <sz val="9"/>
            <color indexed="81"/>
            <rFont val="宋体"/>
            <charset val="134"/>
          </rPr>
          <t>DANANG : PENGGANTI BUDI SANTOSO</t>
        </r>
      </text>
    </comment>
    <comment ref="C15" authorId="1">
      <text>
        <r>
          <rPr>
            <sz val="9"/>
            <color indexed="81"/>
            <rFont val="宋体"/>
            <charset val="134"/>
          </rPr>
          <t>DANANG : PENGGANTI IRFAN EFENDY</t>
        </r>
      </text>
    </comment>
  </commentList>
</comments>
</file>

<file path=xl/comments3.xml><?xml version="1.0" encoding="utf-8"?>
<comments xmlns="http://schemas.openxmlformats.org/spreadsheetml/2006/main">
  <authors>
    <author>Rosina Ribka</author>
  </authors>
  <commentList>
    <comment ref="O7" authorId="0">
      <text>
        <r>
          <rPr>
            <sz val="9"/>
            <color indexed="81"/>
            <rFont val="宋体"/>
            <charset val="134"/>
          </rPr>
          <t>Rosina Ribka:
INSENTIF DRIVER LEADER 300.000
dan insentif bulan Mei Rp 715000</t>
        </r>
      </text>
    </comment>
  </commentList>
</comments>
</file>

<file path=xl/comments4.xml><?xml version="1.0" encoding="utf-8"?>
<comments xmlns="http://schemas.openxmlformats.org/spreadsheetml/2006/main">
  <authors>
    <author>Rosina Ribka</author>
  </authors>
  <commentList>
    <comment ref="O7" authorId="0">
      <text>
        <r>
          <rPr>
            <sz val="9"/>
            <color indexed="81"/>
            <rFont val="宋体"/>
            <charset val="134"/>
          </rPr>
          <t>Rosina Ribka:
INSENTIF DRIVER LEADER Rp 300.000
dan
insentif mei Rp 675.000</t>
        </r>
      </text>
    </comment>
    <comment ref="O11" authorId="0">
      <text>
        <r>
          <rPr>
            <sz val="9"/>
            <color indexed="81"/>
            <rFont val="宋体"/>
            <charset val="134"/>
          </rPr>
          <t>Rosina Ribka:
INSENTIF DRIVER LEADER Rp 300.000
dan
insentif mei Rp 675.000</t>
        </r>
      </text>
    </comment>
  </commentList>
</comments>
</file>

<file path=xl/comments5.xml><?xml version="1.0" encoding="utf-8"?>
<comments xmlns="http://schemas.openxmlformats.org/spreadsheetml/2006/main">
  <authors>
    <author>Rosina Ribka</author>
  </authors>
  <commentList>
    <comment ref="O7" authorId="0">
      <text>
        <r>
          <rPr>
            <sz val="9"/>
            <color indexed="81"/>
            <rFont val="宋体"/>
            <charset val="134"/>
          </rPr>
          <t>Rosina Ribka:
INSENTIF DRIVER LEADER Rp 300.000
dan
insentif mei Rp 675.000</t>
        </r>
      </text>
    </comment>
  </commentList>
</comments>
</file>

<file path=xl/comments6.xml><?xml version="1.0" encoding="utf-8"?>
<comments xmlns="http://schemas.openxmlformats.org/spreadsheetml/2006/main">
  <authors>
    <author>Administrator</author>
    <author>irman</author>
    <author>ASUS</author>
  </authors>
  <commentList>
    <comment ref="Q17" authorId="0">
      <text>
        <r>
          <rPr>
            <sz val="9"/>
            <color indexed="81"/>
            <rFont val="宋体"/>
            <charset val="134"/>
          </rPr>
          <t xml:space="preserve">Administrator:
PERMBELAKUAN KEHADIRAN TINJANGAN KEHADIRAN RP 15.000/HARI DIMULAI DARI ABSENSI AGUSTUS DI SEPTEMBER
</t>
        </r>
      </text>
    </comment>
    <comment ref="O65" authorId="1">
      <text>
        <r>
          <rPr>
            <sz val="9"/>
            <color indexed="81"/>
            <rFont val="宋体"/>
            <charset val="134"/>
          </rPr>
          <t xml:space="preserve">Noer
Insentif Jogja 75000
</t>
        </r>
      </text>
    </comment>
    <comment ref="C87" authorId="2">
      <text>
        <r>
          <rPr>
            <sz val="9"/>
            <color indexed="81"/>
            <rFont val="宋体"/>
            <charset val="134"/>
          </rPr>
          <t>ASUS:
Mutasi dr Syncrum</t>
        </r>
      </text>
    </comment>
  </commentList>
</comments>
</file>

<file path=xl/comments7.xml><?xml version="1.0" encoding="utf-8"?>
<comments xmlns="http://schemas.openxmlformats.org/spreadsheetml/2006/main">
  <authors>
    <author>irman</author>
  </authors>
  <commentList>
    <comment ref="O13" authorId="0">
      <text>
        <r>
          <rPr>
            <sz val="9"/>
            <color indexed="81"/>
            <rFont val="宋体"/>
            <charset val="134"/>
          </rPr>
          <t>irman:
INSENTIF JMBER</t>
        </r>
      </text>
    </comment>
  </commentList>
</comments>
</file>

<file path=xl/comments8.xml><?xml version="1.0" encoding="utf-8"?>
<comments xmlns="http://schemas.openxmlformats.org/spreadsheetml/2006/main">
  <authors>
    <author>ASUS</author>
    <author>irman</author>
  </authors>
  <commentList>
    <comment ref="O12" authorId="0">
      <text>
        <r>
          <rPr>
            <sz val="9"/>
            <color indexed="81"/>
            <rFont val="宋体"/>
            <charset val="134"/>
          </rPr>
          <t xml:space="preserve">ASUS:
INSENTIF DRIVER LEADER 200.000
</t>
        </r>
      </text>
    </comment>
    <comment ref="O18" authorId="1">
      <text>
        <r>
          <rPr>
            <sz val="9"/>
            <color indexed="81"/>
            <rFont val="宋体"/>
            <charset val="134"/>
          </rPr>
          <t>irman:
insentif ck</t>
        </r>
      </text>
    </comment>
    <comment ref="O19" authorId="1">
      <text>
        <r>
          <rPr>
            <sz val="9"/>
            <color indexed="81"/>
            <rFont val="宋体"/>
            <charset val="134"/>
          </rPr>
          <t>irman:
insentif ck</t>
        </r>
      </text>
    </comment>
  </commentList>
</comments>
</file>

<file path=xl/comments9.xml><?xml version="1.0" encoding="utf-8"?>
<comments xmlns="http://schemas.openxmlformats.org/spreadsheetml/2006/main">
  <authors>
    <author>Administrator</author>
  </authors>
  <commentList>
    <comment ref="O7" authorId="0">
      <text>
        <r>
          <rPr>
            <sz val="9"/>
            <color indexed="81"/>
            <rFont val="宋体"/>
            <charset val="134"/>
          </rPr>
          <t xml:space="preserve">Administrator:
INSENTIF DRIVER LEADER 200.000
</t>
        </r>
      </text>
    </comment>
  </commentList>
</comments>
</file>

<file path=xl/sharedStrings.xml><?xml version="1.0" encoding="utf-8"?>
<sst xmlns="http://schemas.openxmlformats.org/spreadsheetml/2006/main" count="2170" uniqueCount="2170">
  <si>
    <t>PT. MULIA BINTANG KEJORA</t>
  </si>
  <si>
    <t xml:space="preserve">Tagihan Driver  PT. Assa Logistics YAMAZAKI JEMBER</t>
  </si>
  <si>
    <t>No</t>
  </si>
  <si>
    <t>Nik</t>
  </si>
  <si>
    <t xml:space="preserve">Name  </t>
  </si>
  <si>
    <t>Jabatan</t>
  </si>
  <si>
    <t>Lokasi</t>
  </si>
  <si>
    <t>Customer</t>
  </si>
  <si>
    <t>UMK</t>
  </si>
  <si>
    <t>POT ABSENSI</t>
  </si>
  <si>
    <t>Jamsostek</t>
  </si>
  <si>
    <t>BPJS Kesehatan</t>
  </si>
  <si>
    <t>Jaminan Pensiun</t>
  </si>
  <si>
    <t>Perlengkapan</t>
  </si>
  <si>
    <t>Harga Pokok</t>
  </si>
  <si>
    <t>Management Fee</t>
  </si>
  <si>
    <t>Insentif'</t>
  </si>
  <si>
    <t>Tunj. Pulsa</t>
  </si>
  <si>
    <t>Premi Hadir</t>
  </si>
  <si>
    <t>Subtotal</t>
  </si>
  <si>
    <t>PPN</t>
  </si>
  <si>
    <t>Grand Total</t>
  </si>
  <si>
    <t>Masuk</t>
  </si>
  <si>
    <t>Keluar</t>
  </si>
  <si>
    <t>OK</t>
  </si>
  <si>
    <t>IVAN SETYAWAN SARIS</t>
  </si>
  <si>
    <t>DISPATCHER</t>
  </si>
  <si>
    <t>JEMBER</t>
  </si>
  <si>
    <t>YAMAZAKI</t>
  </si>
  <si>
    <t>YULIANTRA WAHYU</t>
  </si>
  <si>
    <t>NIK Kosong</t>
  </si>
  <si>
    <t>NIK Tidak Terdaftar</t>
  </si>
  <si>
    <t>Insentif</t>
  </si>
  <si>
    <t>RATNO AGUNG SETIABUDI</t>
  </si>
  <si>
    <t>DRIVER</t>
  </si>
  <si>
    <t>FARIZQI HASAN KURNIAWAN</t>
  </si>
  <si>
    <t>ABDUL WAFID</t>
  </si>
  <si>
    <t>DIDIK HENDRO CAHYONO</t>
  </si>
  <si>
    <t>Dibuat</t>
  </si>
  <si>
    <t>Menyetujui,</t>
  </si>
  <si>
    <t>(Payroll)</t>
  </si>
  <si>
    <t>( Driver Management ASSA )</t>
  </si>
  <si>
    <t>( AP ASSA)</t>
  </si>
  <si>
    <t>( ADH ASSA)</t>
  </si>
  <si>
    <t xml:space="preserve">Tagihan Driver  PT. Assa Logistics MALANG-BAT 2</t>
  </si>
  <si>
    <t>1372</t>
  </si>
  <si>
    <t xml:space="preserve">AHMAD MUNIF </t>
  </si>
  <si>
    <t>MALANG</t>
  </si>
  <si>
    <t>BAT</t>
  </si>
  <si>
    <t>MUATAN UNIT GRANDMAX, AKTIF SENIN-JUMAT, INSENTIF RP. 500.000,-</t>
  </si>
  <si>
    <t xml:space="preserve">Tagihan Driver  PT. Assa Logistics MALANG-BAT</t>
  </si>
  <si>
    <t xml:space="preserve">Periode Bulan Agustus  2021</t>
  </si>
  <si>
    <t>1061</t>
  </si>
  <si>
    <t>INSAK ANDAN TELASIH</t>
  </si>
  <si>
    <t>ADMIN DISPATCHER</t>
  </si>
  <si>
    <t>SUSULAN BULAN JULI</t>
  </si>
  <si>
    <t>0464</t>
  </si>
  <si>
    <t>NOVAN HARDIYANTO</t>
  </si>
  <si>
    <t>SUSULAN GAPOK JULI</t>
  </si>
  <si>
    <t>Karawang, 16 Agustus 2021</t>
  </si>
  <si>
    <t>1294</t>
  </si>
  <si>
    <t xml:space="preserve">MOHAMMAD AFIQ IRAWAN </t>
  </si>
  <si>
    <t>MONITORING GPS</t>
  </si>
  <si>
    <t>0013</t>
  </si>
  <si>
    <t>EKO SUWANTO</t>
  </si>
  <si>
    <t>0014</t>
  </si>
  <si>
    <t>EFFENDI</t>
  </si>
  <si>
    <t>0016</t>
  </si>
  <si>
    <t>AMBAR HARIYANTO</t>
  </si>
  <si>
    <t>0022</t>
  </si>
  <si>
    <t>BUDI SLAMET</t>
  </si>
  <si>
    <t>1226</t>
  </si>
  <si>
    <t>DIDIK ALFIANTO</t>
  </si>
  <si>
    <t>1228</t>
  </si>
  <si>
    <t xml:space="preserve">SANAJI </t>
  </si>
  <si>
    <t>1229</t>
  </si>
  <si>
    <t>AMIN TOHIRI</t>
  </si>
  <si>
    <t>1425</t>
  </si>
  <si>
    <t>DARMAWAN</t>
  </si>
  <si>
    <t>ACHMAD FAIZIN</t>
  </si>
  <si>
    <t>DRIVER BARU, AKTIF 04 AGUSTUS 2021</t>
  </si>
  <si>
    <t>1837</t>
  </si>
  <si>
    <t>PURNOMO</t>
  </si>
  <si>
    <t>RESIGN PER TANGGAL 03 AGUSTUS 2021</t>
  </si>
  <si>
    <t xml:space="preserve">Tagihan Driver  PT. Assa Logistics BANYUMAS</t>
  </si>
  <si>
    <t>JAKA DWI KURNIAWAN</t>
  </si>
  <si>
    <t>BANYUMAS</t>
  </si>
  <si>
    <t>ANTERAJA</t>
  </si>
  <si>
    <t>TOTAL</t>
  </si>
  <si>
    <t>1246</t>
  </si>
  <si>
    <t xml:space="preserve">AGUS SUSENO </t>
  </si>
  <si>
    <t>1384</t>
  </si>
  <si>
    <t>AJI SETIAWAN</t>
  </si>
  <si>
    <t>2358</t>
  </si>
  <si>
    <t>ANDI SAPUTRA</t>
  </si>
  <si>
    <t>2433</t>
  </si>
  <si>
    <t>CATUR SIAM AWALLUDIN</t>
  </si>
  <si>
    <t>2282</t>
  </si>
  <si>
    <t>DWI PRANOWO</t>
  </si>
  <si>
    <t>2597</t>
  </si>
  <si>
    <t>EDI SANTOSO</t>
  </si>
  <si>
    <t>2283</t>
  </si>
  <si>
    <t>HARDI FAUZANZAIN</t>
  </si>
  <si>
    <t>2658</t>
  </si>
  <si>
    <t>HENGKI YULIANTO</t>
  </si>
  <si>
    <t>2284</t>
  </si>
  <si>
    <t>IMAM KUSWANTO</t>
  </si>
  <si>
    <t>2245</t>
  </si>
  <si>
    <t>IQBAL WAHYU SETIAWAN</t>
  </si>
  <si>
    <t>2434</t>
  </si>
  <si>
    <t>NOFIAN BAHARI</t>
  </si>
  <si>
    <t>2244</t>
  </si>
  <si>
    <t>SUGENG RIYADI</t>
  </si>
  <si>
    <t>2247</t>
  </si>
  <si>
    <t>YULIANTO</t>
  </si>
  <si>
    <t>2684</t>
  </si>
  <si>
    <t>ADI SETYAWAN</t>
  </si>
  <si>
    <t>VAKHRIL PUTU SUBARKAH</t>
  </si>
  <si>
    <t xml:space="preserve">BUDI SETIYO </t>
  </si>
  <si>
    <t>PURWOKERTO</t>
  </si>
  <si>
    <t>Budi Setyo per tanggal 15 Juli gabung dan 1 Agustus'21 mutasi ke AOP Purwokerto</t>
  </si>
  <si>
    <t>Format tidak valid</t>
  </si>
  <si>
    <t>ASSA LOGISTICS</t>
  </si>
  <si>
    <t>LAPORAN IN &amp; OUT</t>
  </si>
  <si>
    <t>DISTRICT :</t>
  </si>
  <si>
    <t>Vendor : PT. MULIA BINTANG KEJORA</t>
  </si>
  <si>
    <t>NO</t>
  </si>
  <si>
    <t>NIK</t>
  </si>
  <si>
    <t>Nama Karyawan</t>
  </si>
  <si>
    <t>Tgl In</t>
  </si>
  <si>
    <t>Tgl Out</t>
  </si>
  <si>
    <t>Penempatan Area Kerja</t>
  </si>
  <si>
    <t>Gapok</t>
  </si>
  <si>
    <t>Tunjangan UMP</t>
  </si>
  <si>
    <t>KETERANGAN</t>
  </si>
  <si>
    <t>Lokasi Kerja</t>
  </si>
  <si>
    <t>Operating Point</t>
  </si>
  <si>
    <t>(RP)</t>
  </si>
  <si>
    <t xml:space="preserve">MOCH . ALI SHAIFUDIN </t>
  </si>
  <si>
    <t>REMBANG</t>
  </si>
  <si>
    <t>SAT</t>
  </si>
  <si>
    <t>JANUARI</t>
  </si>
  <si>
    <t xml:space="preserve">RULI PRASETYA </t>
  </si>
  <si>
    <t xml:space="preserve">AGUS MUJIONO </t>
  </si>
  <si>
    <t>JAWAHIR</t>
  </si>
  <si>
    <t>AHMAD JULIANTO</t>
  </si>
  <si>
    <t>PURNOMO JOKO HERAWAN</t>
  </si>
  <si>
    <t>SUGIARTO</t>
  </si>
  <si>
    <t>KHOLIQ</t>
  </si>
  <si>
    <t xml:space="preserve">NUR ROHMAD ROWI </t>
  </si>
  <si>
    <t>SYAIFULLOH</t>
  </si>
  <si>
    <t>SUGIMIN</t>
  </si>
  <si>
    <t>AGUS WHINARTO</t>
  </si>
  <si>
    <t>SUGENG CAHYONO</t>
  </si>
  <si>
    <t>IWAN MURTANTO</t>
  </si>
  <si>
    <t>JUNAIDI ABDILLAH</t>
  </si>
  <si>
    <t>SUBANDI</t>
  </si>
  <si>
    <t>HERU DAHONO ADI</t>
  </si>
  <si>
    <t>EKO PRIYONO</t>
  </si>
  <si>
    <t>TRI SULISTIYONO</t>
  </si>
  <si>
    <t>MOH KASIYAN</t>
  </si>
  <si>
    <t>HERNAWAN</t>
  </si>
  <si>
    <t>AHMAD FARID</t>
  </si>
  <si>
    <t>IMAN GUSTIAR</t>
  </si>
  <si>
    <t>SENDI EKO UTOMO</t>
  </si>
  <si>
    <t>SAIFUDIN ARIF</t>
  </si>
  <si>
    <t>DARMA HERIANTO</t>
  </si>
  <si>
    <t>AHMAD SUGIANTO</t>
  </si>
  <si>
    <t>DIAN AFRIZA</t>
  </si>
  <si>
    <t xml:space="preserve">IYUS SUEDI </t>
  </si>
  <si>
    <t>YOGYAKARTA</t>
  </si>
  <si>
    <t>POS INDONESIA</t>
  </si>
  <si>
    <t>SEPTRI CAHYA NUGRAHA</t>
  </si>
  <si>
    <t xml:space="preserve">ANOM WAHYU PURNOMO </t>
  </si>
  <si>
    <t xml:space="preserve">DANANG BUDI SANTOSO </t>
  </si>
  <si>
    <t xml:space="preserve">ADHITIYA LUHUNG </t>
  </si>
  <si>
    <t>SEMARANG</t>
  </si>
  <si>
    <t>ANTER AJA</t>
  </si>
  <si>
    <t xml:space="preserve">ANDRIS YUNARKO </t>
  </si>
  <si>
    <t>FEBRUARI</t>
  </si>
  <si>
    <t xml:space="preserve">AHMAT ZAM RONI </t>
  </si>
  <si>
    <t>LATIF DANUYUDHA AGATA</t>
  </si>
  <si>
    <t>MASRONI</t>
  </si>
  <si>
    <t xml:space="preserve">RENDRA DWI HANDOYO PUTRO </t>
  </si>
  <si>
    <t xml:space="preserve">WAHYUDIN SOLEHAN </t>
  </si>
  <si>
    <t xml:space="preserve">NUR KAMDI </t>
  </si>
  <si>
    <t xml:space="preserve">RISA HUSAIN </t>
  </si>
  <si>
    <t>RUSLI MUSLENDRA</t>
  </si>
  <si>
    <t xml:space="preserve">LISTIYONO </t>
  </si>
  <si>
    <t xml:space="preserve">AHMAD SUHIRNO </t>
  </si>
  <si>
    <t xml:space="preserve">ACHMAD PRASETYO AJI </t>
  </si>
  <si>
    <t xml:space="preserve">ARIEF RUBIHARTO </t>
  </si>
  <si>
    <t>KRISTIAN PRASETYA INDRA PUTRA</t>
  </si>
  <si>
    <t>SURABAYA</t>
  </si>
  <si>
    <t>LUKMAN HANIF YULIAWAN</t>
  </si>
  <si>
    <t>IRFAN FAUZI</t>
  </si>
  <si>
    <t>NITA RAHMASARI</t>
  </si>
  <si>
    <t xml:space="preserve">SULUNG PERMONO </t>
  </si>
  <si>
    <t>BAGAS ALDY PRATAMA</t>
  </si>
  <si>
    <t>VIRGILIUS WANJOYO</t>
  </si>
  <si>
    <t>BALI</t>
  </si>
  <si>
    <t>CK</t>
  </si>
  <si>
    <t xml:space="preserve">MOHAMMAD ZAKKIY </t>
  </si>
  <si>
    <t>MARET</t>
  </si>
  <si>
    <t xml:space="preserve">MOKHAMAD ULIL HUDA </t>
  </si>
  <si>
    <t xml:space="preserve">TRIWAN PURWANTO </t>
  </si>
  <si>
    <t xml:space="preserve">ABDUL ROZAQ </t>
  </si>
  <si>
    <t xml:space="preserve">HABIBULLAH </t>
  </si>
  <si>
    <t xml:space="preserve">KARIMATUL IHSAN </t>
  </si>
  <si>
    <t>AHMAD RIFA'I</t>
  </si>
  <si>
    <t xml:space="preserve">KOERNEN </t>
  </si>
  <si>
    <t xml:space="preserve">AGUNG RIZKIYANTO </t>
  </si>
  <si>
    <t xml:space="preserve">KAREL SEYVANI </t>
  </si>
  <si>
    <t xml:space="preserve">YOGA MIRZA PUTRA </t>
  </si>
  <si>
    <t xml:space="preserve">MAULANA MALIK </t>
  </si>
  <si>
    <t>MUHAMMAD IQBAL</t>
  </si>
  <si>
    <t xml:space="preserve">EDI JULI RIANTO </t>
  </si>
  <si>
    <t>APRIL</t>
  </si>
  <si>
    <t>HIKAM RYAN PRATAMA</t>
  </si>
  <si>
    <t>EKO RAHMAT FITRI DIONO</t>
  </si>
  <si>
    <t>ABDUL GHONI</t>
  </si>
  <si>
    <t>AHMAD BAGUS ATOILLAH</t>
  </si>
  <si>
    <t>RIZKI HANTA GAUTAMA ANDITIA</t>
  </si>
  <si>
    <t xml:space="preserve">ACHANDIS IRAWAN </t>
  </si>
  <si>
    <t>MUJI AGUNG CAHYONO</t>
  </si>
  <si>
    <t>MARIO SAPUTRO</t>
  </si>
  <si>
    <t xml:space="preserve">IRAWAN </t>
  </si>
  <si>
    <t>MARTINO PUTRA TRI PUDANY</t>
  </si>
  <si>
    <t>EkO PUTRA RAHMADANA</t>
  </si>
  <si>
    <t>MOHAMAD CHANAFI</t>
  </si>
  <si>
    <t>DARMAN SIREGAR</t>
  </si>
  <si>
    <t>YOHANES CHRISTANTO PERDANA</t>
  </si>
  <si>
    <t>STEFRI MARKUS TUY</t>
  </si>
  <si>
    <t>I KADEK SUARYA</t>
  </si>
  <si>
    <t>IMANUEL BALLO</t>
  </si>
  <si>
    <t>SIMSON TANESIB</t>
  </si>
  <si>
    <t>JEFRI ARIANTO NAHAK</t>
  </si>
  <si>
    <t>I NYOMAN ALIT</t>
  </si>
  <si>
    <t>VITALIS DARI</t>
  </si>
  <si>
    <t>MELIANUS TALOIM</t>
  </si>
  <si>
    <t>MARSANA</t>
  </si>
  <si>
    <t>HENDRIK GUNAWAN ALPAN</t>
  </si>
  <si>
    <t>NUR AMIN HIDAYATULLOH</t>
  </si>
  <si>
    <t>FERDINAND UMBU WARATA</t>
  </si>
  <si>
    <t>AGUSTINUS NATONIS</t>
  </si>
  <si>
    <t>AKBAR ALAMSYAH</t>
  </si>
  <si>
    <t>GEDE EKA ARIANTO</t>
  </si>
  <si>
    <t>I KADEK BAJRA PRAPTIGUNA</t>
  </si>
  <si>
    <t>KALEB OPNIAL MALESI</t>
  </si>
  <si>
    <t>OSKAR NEDI KAUSE</t>
  </si>
  <si>
    <t>YESSE MARIYANTO MANUMANAS</t>
  </si>
  <si>
    <t>IKHSANUDIN</t>
  </si>
  <si>
    <t>SALIANTO</t>
  </si>
  <si>
    <t>MUDAHRI</t>
  </si>
  <si>
    <t>MEI</t>
  </si>
  <si>
    <t>MUKHAMAD MUZAKKI</t>
  </si>
  <si>
    <t>AJI KOKO NUGROHO</t>
  </si>
  <si>
    <t xml:space="preserve">AGUS RIYONO </t>
  </si>
  <si>
    <t>BUDI PRASETYO</t>
  </si>
  <si>
    <t>PURBALINGGA</t>
  </si>
  <si>
    <t xml:space="preserve">PARYONO </t>
  </si>
  <si>
    <t>AOP</t>
  </si>
  <si>
    <t xml:space="preserve">RIO AGUS NUGROHO </t>
  </si>
  <si>
    <t xml:space="preserve">AGUS DENI MIFTAH SUHUR </t>
  </si>
  <si>
    <t xml:space="preserve">PRAYOGO SUMARAH </t>
  </si>
  <si>
    <t xml:space="preserve">ANTANA INDRA WIJAYA </t>
  </si>
  <si>
    <t>CAHYO PURNOMO</t>
  </si>
  <si>
    <t xml:space="preserve">DEDI SETIAJI </t>
  </si>
  <si>
    <t xml:space="preserve">ARIES HENDRA CAHYANTO </t>
  </si>
  <si>
    <t xml:space="preserve">EKO SUWARNO </t>
  </si>
  <si>
    <t xml:space="preserve">WIDI SANTOSO </t>
  </si>
  <si>
    <t>I KETUT KARSANA</t>
  </si>
  <si>
    <t>I MADE GEDE MATARAM</t>
  </si>
  <si>
    <t>I GEDE INDRA SWASTIKA</t>
  </si>
  <si>
    <t xml:space="preserve">I WAYAN BENY SURYADI </t>
  </si>
  <si>
    <t>I WAYAN EKA SANTOSA</t>
  </si>
  <si>
    <t>AA GEDE AGUNG PUTRA BAYU SUTA</t>
  </si>
  <si>
    <t>JUNI</t>
  </si>
  <si>
    <t>BAGUS PUJA SAKSENA</t>
  </si>
  <si>
    <t xml:space="preserve">IQBAL NUR FATTAH </t>
  </si>
  <si>
    <t>M MA'ASHOBIRIN</t>
  </si>
  <si>
    <t>MOCHAMMAD HAMERUDIN</t>
  </si>
  <si>
    <t>MUHAMAD ARIFIN</t>
  </si>
  <si>
    <t>RUDIYANTO</t>
  </si>
  <si>
    <t xml:space="preserve">TITTO YOGO WICAKSONO DF </t>
  </si>
  <si>
    <t>KRIS PRIYANTO</t>
  </si>
  <si>
    <t xml:space="preserve">ACH. RIDWAN </t>
  </si>
  <si>
    <t xml:space="preserve">AHMAD TAEFUR </t>
  </si>
  <si>
    <t>SUPRIYADI</t>
  </si>
  <si>
    <t>ANGGA DWI NUGROHO</t>
  </si>
  <si>
    <t>ANGGA SHOLEH EFENDY</t>
  </si>
  <si>
    <t>GANSAR ANDRIANTO</t>
  </si>
  <si>
    <t>MOHAMMAD KASIYAN</t>
  </si>
  <si>
    <t>WAHYU ADI PRAMONO</t>
  </si>
  <si>
    <t>JON</t>
  </si>
  <si>
    <t>JULI</t>
  </si>
  <si>
    <t>SUGENG HARIONO</t>
  </si>
  <si>
    <t>I WAYAN TINGGEN</t>
  </si>
  <si>
    <t>I WAYAN SANTIYASA</t>
  </si>
  <si>
    <t>I KADEK YUDIARTANA</t>
  </si>
  <si>
    <t>EDI WAHYUDI</t>
  </si>
  <si>
    <t>JEREMIA DWI PUTRA</t>
  </si>
  <si>
    <t>AGUS REFLA HIDAYAT</t>
  </si>
  <si>
    <t>DONY HERY YULYANTO</t>
  </si>
  <si>
    <t>ALEK PANGGAR SUTEJO</t>
  </si>
  <si>
    <t>ARIF BAKTI NURFIANTO</t>
  </si>
  <si>
    <t>URIP KUKUH SANTOSO</t>
  </si>
  <si>
    <t>M. CHOMARUDDIN</t>
  </si>
  <si>
    <t>KEMAL SYAFRUDIN ZAHIR</t>
  </si>
  <si>
    <t>MUHAMMAD ZAINUL ABIDIN</t>
  </si>
  <si>
    <t>NUR KHOLIQ</t>
  </si>
  <si>
    <t>JOKO WIDODO</t>
  </si>
  <si>
    <t>JOMBANG</t>
  </si>
  <si>
    <t>TRI DANANG SAPUTRA</t>
  </si>
  <si>
    <t>PROBOLINGGO</t>
  </si>
  <si>
    <t>PRADANA NUGRAHA</t>
  </si>
  <si>
    <t>IRVAN KHOERI</t>
  </si>
  <si>
    <t>DADIT BUDI WIYANTO</t>
  </si>
  <si>
    <t>KASBANI</t>
  </si>
  <si>
    <t>DWI HARIYONO</t>
  </si>
  <si>
    <t>LUTFI SAIROJI</t>
  </si>
  <si>
    <t>HADI IMRON ROSYADI</t>
  </si>
  <si>
    <t>SUGIONO</t>
  </si>
  <si>
    <t>.</t>
  </si>
  <si>
    <t>WIJIASTO</t>
  </si>
  <si>
    <t>HERI PURNOMO</t>
  </si>
  <si>
    <t xml:space="preserve">SAPTONO </t>
  </si>
  <si>
    <t>M.ASHIF MUHYIL HAQ</t>
  </si>
  <si>
    <t>SOLO</t>
  </si>
  <si>
    <t xml:space="preserve">RISKI ANDIKA </t>
  </si>
  <si>
    <t>JUMLAH</t>
  </si>
  <si>
    <t xml:space="preserve">IBNU YULIYANTO </t>
  </si>
  <si>
    <t>AGUSTUS</t>
  </si>
  <si>
    <t xml:space="preserve">AFIF RIZA FAJRIA </t>
  </si>
  <si>
    <t>EBIN PRILIAN SETIA RINTO</t>
  </si>
  <si>
    <t xml:space="preserve">AGUNG PRASETYO </t>
  </si>
  <si>
    <t xml:space="preserve">MOCH SYAKUR ROHMAN </t>
  </si>
  <si>
    <t xml:space="preserve">EKA JANUAR SUGIARTO </t>
  </si>
  <si>
    <t xml:space="preserve">RUDY PRIBADI </t>
  </si>
  <si>
    <t xml:space="preserve">ANDRIAS BASKORO F </t>
  </si>
  <si>
    <t>AGUS PRIYANTO</t>
  </si>
  <si>
    <t xml:space="preserve">TEGUH DWI WICAKSONO </t>
  </si>
  <si>
    <t xml:space="preserve">WILDAN PERDANA </t>
  </si>
  <si>
    <t>ROHIM</t>
  </si>
  <si>
    <t xml:space="preserve">RIZKI JUNIANTO </t>
  </si>
  <si>
    <t xml:space="preserve">AHMAD RIZKY FARDIANSYAH </t>
  </si>
  <si>
    <t xml:space="preserve">DAVIT TONI IRAWAN </t>
  </si>
  <si>
    <t xml:space="preserve">TRI WIDODO </t>
  </si>
  <si>
    <t>ARNOLD ZAFRIZAL</t>
  </si>
  <si>
    <t xml:space="preserve">DHAFID MUSSIKOM </t>
  </si>
  <si>
    <t xml:space="preserve">JANUAR DWI AJI DERMAWAN </t>
  </si>
  <si>
    <t xml:space="preserve">HERI </t>
  </si>
  <si>
    <t xml:space="preserve">AGUNG WIJAYA </t>
  </si>
  <si>
    <t>IRFANTO</t>
  </si>
  <si>
    <t>Tidak jadi gabung</t>
  </si>
  <si>
    <t xml:space="preserve">YANUAR ARIFULLAH </t>
  </si>
  <si>
    <t>JUPRI</t>
  </si>
  <si>
    <t>MUSLIMIN</t>
  </si>
  <si>
    <t>ANJAR</t>
  </si>
  <si>
    <t>SUDJUT W</t>
  </si>
  <si>
    <t>JOKO UTOMO</t>
  </si>
  <si>
    <t xml:space="preserve">ABDUL ROUF </t>
  </si>
  <si>
    <t>ARIFIN</t>
  </si>
  <si>
    <t xml:space="preserve">ANANG SULISTIYONO </t>
  </si>
  <si>
    <t>JOGJA</t>
  </si>
  <si>
    <t xml:space="preserve">PULUNG LAKSONO </t>
  </si>
  <si>
    <t>ABDUL LATIF</t>
  </si>
  <si>
    <t xml:space="preserve">YUSTINUS ADERID CITRA HAMDANI </t>
  </si>
  <si>
    <t xml:space="preserve">ANON WAHYU PURNOMO </t>
  </si>
  <si>
    <t xml:space="preserve">BUDHI SUSANTO </t>
  </si>
  <si>
    <t xml:space="preserve">EKI NUR CAHYO </t>
  </si>
  <si>
    <t xml:space="preserve">MUHAMMAD IQBAL TAWAKAL </t>
  </si>
  <si>
    <t xml:space="preserve">RENSI DWI SURYADI </t>
  </si>
  <si>
    <t xml:space="preserve">ADI TYA HARI SAPUTRO </t>
  </si>
  <si>
    <t>ANGGA SETIYAWAN</t>
  </si>
  <si>
    <t xml:space="preserve">SUWANTO </t>
  </si>
  <si>
    <t xml:space="preserve">CAHYO AGITIO </t>
  </si>
  <si>
    <t xml:space="preserve">AHMAD YUDI FIRMANSYAH </t>
  </si>
  <si>
    <t>RIPTIA NURMAIDANI PUTRA</t>
  </si>
  <si>
    <t>KADEK YUDIARTANA</t>
  </si>
  <si>
    <t xml:space="preserve">IKHAWANUDDIN </t>
  </si>
  <si>
    <t>MATARAM</t>
  </si>
  <si>
    <t xml:space="preserve">JUARSIH </t>
  </si>
  <si>
    <t xml:space="preserve">SUHADI </t>
  </si>
  <si>
    <t>SEPTEMBER</t>
  </si>
  <si>
    <t xml:space="preserve">EBIN PRILIAN SETIA RINTO </t>
  </si>
  <si>
    <t xml:space="preserve">MUHAMMAD NUR HUDA </t>
  </si>
  <si>
    <t xml:space="preserve">SUNARI </t>
  </si>
  <si>
    <t>LISTIYONO</t>
  </si>
  <si>
    <t>SAEFODIN</t>
  </si>
  <si>
    <t>MUHAMMAD ZAID</t>
  </si>
  <si>
    <t>MOHAMMAD ROSIT</t>
  </si>
  <si>
    <t>SUNARYANTO</t>
  </si>
  <si>
    <t xml:space="preserve">AHMAD ZAMRONI </t>
  </si>
  <si>
    <t xml:space="preserve">DEDE ADAM NUGIE NUGRAHA </t>
  </si>
  <si>
    <t xml:space="preserve">ZULFADRI </t>
  </si>
  <si>
    <t xml:space="preserve">TANGGUH NOVARIANI REZA </t>
  </si>
  <si>
    <t>AFIFUDIN MAHMUDI ALWI</t>
  </si>
  <si>
    <t xml:space="preserve">AHMAD HIDAYATTULLAH </t>
  </si>
  <si>
    <t>JOKO SUWANTO</t>
  </si>
  <si>
    <t>MOCHAMAD HAVID ALVIANDI</t>
  </si>
  <si>
    <t xml:space="preserve">DWI KRISNA SETIAWAN </t>
  </si>
  <si>
    <t>MOCHAMMAD SUFI</t>
  </si>
  <si>
    <t xml:space="preserve">ADITYA </t>
  </si>
  <si>
    <t>1324</t>
  </si>
  <si>
    <t>OKTOBER</t>
  </si>
  <si>
    <t>858</t>
  </si>
  <si>
    <t>MOCH . ALI SHAIFUDIN</t>
  </si>
  <si>
    <t>1325</t>
  </si>
  <si>
    <t xml:space="preserve">BAGAS ADITYA </t>
  </si>
  <si>
    <t>1326</t>
  </si>
  <si>
    <t>MOHAMMAD NAFIK</t>
  </si>
  <si>
    <t>1327</t>
  </si>
  <si>
    <t xml:space="preserve">DEDDY RIFANDY WALANDA </t>
  </si>
  <si>
    <t>1328</t>
  </si>
  <si>
    <t>MOCH SYAIFUDIN BISRI</t>
  </si>
  <si>
    <t>1329</t>
  </si>
  <si>
    <t xml:space="preserve">ANDREAS LUHUR PAMBUDI </t>
  </si>
  <si>
    <t>1330</t>
  </si>
  <si>
    <t xml:space="preserve">FARID EKO SANTOSO </t>
  </si>
  <si>
    <t>1341</t>
  </si>
  <si>
    <t>1342</t>
  </si>
  <si>
    <t>FERRI WIBOWO</t>
  </si>
  <si>
    <t>1343</t>
  </si>
  <si>
    <t>PRAYOGO</t>
  </si>
  <si>
    <t>1344</t>
  </si>
  <si>
    <t>FAKHUL QORIB</t>
  </si>
  <si>
    <t>1345</t>
  </si>
  <si>
    <t>NOUVAL ADJI KRAMA RIZQI R</t>
  </si>
  <si>
    <t>1346</t>
  </si>
  <si>
    <t>ICHWANUL KIROM</t>
  </si>
  <si>
    <t>1347</t>
  </si>
  <si>
    <t>SUNARDI</t>
  </si>
  <si>
    <t>1369</t>
  </si>
  <si>
    <t xml:space="preserve">RACHMAD BASUKI </t>
  </si>
  <si>
    <t>1370</t>
  </si>
  <si>
    <t xml:space="preserve">MOCHAMMAD NORCHOLIK </t>
  </si>
  <si>
    <t>1371</t>
  </si>
  <si>
    <t xml:space="preserve">PUTUT HARI PRABOWO </t>
  </si>
  <si>
    <t>1271</t>
  </si>
  <si>
    <t>AHMAD RISKI FERDIANSYAH</t>
  </si>
  <si>
    <t>1170</t>
  </si>
  <si>
    <t>1292</t>
  </si>
  <si>
    <t>1348</t>
  </si>
  <si>
    <t>AGUNG RAGIL KURNIAWAN</t>
  </si>
  <si>
    <t>FAHMI UDDIN AL IDDRUS</t>
  </si>
  <si>
    <t xml:space="preserve">GILANG </t>
  </si>
  <si>
    <t>NINO ACHMAD SAPTAMI</t>
  </si>
  <si>
    <t>1119</t>
  </si>
  <si>
    <t>1373</t>
  </si>
  <si>
    <t>UNTUNG JOHAN RUSDIANTO</t>
  </si>
  <si>
    <t>1167</t>
  </si>
  <si>
    <t>874</t>
  </si>
  <si>
    <t>Pindah ke SBY</t>
  </si>
  <si>
    <t>BAT 2</t>
  </si>
  <si>
    <t>1180</t>
  </si>
  <si>
    <t xml:space="preserve">BUDI SULISTIYO </t>
  </si>
  <si>
    <t xml:space="preserve">NOFIANTO </t>
  </si>
  <si>
    <t>1350</t>
  </si>
  <si>
    <t xml:space="preserve">MARTIN NUGROHO </t>
  </si>
  <si>
    <t>1351</t>
  </si>
  <si>
    <t xml:space="preserve">YUDI PRASETYADI </t>
  </si>
  <si>
    <t>1352</t>
  </si>
  <si>
    <t xml:space="preserve">MUHAMMAD SUYUTI </t>
  </si>
  <si>
    <t xml:space="preserve">AGUS NURUL MUBIN </t>
  </si>
  <si>
    <t>1239</t>
  </si>
  <si>
    <t>1147</t>
  </si>
  <si>
    <t>1356</t>
  </si>
  <si>
    <t>1243</t>
  </si>
  <si>
    <t>DWI SETYAWAN</t>
  </si>
  <si>
    <t>1244</t>
  </si>
  <si>
    <t>SUMATRI</t>
  </si>
  <si>
    <t>NOVEMBER</t>
  </si>
  <si>
    <t>EKA JANUAR SUGIANTO</t>
  </si>
  <si>
    <t>FRASTIAN W</t>
  </si>
  <si>
    <t xml:space="preserve">HENDRO  WAHYUDI</t>
  </si>
  <si>
    <t xml:space="preserve">ADI NURDIANSYAH </t>
  </si>
  <si>
    <t xml:space="preserve">RIZAL SYAHPUTRA </t>
  </si>
  <si>
    <t xml:space="preserve">TRI WISNU WIJAYANTO </t>
  </si>
  <si>
    <t xml:space="preserve">SONI RAKHMAT </t>
  </si>
  <si>
    <t xml:space="preserve">HUDIYANTO </t>
  </si>
  <si>
    <t xml:space="preserve">ALFAN BASORI </t>
  </si>
  <si>
    <t xml:space="preserve">ARIEF EDI KASENDA </t>
  </si>
  <si>
    <t>MUHAMMAD HARIS</t>
  </si>
  <si>
    <t>HENDRA LUKIANTO</t>
  </si>
  <si>
    <t>NASIR JEMAN</t>
  </si>
  <si>
    <t>MUTASI DARI MALANG BAT</t>
  </si>
  <si>
    <t xml:space="preserve">HERU KUSMAJI </t>
  </si>
  <si>
    <t xml:space="preserve">JOKO WINARTO </t>
  </si>
  <si>
    <t xml:space="preserve">RICO AFRIANTO </t>
  </si>
  <si>
    <t xml:space="preserve">RAIS EFENDI </t>
  </si>
  <si>
    <t xml:space="preserve">PRIYO AGUNG BAGUS WICAKSONO </t>
  </si>
  <si>
    <t>DESEMBER</t>
  </si>
  <si>
    <t>SAMSUL MA'ARIF</t>
  </si>
  <si>
    <t>MOCH ARIFIN</t>
  </si>
  <si>
    <t>MOHAMMAD MYZAN ABDUL F</t>
  </si>
  <si>
    <t xml:space="preserve">EDWIN WIDYANTO </t>
  </si>
  <si>
    <t xml:space="preserve">HERU LAKSONO PUTRO </t>
  </si>
  <si>
    <t xml:space="preserve">ANDRE DIKY FERNANDO WAWO </t>
  </si>
  <si>
    <t xml:space="preserve">AHMAD WAHID </t>
  </si>
  <si>
    <t>FENDIK AGUS SETIAWAN</t>
  </si>
  <si>
    <t>SUGENG RIYANTO</t>
  </si>
  <si>
    <t xml:space="preserve">ASWAR MUNAJAT </t>
  </si>
  <si>
    <t xml:space="preserve">BAREP SATRIO DAMAR </t>
  </si>
  <si>
    <t>JOGJAKARTA</t>
  </si>
  <si>
    <t xml:space="preserve">HAJIDIN </t>
  </si>
  <si>
    <t>KEVIN PRASETYA</t>
  </si>
  <si>
    <t xml:space="preserve">BENY ARI WICAKSONO </t>
  </si>
  <si>
    <t>AHMAD TAUFIK</t>
  </si>
  <si>
    <t>PROBLINGGO</t>
  </si>
  <si>
    <t xml:space="preserve">EKA PRASETYA YUDHA </t>
  </si>
  <si>
    <t xml:space="preserve">EKO WAHYUDI </t>
  </si>
  <si>
    <t xml:space="preserve">ABDUS SHOMAT </t>
  </si>
  <si>
    <t xml:space="preserve">WIWIT ISTIANTO </t>
  </si>
  <si>
    <t>CILACAP</t>
  </si>
  <si>
    <t xml:space="preserve">ELVA BAMBANG PURNOMO </t>
  </si>
  <si>
    <t xml:space="preserve">AFENDI </t>
  </si>
  <si>
    <t>KUDUS</t>
  </si>
  <si>
    <t xml:space="preserve">WAHYU JOHAN ZAMRONI </t>
  </si>
  <si>
    <t>RIDHO PUTRA NUGRAHA</t>
  </si>
  <si>
    <t xml:space="preserve">SRI SUSANTO </t>
  </si>
  <si>
    <t>MAHARDHIKA PUNGKASSANTRIAWAN</t>
  </si>
  <si>
    <t>CIRCKLE K</t>
  </si>
  <si>
    <t>1501</t>
  </si>
  <si>
    <t>1502</t>
  </si>
  <si>
    <t xml:space="preserve">MOH BUSHIRI </t>
  </si>
  <si>
    <t>1503</t>
  </si>
  <si>
    <t>FEBRY EKO NUGROHO</t>
  </si>
  <si>
    <t>1504</t>
  </si>
  <si>
    <t>EDI PRAYITNO</t>
  </si>
  <si>
    <t>1505</t>
  </si>
  <si>
    <t>1506</t>
  </si>
  <si>
    <t>MIFTAHUL ULUM</t>
  </si>
  <si>
    <t>1507</t>
  </si>
  <si>
    <t>AHMAD FITHONUL ALBAB</t>
  </si>
  <si>
    <t>1508</t>
  </si>
  <si>
    <t>ROBY SAPTO AJI</t>
  </si>
  <si>
    <t>1509</t>
  </si>
  <si>
    <t>JUMADI</t>
  </si>
  <si>
    <t>1510</t>
  </si>
  <si>
    <t>TEGUH DWI SUKIATNO</t>
  </si>
  <si>
    <t>1511</t>
  </si>
  <si>
    <t>ANDI KURNIAWAN</t>
  </si>
  <si>
    <t>1512</t>
  </si>
  <si>
    <t>MOCHAMAD CHOIRUR RISCHA</t>
  </si>
  <si>
    <t>1513</t>
  </si>
  <si>
    <t>KRISHNA BAYU MURTI</t>
  </si>
  <si>
    <t>1514</t>
  </si>
  <si>
    <t>SLAMET</t>
  </si>
  <si>
    <t>1515</t>
  </si>
  <si>
    <t>BUDI SANTOSO</t>
  </si>
  <si>
    <t>299</t>
  </si>
  <si>
    <t>ANDREAS YUNUS TRI SUTIKNO</t>
  </si>
  <si>
    <t>1125</t>
  </si>
  <si>
    <t>1216</t>
  </si>
  <si>
    <t>327</t>
  </si>
  <si>
    <t>SUMARNO</t>
  </si>
  <si>
    <t>1563</t>
  </si>
  <si>
    <t>HERU LAKSONO</t>
  </si>
  <si>
    <t>1564</t>
  </si>
  <si>
    <t>MUHAMMAD AJI SANTOSO</t>
  </si>
  <si>
    <t>1565</t>
  </si>
  <si>
    <t>ADE IRAWAN</t>
  </si>
  <si>
    <t>1566</t>
  </si>
  <si>
    <t>FALDI FIRMAN IRZA</t>
  </si>
  <si>
    <t>1567</t>
  </si>
  <si>
    <t>MUHAMMAD DIKI BAGUS NUR CAHYONO</t>
  </si>
  <si>
    <t>1568</t>
  </si>
  <si>
    <t>JOHAN KUIRNIAWAN</t>
  </si>
  <si>
    <t>1569</t>
  </si>
  <si>
    <t>SHOLIHIN</t>
  </si>
  <si>
    <t>1570</t>
  </si>
  <si>
    <t>YULIUS JOKO GEDEON</t>
  </si>
  <si>
    <t>1571</t>
  </si>
  <si>
    <t>ARIS SETIAWAN</t>
  </si>
  <si>
    <t>1572</t>
  </si>
  <si>
    <t>ABDUL KHOLIQ JUNAIDI</t>
  </si>
  <si>
    <t>1573</t>
  </si>
  <si>
    <t xml:space="preserve">RISWANDA  DWI HARYANTO</t>
  </si>
  <si>
    <t>1574</t>
  </si>
  <si>
    <t>DIKA SUSANTO</t>
  </si>
  <si>
    <t>1575</t>
  </si>
  <si>
    <t>DODIK FAJARIANTO</t>
  </si>
  <si>
    <t>1576</t>
  </si>
  <si>
    <t>RISZA WAHYU PERMADANI</t>
  </si>
  <si>
    <t>1577</t>
  </si>
  <si>
    <t>BAGUS PRASETYO</t>
  </si>
  <si>
    <t>1578</t>
  </si>
  <si>
    <t>ADE OKY DWI CHRISTANTO</t>
  </si>
  <si>
    <t>1579</t>
  </si>
  <si>
    <t>PARDAM KHOLIK</t>
  </si>
  <si>
    <t>1580</t>
  </si>
  <si>
    <t>FUAD FAJRI SOBA</t>
  </si>
  <si>
    <t>1581</t>
  </si>
  <si>
    <t>PAPUT ARIF JUNAIDI</t>
  </si>
  <si>
    <t>1582</t>
  </si>
  <si>
    <t>JASMANIYAH RAHARJO</t>
  </si>
  <si>
    <t>1583</t>
  </si>
  <si>
    <t>AHMAD HAFIDON</t>
  </si>
  <si>
    <t>1585</t>
  </si>
  <si>
    <t>ROIS SAPUTRO</t>
  </si>
  <si>
    <t>1586</t>
  </si>
  <si>
    <t>EKO HARDIYAN PURNAWAN</t>
  </si>
  <si>
    <t>1588</t>
  </si>
  <si>
    <t>CATUR LANGGENG WIBISONO</t>
  </si>
  <si>
    <t>1589</t>
  </si>
  <si>
    <t>KAMILUDDIN</t>
  </si>
  <si>
    <t>1590</t>
  </si>
  <si>
    <t>JUNAIDIN</t>
  </si>
  <si>
    <t>1592</t>
  </si>
  <si>
    <t>PUPUT ADI N</t>
  </si>
  <si>
    <t>1593</t>
  </si>
  <si>
    <t>DWI PANDU ATMAJAYA</t>
  </si>
  <si>
    <t>1594</t>
  </si>
  <si>
    <t>ARIF FERDIANSYAH</t>
  </si>
  <si>
    <t>1634</t>
  </si>
  <si>
    <t>PRIYO SEJATIANTO</t>
  </si>
  <si>
    <t>1635</t>
  </si>
  <si>
    <t>BAMBAN SATRIAWAN</t>
  </si>
  <si>
    <t>1636</t>
  </si>
  <si>
    <t>RIFANTONO</t>
  </si>
  <si>
    <t>1637</t>
  </si>
  <si>
    <t>MOHAMAD RIFAI</t>
  </si>
  <si>
    <t>1638</t>
  </si>
  <si>
    <t>AHMAD ROFIQ FIRMANSYAH</t>
  </si>
  <si>
    <t>1639</t>
  </si>
  <si>
    <t>SUMARIYADI</t>
  </si>
  <si>
    <t>1640</t>
  </si>
  <si>
    <t>M ROIS ANWAR</t>
  </si>
  <si>
    <t>1641</t>
  </si>
  <si>
    <t xml:space="preserve">KUSLAN </t>
  </si>
  <si>
    <t>1642</t>
  </si>
  <si>
    <t>NANANG SUTRISNO</t>
  </si>
  <si>
    <t>LISTIONO KANUGRAHAN</t>
  </si>
  <si>
    <t>MOCHAMMAD YUSUF QURDAWI</t>
  </si>
  <si>
    <t>FARID EKO SANTOSO</t>
  </si>
  <si>
    <t>SULISTYO ARIES CAHYONO</t>
  </si>
  <si>
    <t>MOHAN AHMAD SYARIFUDIN</t>
  </si>
  <si>
    <t>SUGIH WIJAYANTA</t>
  </si>
  <si>
    <t>AGUNG PRASETIYO</t>
  </si>
  <si>
    <t>CHOMARI</t>
  </si>
  <si>
    <t>ERIC MOCHAMMAD ISWAHYONO PUTRO</t>
  </si>
  <si>
    <t>SHANDI F</t>
  </si>
  <si>
    <t>SIGIT PRAMONO PUTRA</t>
  </si>
  <si>
    <t>HENDIK SETIAWAN</t>
  </si>
  <si>
    <t xml:space="preserve">PROJECT 1  BULAN</t>
  </si>
  <si>
    <t>DEDY PERMADI</t>
  </si>
  <si>
    <t>SYAIFUL BAHRI</t>
  </si>
  <si>
    <t>FATKHUR ROZIQIN</t>
  </si>
  <si>
    <t>IRFAN ARIF HIDAYAT</t>
  </si>
  <si>
    <t>RIKY SETYO WIBOWO</t>
  </si>
  <si>
    <t>KOMANG BUDI DHARMA MARIIADINATA</t>
  </si>
  <si>
    <t>AHMAD ARFANDI</t>
  </si>
  <si>
    <t>HERU USWINDA</t>
  </si>
  <si>
    <t>JANUAR CATUR WAHYU RASTIYO</t>
  </si>
  <si>
    <t>1500</t>
  </si>
  <si>
    <t>ALIP SONY SUPRAPTO</t>
  </si>
  <si>
    <t>1497</t>
  </si>
  <si>
    <t>SUHERMAN</t>
  </si>
  <si>
    <t>1498</t>
  </si>
  <si>
    <t>EDI PRASETYO</t>
  </si>
  <si>
    <t>1499</t>
  </si>
  <si>
    <t>RONNY HARYANTO</t>
  </si>
  <si>
    <t>1643</t>
  </si>
  <si>
    <t>1644</t>
  </si>
  <si>
    <t>M RIFAI</t>
  </si>
  <si>
    <t>1225</t>
  </si>
  <si>
    <t>871</t>
  </si>
  <si>
    <t>1426</t>
  </si>
  <si>
    <t>1523</t>
  </si>
  <si>
    <t xml:space="preserve">MOHAMAD SHOLIKIN </t>
  </si>
  <si>
    <t>1524</t>
  </si>
  <si>
    <t>DWI YULIYANTO</t>
  </si>
  <si>
    <t>1525</t>
  </si>
  <si>
    <t>SUDRAJAD</t>
  </si>
  <si>
    <t>1526</t>
  </si>
  <si>
    <t xml:space="preserve">DONY WASTU ENDRA ATMAJA </t>
  </si>
  <si>
    <t>1527</t>
  </si>
  <si>
    <t xml:space="preserve">MUHAMMAD FIKRI HAFIDZUN </t>
  </si>
  <si>
    <t>1522</t>
  </si>
  <si>
    <t xml:space="preserve">LISKA YUDI KUSWANTO </t>
  </si>
  <si>
    <t>1530</t>
  </si>
  <si>
    <t xml:space="preserve">AVIV NOVRIA NURHANDA </t>
  </si>
  <si>
    <t>PATI</t>
  </si>
  <si>
    <t>1531</t>
  </si>
  <si>
    <t xml:space="preserve">AMUN SANTOSA </t>
  </si>
  <si>
    <t>PEMALANG</t>
  </si>
  <si>
    <t>1532</t>
  </si>
  <si>
    <t xml:space="preserve">UBAID BAHANAN </t>
  </si>
  <si>
    <t>1536</t>
  </si>
  <si>
    <t xml:space="preserve">MAS HANUNG </t>
  </si>
  <si>
    <t>1537</t>
  </si>
  <si>
    <t>SINYO DARMAWAN</t>
  </si>
  <si>
    <t>1534</t>
  </si>
  <si>
    <t>1539</t>
  </si>
  <si>
    <t xml:space="preserve">SUPRIHATIN AGUS SETIAWAN </t>
  </si>
  <si>
    <t>1540</t>
  </si>
  <si>
    <t xml:space="preserve">YUDA DIMAS FIRNANDI </t>
  </si>
  <si>
    <t>1541</t>
  </si>
  <si>
    <t xml:space="preserve">ARI SUSANTO </t>
  </si>
  <si>
    <t>1542</t>
  </si>
  <si>
    <t xml:space="preserve">AJI KURNIAWAN </t>
  </si>
  <si>
    <t>1544</t>
  </si>
  <si>
    <t>609</t>
  </si>
  <si>
    <t>JOTAN YAKOBUS SOLE</t>
  </si>
  <si>
    <t>1708</t>
  </si>
  <si>
    <t>JEFRY ARIYANTO NAHAK</t>
  </si>
  <si>
    <t>598</t>
  </si>
  <si>
    <t>TRI CAHYONO</t>
  </si>
  <si>
    <t>1545</t>
  </si>
  <si>
    <t>Syarat Pertanggungjawaban driver out :</t>
  </si>
  <si>
    <t>&gt; Dokumen pendukung ( Surat resign/terminasi, Exit Interview )</t>
  </si>
  <si>
    <t>&gt; Seragam ( Dikembalikan )</t>
  </si>
  <si>
    <t>&gt; ID Card ( Dikembalikan )</t>
  </si>
  <si>
    <t>Note : Persyaratan Pertanggungjawaban mhn dijadikan perhatian</t>
  </si>
  <si>
    <t>General Trading, General Contractor, Outsourcing</t>
  </si>
  <si>
    <t xml:space="preserve">            Perum Buana Asri  A24/11 Rt. 008 Rw. 017 Kel. Palumbonsari Kec. Karawang Timur Kab. Karawang</t>
  </si>
  <si>
    <r xmlns="http://schemas.openxmlformats.org/spreadsheetml/2006/main">
      <rPr>
        <sz val="11"/>
        <color indexed="8"/>
        <rFont val="Arial"/>
        <family val="2"/>
      </rPr>
      <t xml:space="preserve">Email : </t>
    </r>
    <r xmlns="http://schemas.openxmlformats.org/spreadsheetml/2006/main">
      <rPr>
        <sz val="11"/>
        <color indexed="8"/>
        <rFont val="Calibri"/>
        <family val="2"/>
      </rPr>
      <t>hrd@muliabintangkejora.com</t>
    </r>
    <r xmlns="http://schemas.openxmlformats.org/spreadsheetml/2006/main">
      <rPr>
        <sz val="11"/>
        <color indexed="8"/>
        <rFont val="Arial"/>
        <family val="2"/>
      </rPr>
      <t xml:space="preserve"> / </t>
    </r>
    <r xmlns="http://schemas.openxmlformats.org/spreadsheetml/2006/main">
      <rPr>
        <sz val="11"/>
        <color indexed="8"/>
        <rFont val="Calibri"/>
        <family val="2"/>
      </rPr>
      <t>muliabintangkejora@gmail.com</t>
    </r>
    <r xmlns="http://schemas.openxmlformats.org/spreadsheetml/2006/main">
      <rPr>
        <sz val="11"/>
        <color indexed="8"/>
        <rFont val="Arial"/>
        <family val="2"/>
      </rPr>
      <t xml:space="preserve">  Telp: (0267) 8408877</t>
    </r>
  </si>
  <si>
    <t>Fico Salary for Sharing Budget</t>
  </si>
  <si>
    <t>No.</t>
  </si>
  <si>
    <t>Area</t>
  </si>
  <si>
    <t>Nama</t>
  </si>
  <si>
    <t>Salary Structure</t>
  </si>
  <si>
    <t>Total Salary Sharing Budget</t>
  </si>
  <si>
    <t>Manpower Headcount</t>
  </si>
  <si>
    <t>Sharing budget</t>
  </si>
  <si>
    <t>Total</t>
  </si>
  <si>
    <t>UMP</t>
  </si>
  <si>
    <t>Allowance</t>
  </si>
  <si>
    <t>INSENTIF FLAT</t>
  </si>
  <si>
    <t>Tunjangan Kehadiran</t>
  </si>
  <si>
    <t>Insentif Pulsa</t>
  </si>
  <si>
    <t>Driver</t>
  </si>
  <si>
    <t>Non Driver</t>
  </si>
  <si>
    <t>MBK</t>
  </si>
  <si>
    <t>ASSA</t>
  </si>
  <si>
    <t>SUNARTO</t>
  </si>
  <si>
    <t>Beban Assa semua</t>
  </si>
  <si>
    <t>OKE</t>
  </si>
  <si>
    <t>HUDIYANTO</t>
  </si>
  <si>
    <t>YOHANES CHRISTANTO</t>
  </si>
  <si>
    <t>JATENG 1</t>
  </si>
  <si>
    <t>BAYU KURNIAWAN</t>
  </si>
  <si>
    <t>JATENG 2</t>
  </si>
  <si>
    <t>DIOTA</t>
  </si>
  <si>
    <t>SILO AGUNG</t>
  </si>
  <si>
    <t>SHOLEH NUGROHO</t>
  </si>
  <si>
    <t>BEBAN MBK</t>
  </si>
  <si>
    <t>I DEWA MADE ISWARA</t>
  </si>
  <si>
    <t>WAHYU KURNIAWAN</t>
  </si>
  <si>
    <t>total</t>
  </si>
  <si>
    <t xml:space="preserve">17 Agustus  2021</t>
  </si>
  <si>
    <t>Page 1 of 1</t>
  </si>
  <si>
    <t>NOTE :</t>
  </si>
  <si>
    <t>JATENG 1 BAYU</t>
  </si>
  <si>
    <t>ANTERAJA SURABAYA ( OKA &amp; HUDIYANTO )</t>
  </si>
  <si>
    <t>AREA</t>
  </si>
  <si>
    <t>Jml Driver</t>
  </si>
  <si>
    <t>PURWOKERTO ANTERAJA</t>
  </si>
  <si>
    <t>PAMEKASAN</t>
  </si>
  <si>
    <t>PURWOKERTO/AOP</t>
  </si>
  <si>
    <t>LAMONGAN</t>
  </si>
  <si>
    <t>TUBAN</t>
  </si>
  <si>
    <t>MALANG BAT 1</t>
  </si>
  <si>
    <t>MALANG BAT 2</t>
  </si>
  <si>
    <t>YAMAZAKI MALANG</t>
  </si>
  <si>
    <t>JATENG 2 DIOTA</t>
  </si>
  <si>
    <t>YAMAZAKI JEMBER</t>
  </si>
  <si>
    <t>SEMARANG/AOP</t>
  </si>
  <si>
    <t>BANYUWANGI</t>
  </si>
  <si>
    <t>SEMARANG/ANTERAJA</t>
  </si>
  <si>
    <t>MADIUN</t>
  </si>
  <si>
    <t>TEGAL</t>
  </si>
  <si>
    <t xml:space="preserve">MALANG   ( JOHAN )</t>
  </si>
  <si>
    <t>sharing budget</t>
  </si>
  <si>
    <t>BREBES</t>
  </si>
  <si>
    <t>MALANG ANTERAJA</t>
  </si>
  <si>
    <t xml:space="preserve">JATENG  SILO AGUNG</t>
  </si>
  <si>
    <t xml:space="preserve">BALI  DEWA</t>
  </si>
  <si>
    <t>BALI CK</t>
  </si>
  <si>
    <t>BALI AOP</t>
  </si>
  <si>
    <t>BALI ANTERAJA</t>
  </si>
  <si>
    <t>SUMBAWA</t>
  </si>
  <si>
    <t>BIMA</t>
  </si>
  <si>
    <t>Wahyu</t>
  </si>
  <si>
    <t>JOGJAKARTA/ANTERAJA</t>
  </si>
  <si>
    <t xml:space="preserve">Tagihan Driver  PT. Assa Logistics BALI-AANTERAJA</t>
  </si>
  <si>
    <t>2060</t>
  </si>
  <si>
    <t>A.A. ADITYA FARMA</t>
  </si>
  <si>
    <t>1664</t>
  </si>
  <si>
    <t>1851</t>
  </si>
  <si>
    <t>KIPRIANUS MARKION SAKAN</t>
  </si>
  <si>
    <t>2074</t>
  </si>
  <si>
    <t>PANDE WAYAN WIRAWAN</t>
  </si>
  <si>
    <t>2448</t>
  </si>
  <si>
    <t>SAMRI DANIAL SUNBANU</t>
  </si>
  <si>
    <t>2551</t>
  </si>
  <si>
    <t>ANAK AGUNG BAGUS INDRA JAYA</t>
  </si>
  <si>
    <t>2552</t>
  </si>
  <si>
    <t>BUCE LASSA</t>
  </si>
  <si>
    <t>IDA BAGUS NYOMAN YOGI PAWITRA</t>
  </si>
  <si>
    <t>1853</t>
  </si>
  <si>
    <t>RIKO YANUARTO</t>
  </si>
  <si>
    <t>prorate 13 hari</t>
  </si>
  <si>
    <t>0600</t>
  </si>
  <si>
    <t>ADE ABI KAROMI</t>
  </si>
  <si>
    <t xml:space="preserve">MUTASI  KE AOP BALI 09 AGUSTUS 2021</t>
  </si>
  <si>
    <t>1663</t>
  </si>
  <si>
    <t>I GUSTI AGUS YOGA PUTRA</t>
  </si>
  <si>
    <t>MUTASI KE TAB 23 JUNI 2021</t>
  </si>
  <si>
    <t>I Gusti Yoga Putra insentif 1.106.500 ( Anteraja Bali )</t>
  </si>
  <si>
    <t xml:space="preserve">GUSTI KADEK TRISNA WANA PRASTA </t>
  </si>
  <si>
    <t>gapork prorate, driver baru aktf sejak 09 agustus 2021</t>
  </si>
  <si>
    <t xml:space="preserve">Tagihan Driver  PT. Assa Logistics SOLO-ANTERAJA</t>
  </si>
  <si>
    <t>2183</t>
  </si>
  <si>
    <t>FX DADDY HAPPY ADITYONO</t>
  </si>
  <si>
    <t>ADA INSENTIF FLAT ATAS JULI 2021</t>
  </si>
  <si>
    <t>1533</t>
  </si>
  <si>
    <t>MUTASI DARI DRIVER KE DISPATCHER, INSENTIF LANGSUNG DAPAT DIBULAN BERJALAN</t>
  </si>
  <si>
    <t>2530</t>
  </si>
  <si>
    <t>AGUNG CAHYONO</t>
  </si>
  <si>
    <t>2512</t>
  </si>
  <si>
    <t>ANANG MIYARSONO</t>
  </si>
  <si>
    <t>1842</t>
  </si>
  <si>
    <t>BAGUS HUTOMO SUTOWO</t>
  </si>
  <si>
    <t>1196</t>
  </si>
  <si>
    <t>DODY ELIARDI</t>
  </si>
  <si>
    <t>2123</t>
  </si>
  <si>
    <t>ENDA SEPTIYANTO</t>
  </si>
  <si>
    <t>2520</t>
  </si>
  <si>
    <t>ENDRIYANTO</t>
  </si>
  <si>
    <t>2227</t>
  </si>
  <si>
    <t>FAISAL FAJAR WIBOWO</t>
  </si>
  <si>
    <t>FAKIH AMIRUDIN</t>
  </si>
  <si>
    <t>1917</t>
  </si>
  <si>
    <t>FEBRIAN SURYO WICAKSONO</t>
  </si>
  <si>
    <t>2019</t>
  </si>
  <si>
    <t>MARDIANSYAH</t>
  </si>
  <si>
    <t>PRORATE 16 HARI, 1 Agustus jd dispatcher</t>
  </si>
  <si>
    <t>1809</t>
  </si>
  <si>
    <t>SUPRIYANTO (TAB)</t>
  </si>
  <si>
    <t>2600</t>
  </si>
  <si>
    <t>YUDHISTIRA PRATAMA PUTRA</t>
  </si>
  <si>
    <t>2134</t>
  </si>
  <si>
    <t>YUHANANATO ADI SETIAWAN</t>
  </si>
  <si>
    <t>2755</t>
  </si>
  <si>
    <t>ANDI SETYAWAN</t>
  </si>
  <si>
    <t>2756</t>
  </si>
  <si>
    <t>IVAN ANGGORO SAPUTRO</t>
  </si>
  <si>
    <t>22-JUL-21</t>
  </si>
  <si>
    <t>CAHYO FEBRI WIBOWO</t>
  </si>
  <si>
    <t>JOYA ANDREAN</t>
  </si>
  <si>
    <t>FANDY DWI CANDRA</t>
  </si>
  <si>
    <t>SURYONO</t>
  </si>
  <si>
    <t>ANDRIAN NURPRASETYO</t>
  </si>
  <si>
    <t>DRIVER BARU AKTIF 01 AGUSTUS 2021</t>
  </si>
  <si>
    <t xml:space="preserve"> Dibuat</t>
  </si>
  <si>
    <t xml:space="preserve">Tagihan Driver  PT. Assa Logistics BALI-AOP</t>
  </si>
  <si>
    <t>EDY SUGIARTO</t>
  </si>
  <si>
    <t>gapok prorate, driver aktif sejak 02 agustus 2021</t>
  </si>
  <si>
    <t>597</t>
  </si>
  <si>
    <t>MOCH AGUNG HARIANTO</t>
  </si>
  <si>
    <t>gapok prorate 24 hari, driver resign 09 agustus 2021</t>
  </si>
  <si>
    <t>599</t>
  </si>
  <si>
    <t>JAVA DROLES ROSTATO</t>
  </si>
  <si>
    <t>gapok prorate 15 hari, driver resign 31 juli 2021</t>
  </si>
  <si>
    <t>BELUM DIBAYAR</t>
  </si>
  <si>
    <t>NO INVOICE</t>
  </si>
  <si>
    <t>:</t>
  </si>
  <si>
    <t>260/MBK/INV/VIII/2021</t>
  </si>
  <si>
    <t>PT.MULIA BINTANG KEJORA</t>
  </si>
  <si>
    <t>TANGGAL INVOICE</t>
  </si>
  <si>
    <t>General Trading,General Contractor,Outsourcing</t>
  </si>
  <si>
    <t xml:space="preserve">EMAIL:  muliabintangkejora@gmail.com</t>
  </si>
  <si>
    <t>PERUM BUANA ASRI BLOK A24 NO 11</t>
  </si>
  <si>
    <t>RT 008 RW 017 KEL PALUMBON SARI</t>
  </si>
  <si>
    <t>KEC.KARAWANG TIMUR KAB .KARAWANG</t>
  </si>
  <si>
    <t xml:space="preserve">JAWA BARAT       (0267)    8408877</t>
  </si>
  <si>
    <t>TAGIHAN</t>
  </si>
  <si>
    <t xml:space="preserve">Periode Agustus  2021</t>
  </si>
  <si>
    <t>CUSTOMER</t>
  </si>
  <si>
    <t>HARGA POKOK</t>
  </si>
  <si>
    <t>INSENTIF</t>
  </si>
  <si>
    <t>MANAGEMENT FEE</t>
  </si>
  <si>
    <t>SUBTOTAL</t>
  </si>
  <si>
    <t>MALANG 1</t>
  </si>
  <si>
    <t>MALANG 2</t>
  </si>
  <si>
    <t xml:space="preserve">MALANG </t>
  </si>
  <si>
    <t>CIRCKLE -K</t>
  </si>
  <si>
    <t xml:space="preserve">AOP </t>
  </si>
  <si>
    <t>10% PPN</t>
  </si>
  <si>
    <t>Karawang, 20 Agustus 2021</t>
  </si>
  <si>
    <t>Pembayaran agar ditransfer ke rekening :</t>
  </si>
  <si>
    <t>PT.MULIA BINTANGKEJORA</t>
  </si>
  <si>
    <t>Bank BCA</t>
  </si>
  <si>
    <t>Cabang Galuh Mas Karawang</t>
  </si>
  <si>
    <t>7425 2 11111</t>
  </si>
  <si>
    <t>Fatria Riza</t>
  </si>
  <si>
    <t xml:space="preserve"> PT. Mulia Bintang Kejora</t>
  </si>
  <si>
    <t xml:space="preserve">Tagihan Driver  PT. Assa Logistics BALI-CK</t>
  </si>
  <si>
    <t>0737</t>
  </si>
  <si>
    <t>I GST PUTU OKA KUSUMA SARI</t>
  </si>
  <si>
    <t>1665</t>
  </si>
  <si>
    <t>LOURENS UMBU NGERA</t>
  </si>
  <si>
    <t>1666</t>
  </si>
  <si>
    <t>MUZAWWIR</t>
  </si>
  <si>
    <t>1668</t>
  </si>
  <si>
    <t>RODI IRAWAN</t>
  </si>
  <si>
    <t>1281</t>
  </si>
  <si>
    <t>1543</t>
  </si>
  <si>
    <t>2229</t>
  </si>
  <si>
    <t>I KADEK PUTRA ADNYANA</t>
  </si>
  <si>
    <t>2670</t>
  </si>
  <si>
    <t>IDA BAGUS SEBALI SEYANA</t>
  </si>
  <si>
    <t>1242</t>
  </si>
  <si>
    <t>MUTASI KE CK 23 JUNI 2021</t>
  </si>
  <si>
    <t xml:space="preserve">  Dibuat</t>
  </si>
  <si>
    <t xml:space="preserve">Tagihan Driver  PT. Assa Logistics JOMBANG-ANTERAJA</t>
  </si>
  <si>
    <t>Tunjangan Pulsa</t>
  </si>
  <si>
    <t>1779</t>
  </si>
  <si>
    <t>ADITYA NUR PRATAMA</t>
  </si>
  <si>
    <t>2486</t>
  </si>
  <si>
    <t>EKO PRISTIWANTO</t>
  </si>
  <si>
    <t xml:space="preserve">HARTANLEY SUDITO </t>
  </si>
  <si>
    <t>1149</t>
  </si>
  <si>
    <t>DENDY SETIYONO</t>
  </si>
  <si>
    <t>1150</t>
  </si>
  <si>
    <t xml:space="preserve">AJI SUKMAWAN PUTRA </t>
  </si>
  <si>
    <t>1175</t>
  </si>
  <si>
    <t>1274</t>
  </si>
  <si>
    <t>1275</t>
  </si>
  <si>
    <t>1374</t>
  </si>
  <si>
    <t>1993</t>
  </si>
  <si>
    <t>MUHAMMAD TAHRIR</t>
  </si>
  <si>
    <t>1781</t>
  </si>
  <si>
    <t>MUCHAMAT ROMADON</t>
  </si>
  <si>
    <t>2056</t>
  </si>
  <si>
    <t>DWI JUNE DEA PANGESTU</t>
  </si>
  <si>
    <t>2057</t>
  </si>
  <si>
    <t>ANANG ZUBAIDI</t>
  </si>
  <si>
    <t>2058</t>
  </si>
  <si>
    <t xml:space="preserve">ARDI </t>
  </si>
  <si>
    <t>2059</t>
  </si>
  <si>
    <t>BIMA ARIEF WIBOWO</t>
  </si>
  <si>
    <t>2105</t>
  </si>
  <si>
    <t>TITIS BAYU PRIANJANI</t>
  </si>
  <si>
    <t>2106</t>
  </si>
  <si>
    <t>RIDA PRAHASTA</t>
  </si>
  <si>
    <t>2107</t>
  </si>
  <si>
    <t>MUHAMMAD SAIFUL ARIF</t>
  </si>
  <si>
    <t>AGUS SURONO</t>
  </si>
  <si>
    <t>YUDI ARIS SUSANTO</t>
  </si>
  <si>
    <t>FEBRIANTO RIKY ANANDA</t>
  </si>
  <si>
    <t>SEPTIYAN ROMADHON</t>
  </si>
  <si>
    <t>2295</t>
  </si>
  <si>
    <t>HARRY FAJAR KUSUMA YUDHIYANTO</t>
  </si>
  <si>
    <t>2296</t>
  </si>
  <si>
    <t>BAGAS ARDIANSYAH</t>
  </si>
  <si>
    <t>2297</t>
  </si>
  <si>
    <t>IRDIANTO SETIAWAN</t>
  </si>
  <si>
    <t>2298</t>
  </si>
  <si>
    <t>ALDO MUHAMMAD ISMAWAN</t>
  </si>
  <si>
    <t>2299</t>
  </si>
  <si>
    <t>WAHYU ZAKARIA</t>
  </si>
  <si>
    <t>2301</t>
  </si>
  <si>
    <t>ALVIAN NUR ROFIQ</t>
  </si>
  <si>
    <t>2370</t>
  </si>
  <si>
    <t>DANAR SINATRIA</t>
  </si>
  <si>
    <t>2371</t>
  </si>
  <si>
    <t>M ALI RIDHO</t>
  </si>
  <si>
    <t>2671</t>
  </si>
  <si>
    <t>ABDUL JABBAR</t>
  </si>
  <si>
    <t>2672</t>
  </si>
  <si>
    <t>ZAKARIA TARMIZI MAULANA</t>
  </si>
  <si>
    <t>2673</t>
  </si>
  <si>
    <t>CANDRA PRASETYO</t>
  </si>
  <si>
    <t>2674</t>
  </si>
  <si>
    <t>EKO SULISTYAWAN</t>
  </si>
  <si>
    <t>2675</t>
  </si>
  <si>
    <t>MUHAMMAD LUTFI</t>
  </si>
  <si>
    <t>2676</t>
  </si>
  <si>
    <t>GALIH SETIAWAN</t>
  </si>
  <si>
    <t>2677</t>
  </si>
  <si>
    <t>TIO SUTANTO</t>
  </si>
  <si>
    <t>2678</t>
  </si>
  <si>
    <t>DWI LUKMAN MANGGARAI</t>
  </si>
  <si>
    <t>DJOKO SANTUSO</t>
  </si>
  <si>
    <t>12-Aug-21</t>
  </si>
  <si>
    <t xml:space="preserve">AKONG HARYADI </t>
  </si>
  <si>
    <t>M.KHOIRI</t>
  </si>
  <si>
    <t>NUR ROKHIM</t>
  </si>
  <si>
    <t>AGUS BUDIONO</t>
  </si>
  <si>
    <t>FAJAR ROFI'TIARMAN</t>
  </si>
  <si>
    <t>DEDI YOSEP</t>
  </si>
  <si>
    <t>DEDY SANTOSO</t>
  </si>
  <si>
    <t xml:space="preserve">ARIF YULIONO </t>
  </si>
  <si>
    <t>261/MBK/INV/VIII/2021</t>
  </si>
  <si>
    <t>Periode Agustus 2021</t>
  </si>
  <si>
    <t xml:space="preserve">Tagihan Driver  PT. Assa Logistics POBOLINGGO-ANTERAJA</t>
  </si>
  <si>
    <t>2294</t>
  </si>
  <si>
    <t>ABDULLAH ZAINI</t>
  </si>
  <si>
    <t>1804</t>
  </si>
  <si>
    <t>2270</t>
  </si>
  <si>
    <t>BAMBANG SUTRISNO</t>
  </si>
  <si>
    <t>2054</t>
  </si>
  <si>
    <t>DIDIK ABDULLAH</t>
  </si>
  <si>
    <t>2524</t>
  </si>
  <si>
    <t>FENDIK AGUS SETYAWAN</t>
  </si>
  <si>
    <t>1990</t>
  </si>
  <si>
    <t>JULIYANTA ROHMAN</t>
  </si>
  <si>
    <t>2053</t>
  </si>
  <si>
    <t>MUHAMMAD MUHLISIN AFANDI</t>
  </si>
  <si>
    <t>2104</t>
  </si>
  <si>
    <t>NUR AHMAD</t>
  </si>
  <si>
    <t>1165</t>
  </si>
  <si>
    <t>2146</t>
  </si>
  <si>
    <t>RIDWAN ARIANTO</t>
  </si>
  <si>
    <t>2253</t>
  </si>
  <si>
    <t>RISQI DWI SETYAWAN</t>
  </si>
  <si>
    <t>2055</t>
  </si>
  <si>
    <t>SHOFIUDDIN</t>
  </si>
  <si>
    <t>MUHAMMAD ZAINURI</t>
  </si>
  <si>
    <t>1838</t>
  </si>
  <si>
    <t>resign 16 agustus 2021</t>
  </si>
  <si>
    <t>2292</t>
  </si>
  <si>
    <t>IRFAN EFENDI</t>
  </si>
  <si>
    <t>resign 15 agustus 2021</t>
  </si>
  <si>
    <t>1276</t>
  </si>
  <si>
    <t>resign 08 agustus 2021</t>
  </si>
  <si>
    <t>1656</t>
  </si>
  <si>
    <t>RENDY PRASTIA</t>
  </si>
  <si>
    <t>RESIGN 15 JULI 2021</t>
  </si>
  <si>
    <t>2291</t>
  </si>
  <si>
    <t>MOCH DIMAS WAHYU H</t>
  </si>
  <si>
    <t>RESIGN 17 JULI 2021</t>
  </si>
  <si>
    <t xml:space="preserve">Tagihan Driver  PT. Assa Logistics MATARAM</t>
  </si>
  <si>
    <t>1658</t>
  </si>
  <si>
    <t>TUNJANAGAN DRIVER LEADER RP. 200.000,-</t>
  </si>
  <si>
    <t>1282</t>
  </si>
  <si>
    <t>406</t>
  </si>
  <si>
    <t>2553</t>
  </si>
  <si>
    <t>FAHRURROZI</t>
  </si>
  <si>
    <t>2554</t>
  </si>
  <si>
    <t>MUHAMAD SALEH MAHSUP</t>
  </si>
  <si>
    <t>2555</t>
  </si>
  <si>
    <t xml:space="preserve">Tagihan Driver  PT. Assa Logistics KUDUS -ANTERAJA</t>
  </si>
  <si>
    <t>1596</t>
  </si>
  <si>
    <t>1763</t>
  </si>
  <si>
    <t>ABDUL KHALIM</t>
  </si>
  <si>
    <t>2488</t>
  </si>
  <si>
    <t>2419</t>
  </si>
  <si>
    <t>CHANDRA IBNU WARDANA</t>
  </si>
  <si>
    <t>1752</t>
  </si>
  <si>
    <t>FEBRI YOGI PRADANA</t>
  </si>
  <si>
    <t>2309</t>
  </si>
  <si>
    <t>HELMI PUTRA FADLAN</t>
  </si>
  <si>
    <t>2307</t>
  </si>
  <si>
    <t>HERI SUTIKNO</t>
  </si>
  <si>
    <t>JUMADI B</t>
  </si>
  <si>
    <t>driver mutasi dari sat rebamng per tanggal 06 agustus 2021</t>
  </si>
  <si>
    <t>1740</t>
  </si>
  <si>
    <t>LATUD MIFTAHUL CHOIR</t>
  </si>
  <si>
    <t>2118</t>
  </si>
  <si>
    <t>LILIK PRASETYO ADI</t>
  </si>
  <si>
    <t>2444</t>
  </si>
  <si>
    <t>MOH MALCHAN</t>
  </si>
  <si>
    <t>SALAH NOMINAL INSENTIF</t>
  </si>
  <si>
    <t>2575</t>
  </si>
  <si>
    <t>MUHAMMAD ABDUL SYAKUR</t>
  </si>
  <si>
    <t>2310</t>
  </si>
  <si>
    <t>MUHAMMAD CHOIRUL ADHAN</t>
  </si>
  <si>
    <t>RYAN ADI PRASETYO</t>
  </si>
  <si>
    <t>2508</t>
  </si>
  <si>
    <t>SAIFUL ANWAR</t>
  </si>
  <si>
    <t>2381</t>
  </si>
  <si>
    <t>ZAENAL ARIFIN</t>
  </si>
  <si>
    <t>GALIH ROMANDHAN PUTRA</t>
  </si>
  <si>
    <t>MIFTAKHUL AMIN</t>
  </si>
  <si>
    <t>resign 04/08/2021</t>
  </si>
  <si>
    <t xml:space="preserve">Tagihan Driver  PT. Assa Logistics PEMALANG -ANTERAJA</t>
  </si>
  <si>
    <t xml:space="preserve">Tagihan Driver  PT. Assa Logistics JOGJA -ANTERAJA</t>
  </si>
  <si>
    <t>1278</t>
  </si>
  <si>
    <t>1181</t>
  </si>
  <si>
    <t>2601</t>
  </si>
  <si>
    <t>ACHMAD BAIHAKI</t>
  </si>
  <si>
    <t>2415</t>
  </si>
  <si>
    <t>AGUNG BUDI SUSANTO</t>
  </si>
  <si>
    <t>1062</t>
  </si>
  <si>
    <t>1179</t>
  </si>
  <si>
    <t>2509</t>
  </si>
  <si>
    <t>AL RAFI NOVARIYANTO KUSUMA DWI PUTRA</t>
  </si>
  <si>
    <t>2324</t>
  </si>
  <si>
    <t>AMBAR TRI PURNOMO</t>
  </si>
  <si>
    <t>2228</t>
  </si>
  <si>
    <t>ARDIAN FEBRI SAPUTRA</t>
  </si>
  <si>
    <t>2120</t>
  </si>
  <si>
    <t>ARSY PRIAMBADA MAHYUDIN</t>
  </si>
  <si>
    <t>1184</t>
  </si>
  <si>
    <t xml:space="preserve">BAGASETYO PANUNTUN </t>
  </si>
  <si>
    <t>1520</t>
  </si>
  <si>
    <t>2451</t>
  </si>
  <si>
    <t>BAYU AJI PRASETYO</t>
  </si>
  <si>
    <t>1234</t>
  </si>
  <si>
    <t>0883</t>
  </si>
  <si>
    <t xml:space="preserve">BUDI NUR ROCHMAN </t>
  </si>
  <si>
    <t>1182</t>
  </si>
  <si>
    <t>2487</t>
  </si>
  <si>
    <t>DEQI PUTRO SEJATI</t>
  </si>
  <si>
    <t>1183</t>
  </si>
  <si>
    <t>DIDIK SUSANTO</t>
  </si>
  <si>
    <t>1710</t>
  </si>
  <si>
    <t>DJANARKO SETYANTORO</t>
  </si>
  <si>
    <t>1386</t>
  </si>
  <si>
    <t xml:space="preserve">EKA HARI BUDI S </t>
  </si>
  <si>
    <t>1385</t>
  </si>
  <si>
    <t xml:space="preserve">HAFIZ SYARIFUDDIN </t>
  </si>
  <si>
    <t>2017</t>
  </si>
  <si>
    <t>MOHAMAD FATKHURROHMAN</t>
  </si>
  <si>
    <t>2605</t>
  </si>
  <si>
    <t>NANANG HARYADI</t>
  </si>
  <si>
    <t>1277</t>
  </si>
  <si>
    <t>2532</t>
  </si>
  <si>
    <t>SAMIJO</t>
  </si>
  <si>
    <t>1387</t>
  </si>
  <si>
    <t xml:space="preserve">SUWASONO </t>
  </si>
  <si>
    <t>2418</t>
  </si>
  <si>
    <t>WAHYU PUTRO TRI WIDODO</t>
  </si>
  <si>
    <t>2531</t>
  </si>
  <si>
    <t>WINARTO</t>
  </si>
  <si>
    <t>2308</t>
  </si>
  <si>
    <t>YULI ADI SANTOSO</t>
  </si>
  <si>
    <t>2704</t>
  </si>
  <si>
    <t>ASIH SUPRIYANTO</t>
  </si>
  <si>
    <t>11-JUL-21</t>
  </si>
  <si>
    <t>2705</t>
  </si>
  <si>
    <t>BANU TRI KURNIAWAN</t>
  </si>
  <si>
    <t>2706</t>
  </si>
  <si>
    <t xml:space="preserve">PUJI ASBANDI </t>
  </si>
  <si>
    <t>2707</t>
  </si>
  <si>
    <t>HARJIANTA</t>
  </si>
  <si>
    <t>12-JUL-21</t>
  </si>
  <si>
    <t>2708</t>
  </si>
  <si>
    <t>AHMAD MUSTOFA</t>
  </si>
  <si>
    <t>2758</t>
  </si>
  <si>
    <t>ANGGA SETIAJI</t>
  </si>
  <si>
    <t>24-JUL-21</t>
  </si>
  <si>
    <t>JUNIAR ANDRIAN HADI PRABOWO</t>
  </si>
  <si>
    <t>26-JUL-21</t>
  </si>
  <si>
    <t>JOEDHI ASTANTO</t>
  </si>
  <si>
    <t>27-JUL-21</t>
  </si>
  <si>
    <t>FREDDY NOFRANDIAS</t>
  </si>
  <si>
    <t>29-JUL-21</t>
  </si>
  <si>
    <t>KURNIAWAN</t>
  </si>
  <si>
    <t>LILIK HARMANTA</t>
  </si>
  <si>
    <t>YOHANES PRIMADIA PUTRA</t>
  </si>
  <si>
    <t>NUGROHO</t>
  </si>
  <si>
    <t>NOVI SETIAWAN</t>
  </si>
  <si>
    <t>2602</t>
  </si>
  <si>
    <t>ADI SUHENDRA</t>
  </si>
  <si>
    <t>2603</t>
  </si>
  <si>
    <t>DWI ARIYADI</t>
  </si>
  <si>
    <t>2604</t>
  </si>
  <si>
    <t>FARDIN</t>
  </si>
  <si>
    <t>1521</t>
  </si>
  <si>
    <t>0880</t>
  </si>
  <si>
    <t>DANANG SETIAWAN</t>
  </si>
  <si>
    <t>Danang Setiawan yang keluar dan masih ada insentif Rp. 75.000</t>
  </si>
  <si>
    <t>DIDYA YOGI</t>
  </si>
  <si>
    <t>Didya yogi yang keluar dan masih ada insentif Rp. 145.000</t>
  </si>
  <si>
    <t>NGAZIZ</t>
  </si>
  <si>
    <t>Ngaziz yang keluar dan masih ada insentif Rp. 195.000</t>
  </si>
  <si>
    <t xml:space="preserve">Tagihan Driver  PT. Assa Logistics REMBANG-SAT</t>
  </si>
  <si>
    <t>Premi Kehadiran</t>
  </si>
  <si>
    <t>1266</t>
  </si>
  <si>
    <t>0033</t>
  </si>
  <si>
    <t>EKO BAGUS LUKITO</t>
  </si>
  <si>
    <t>CHECKER</t>
  </si>
  <si>
    <t>0036</t>
  </si>
  <si>
    <t>SOFYAN MAHFUD</t>
  </si>
  <si>
    <t>0309</t>
  </si>
  <si>
    <t>M. ANIN</t>
  </si>
  <si>
    <t>0316</t>
  </si>
  <si>
    <t>MUHAMMAD ILHAM SYAFI'I</t>
  </si>
  <si>
    <t>0332</t>
  </si>
  <si>
    <t>SYAIFUR ROHMAN</t>
  </si>
  <si>
    <t>0595</t>
  </si>
  <si>
    <t xml:space="preserve">PANGGI MULYANJONO </t>
  </si>
  <si>
    <t>1265</t>
  </si>
  <si>
    <t>1267</t>
  </si>
  <si>
    <t>0031</t>
  </si>
  <si>
    <t>ABDUL AZIS</t>
  </si>
  <si>
    <t>0034</t>
  </si>
  <si>
    <t>MOHAMMAD FARIDHON</t>
  </si>
  <si>
    <t>0586</t>
  </si>
  <si>
    <t xml:space="preserve">DWI SULISTYO </t>
  </si>
  <si>
    <t>0038</t>
  </si>
  <si>
    <t>WAHYU KRISTANTO</t>
  </si>
  <si>
    <t>FM</t>
  </si>
  <si>
    <t>0274</t>
  </si>
  <si>
    <t>ROBINGUN</t>
  </si>
  <si>
    <t>0037</t>
  </si>
  <si>
    <t>SUSANTO</t>
  </si>
  <si>
    <t>UC</t>
  </si>
  <si>
    <t>0077</t>
  </si>
  <si>
    <t>THOURUL CHADID</t>
  </si>
  <si>
    <t>0303</t>
  </si>
  <si>
    <t>GALEH SAPUTRO</t>
  </si>
  <si>
    <t>2271</t>
  </si>
  <si>
    <t>AHMAD MUAYYAD</t>
  </si>
  <si>
    <t>2526</t>
  </si>
  <si>
    <t>ZAENAL ABIDIN</t>
  </si>
  <si>
    <t>OPC</t>
  </si>
  <si>
    <t>tunjangan kehadiran Rp. 15.000,-/per hari</t>
  </si>
  <si>
    <t>0591</t>
  </si>
  <si>
    <t>ABDUL GHOFUR</t>
  </si>
  <si>
    <t>1055</t>
  </si>
  <si>
    <t>ABDUL ROZAQ</t>
  </si>
  <si>
    <t>0294</t>
  </si>
  <si>
    <t>ABDUR ROHMAN</t>
  </si>
  <si>
    <t>0039</t>
  </si>
  <si>
    <t>ACHMAD MAHMUDI</t>
  </si>
  <si>
    <t>0040</t>
  </si>
  <si>
    <t>ADNAN SADALI</t>
  </si>
  <si>
    <t>0860</t>
  </si>
  <si>
    <t>AGUS MUJIONO</t>
  </si>
  <si>
    <t>0590</t>
  </si>
  <si>
    <t>AGUS SETIAWAN</t>
  </si>
  <si>
    <t>1058</t>
  </si>
  <si>
    <t>2633</t>
  </si>
  <si>
    <t>AHMAD SAIFUL KHAMAL</t>
  </si>
  <si>
    <t>0043</t>
  </si>
  <si>
    <t>AHMAD SYAFI'IN</t>
  </si>
  <si>
    <t>0045</t>
  </si>
  <si>
    <t>AJIB</t>
  </si>
  <si>
    <t>1747</t>
  </si>
  <si>
    <t>AKLIS ABADI</t>
  </si>
  <si>
    <t>0049</t>
  </si>
  <si>
    <t>ALI RIF'AN</t>
  </si>
  <si>
    <t>0050</t>
  </si>
  <si>
    <t>ANTON SUSILO</t>
  </si>
  <si>
    <t>0051</t>
  </si>
  <si>
    <t>ARIF ANANTA WIBAWA</t>
  </si>
  <si>
    <t>1756</t>
  </si>
  <si>
    <t>BAJURI</t>
  </si>
  <si>
    <t>0053</t>
  </si>
  <si>
    <t>DANI KURNIAWAN</t>
  </si>
  <si>
    <t>0054</t>
  </si>
  <si>
    <t>DARIADI SAPUTRO</t>
  </si>
  <si>
    <t>2067</t>
  </si>
  <si>
    <t>DARMONO</t>
  </si>
  <si>
    <t>1762</t>
  </si>
  <si>
    <t>DEDI WIDYO U</t>
  </si>
  <si>
    <t>0300</t>
  </si>
  <si>
    <t>DEDY PRASTYAWAN</t>
  </si>
  <si>
    <t>1283</t>
  </si>
  <si>
    <t>2269</t>
  </si>
  <si>
    <t>ERNANDA EKA PUTRA</t>
  </si>
  <si>
    <t>1056</t>
  </si>
  <si>
    <t>HABIBULLAH</t>
  </si>
  <si>
    <t>0358</t>
  </si>
  <si>
    <t>IMAM FEROS NURDIANSAH</t>
  </si>
  <si>
    <t>1815</t>
  </si>
  <si>
    <t>IMAM MAHFUD</t>
  </si>
  <si>
    <t>0056</t>
  </si>
  <si>
    <t>JAKARIA ARI SAGITA</t>
  </si>
  <si>
    <t>1285</t>
  </si>
  <si>
    <t>0057</t>
  </si>
  <si>
    <t>JAYA WINARKO</t>
  </si>
  <si>
    <t>1746</t>
  </si>
  <si>
    <t>JHONI WAHYUDI</t>
  </si>
  <si>
    <t>0058</t>
  </si>
  <si>
    <t>JOKO CAHYONO</t>
  </si>
  <si>
    <t>1753</t>
  </si>
  <si>
    <t>JOKO SUPRIYONO</t>
  </si>
  <si>
    <t>0589</t>
  </si>
  <si>
    <t>0305</t>
  </si>
  <si>
    <t>KARYANTO</t>
  </si>
  <si>
    <t>0306</t>
  </si>
  <si>
    <t>KHOSIUN</t>
  </si>
  <si>
    <t>1059</t>
  </si>
  <si>
    <t>KOERNEN</t>
  </si>
  <si>
    <t>0307</t>
  </si>
  <si>
    <t>LUTFI KHAMDAN</t>
  </si>
  <si>
    <t>0060</t>
  </si>
  <si>
    <t>M. ASHARI</t>
  </si>
  <si>
    <t>0310</t>
  </si>
  <si>
    <t>M. ZAMRONI</t>
  </si>
  <si>
    <t>2478</t>
  </si>
  <si>
    <t>MARGONO</t>
  </si>
  <si>
    <t>1778</t>
  </si>
  <si>
    <t>MOH AGUNG SUPRI HANDOKO</t>
  </si>
  <si>
    <t>0062</t>
  </si>
  <si>
    <t xml:space="preserve">MOH.  FADRUL ANAM</t>
  </si>
  <si>
    <t>0315</t>
  </si>
  <si>
    <t>MOHAMMAD ABROR</t>
  </si>
  <si>
    <t>0063</t>
  </si>
  <si>
    <t>MOHAMMAD PUJIONO</t>
  </si>
  <si>
    <t>1053</t>
  </si>
  <si>
    <t>MOKHAMAD ULIL HUDA</t>
  </si>
  <si>
    <t>0752</t>
  </si>
  <si>
    <t>MUCHAMAD RIFAI</t>
  </si>
  <si>
    <t>1757</t>
  </si>
  <si>
    <t>MUH BADRUDDIN</t>
  </si>
  <si>
    <t>0065</t>
  </si>
  <si>
    <t>MUKIDI</t>
  </si>
  <si>
    <t>0318</t>
  </si>
  <si>
    <t>0594</t>
  </si>
  <si>
    <t>NUGROHO ARDIYANTO</t>
  </si>
  <si>
    <t>0067</t>
  </si>
  <si>
    <t>PANJI SURYA LAKSANA</t>
  </si>
  <si>
    <t>2548</t>
  </si>
  <si>
    <t>PRAMONO</t>
  </si>
  <si>
    <t>0319</t>
  </si>
  <si>
    <t>PRIHATIN EDI MULYONO</t>
  </si>
  <si>
    <t>2248</t>
  </si>
  <si>
    <t>RICHO ANDI HERMAWAN</t>
  </si>
  <si>
    <t>1217</t>
  </si>
  <si>
    <t>RISA HUSAIN</t>
  </si>
  <si>
    <t>2475</t>
  </si>
  <si>
    <t>RIYANTO</t>
  </si>
  <si>
    <t>1949</t>
  </si>
  <si>
    <t>ROHING ARIA HUTOMO</t>
  </si>
  <si>
    <t>0322</t>
  </si>
  <si>
    <t>RONI</t>
  </si>
  <si>
    <t>0068</t>
  </si>
  <si>
    <t>ROSIDI</t>
  </si>
  <si>
    <t>2013</t>
  </si>
  <si>
    <t>RUDI SULISTYANTO</t>
  </si>
  <si>
    <t>0069</t>
  </si>
  <si>
    <t>RUDIANTO</t>
  </si>
  <si>
    <t>0859</t>
  </si>
  <si>
    <t>RULI PRASETYA</t>
  </si>
  <si>
    <t>1022</t>
  </si>
  <si>
    <t>RUSLY MUSLENDRA</t>
  </si>
  <si>
    <t>0323</t>
  </si>
  <si>
    <t>RUSMIN</t>
  </si>
  <si>
    <t>1750</t>
  </si>
  <si>
    <t>RYANDIKA</t>
  </si>
  <si>
    <t>0071</t>
  </si>
  <si>
    <t>SELAMET TEGUH SANTOSO</t>
  </si>
  <si>
    <t>0075</t>
  </si>
  <si>
    <t>SUDARMAN</t>
  </si>
  <si>
    <t>0076</t>
  </si>
  <si>
    <t>SUEDI</t>
  </si>
  <si>
    <t>1900</t>
  </si>
  <si>
    <t>0349</t>
  </si>
  <si>
    <t>TIRTO SANTOSO</t>
  </si>
  <si>
    <t>0333</t>
  </si>
  <si>
    <t>VIKI MARDIAN</t>
  </si>
  <si>
    <t>1019</t>
  </si>
  <si>
    <t>WAHYUDI SHOLEHAN</t>
  </si>
  <si>
    <t>0079</t>
  </si>
  <si>
    <t>WISNU RAMDHANI</t>
  </si>
  <si>
    <t>0585</t>
  </si>
  <si>
    <t>YUDI</t>
  </si>
  <si>
    <t>0080</t>
  </si>
  <si>
    <t>0081</t>
  </si>
  <si>
    <t>ZAENAL ARIF</t>
  </si>
  <si>
    <t>1761</t>
  </si>
  <si>
    <t>ZAENURI</t>
  </si>
  <si>
    <t>2759</t>
  </si>
  <si>
    <t>MIFTAHUL HUDA</t>
  </si>
  <si>
    <t>2760</t>
  </si>
  <si>
    <t>AHMAD DEDE ALDIANTO</t>
  </si>
  <si>
    <t xml:space="preserve">LUKMAN </t>
  </si>
  <si>
    <t>1755</t>
  </si>
  <si>
    <t>Out 10 Agustus 2021</t>
  </si>
  <si>
    <t>320</t>
  </si>
  <si>
    <t>PUJI HARTO</t>
  </si>
  <si>
    <t>0ut 15 Juli 2021</t>
  </si>
  <si>
    <t>tidak ada prorate gapok</t>
  </si>
  <si>
    <t>2544</t>
  </si>
  <si>
    <t>MUKHAMMAD SULKHAN</t>
  </si>
  <si>
    <t>Out 15 Juli 2021</t>
  </si>
  <si>
    <t>1765</t>
  </si>
  <si>
    <t>ELY KRISTANTO</t>
  </si>
  <si>
    <t>out 10 juli 2021</t>
  </si>
  <si>
    <t>resign ke anteraja kudus per tanggal 06 agsutsu 2021</t>
  </si>
  <si>
    <t xml:space="preserve">Tagihan Driver  PT. Assa Logistics SEMARANG-AOP</t>
  </si>
  <si>
    <t xml:space="preserve">Periode Juni  2021</t>
  </si>
  <si>
    <t>0369</t>
  </si>
  <si>
    <t>ARGA ADRIANSYAH</t>
  </si>
  <si>
    <t>0</t>
  </si>
  <si>
    <t>0211</t>
  </si>
  <si>
    <t>EKO ARI SUSANTO</t>
  </si>
  <si>
    <t>0212</t>
  </si>
  <si>
    <t>HARYO YUDHAYANTO</t>
  </si>
  <si>
    <t>0215</t>
  </si>
  <si>
    <t>MUJIANTO</t>
  </si>
  <si>
    <t>0217</t>
  </si>
  <si>
    <t>CIPTA ADI WIBOWO</t>
  </si>
  <si>
    <t>0296</t>
  </si>
  <si>
    <t>MUHAMMAD KHUSAENI</t>
  </si>
  <si>
    <t>1146</t>
  </si>
  <si>
    <t>2018</t>
  </si>
  <si>
    <t>MULYONO</t>
  </si>
  <si>
    <t>2476</t>
  </si>
  <si>
    <t>ANDI SUSENO</t>
  </si>
  <si>
    <t>2499</t>
  </si>
  <si>
    <t>TRI LISTRIYO</t>
  </si>
  <si>
    <t>2500</t>
  </si>
  <si>
    <t>JORA ACHMAD SETYADI</t>
  </si>
  <si>
    <t>2700</t>
  </si>
  <si>
    <t>TEGAR LIAN NUR</t>
  </si>
  <si>
    <t xml:space="preserve"> SHODIKUL HUDA</t>
  </si>
  <si>
    <t xml:space="preserve">Tagihan Driver  PT. Assa Logistics SEMARANG-ANTERAJA</t>
  </si>
  <si>
    <t>1199</t>
  </si>
  <si>
    <t>WISNU AL MUCHTAR</t>
  </si>
  <si>
    <t>1916</t>
  </si>
  <si>
    <t>IMBUH ARDIYANTO</t>
  </si>
  <si>
    <t>2124</t>
  </si>
  <si>
    <t>KARIANI YOGI SAFITRI</t>
  </si>
  <si>
    <t>ADMIN</t>
  </si>
  <si>
    <t>2529</t>
  </si>
  <si>
    <t>BAYU KOES SANTYOKO</t>
  </si>
  <si>
    <t>MENDAPATKAN INSENTIF FLAT</t>
  </si>
  <si>
    <t>0887</t>
  </si>
  <si>
    <t>1200</t>
  </si>
  <si>
    <t xml:space="preserve">ADI SUGIYARTO </t>
  </si>
  <si>
    <t>1241</t>
  </si>
  <si>
    <t>1145</t>
  </si>
  <si>
    <t>2014</t>
  </si>
  <si>
    <t>ARIF MUJIONO</t>
  </si>
  <si>
    <t>2070</t>
  </si>
  <si>
    <t>ARYA DANI DHARMAYANTO</t>
  </si>
  <si>
    <t>1538</t>
  </si>
  <si>
    <t>2072</t>
  </si>
  <si>
    <t>BUDIONO</t>
  </si>
  <si>
    <t>1240</t>
  </si>
  <si>
    <t xml:space="preserve">CAHYO AGITIANTO </t>
  </si>
  <si>
    <t>2077</t>
  </si>
  <si>
    <t>DINTA VINTAKA SANDI</t>
  </si>
  <si>
    <t>0221</t>
  </si>
  <si>
    <t>EKO SULISTIYANTO</t>
  </si>
  <si>
    <t>0218</t>
  </si>
  <si>
    <t>EKO YULIYANTO</t>
  </si>
  <si>
    <t>1854</t>
  </si>
  <si>
    <t>FIKI FANISA</t>
  </si>
  <si>
    <t>0219</t>
  </si>
  <si>
    <t>HENGKY YONATHAN WIJAYA</t>
  </si>
  <si>
    <t>2076</t>
  </si>
  <si>
    <t>LATIF ALIFA RADNA</t>
  </si>
  <si>
    <t>2607</t>
  </si>
  <si>
    <t>M. ARIEF FAHREZA</t>
  </si>
  <si>
    <t>0224</t>
  </si>
  <si>
    <t>M. SYAIFUDIN</t>
  </si>
  <si>
    <t>2073</t>
  </si>
  <si>
    <t>MARWOTO</t>
  </si>
  <si>
    <t>MULIYONO</t>
  </si>
  <si>
    <t>1349</t>
  </si>
  <si>
    <t>NURACHMAT</t>
  </si>
  <si>
    <t>0220</t>
  </si>
  <si>
    <t>RAHARJO</t>
  </si>
  <si>
    <t>1279</t>
  </si>
  <si>
    <t>2116</t>
  </si>
  <si>
    <t>RIZAL ADAM FIRDAUS</t>
  </si>
  <si>
    <t>2117</t>
  </si>
  <si>
    <t>SUGENG MULYONO</t>
  </si>
  <si>
    <t>1063</t>
  </si>
  <si>
    <t>2686</t>
  </si>
  <si>
    <t>KRISNA MAWARDI</t>
  </si>
  <si>
    <t>2736</t>
  </si>
  <si>
    <t>IGO SATRIO NUGROHO</t>
  </si>
  <si>
    <t>2737</t>
  </si>
  <si>
    <t>ALMA OKA PRASOJO</t>
  </si>
  <si>
    <t>2738</t>
  </si>
  <si>
    <t>RIZAL PEBRI ADITIO</t>
  </si>
  <si>
    <t>2739</t>
  </si>
  <si>
    <t>ASEP KRISTIANA</t>
  </si>
  <si>
    <t>2740</t>
  </si>
  <si>
    <t>JATMIKO</t>
  </si>
  <si>
    <t>2741</t>
  </si>
  <si>
    <t>DANY IRSANDI ALFIAN</t>
  </si>
  <si>
    <t>2742</t>
  </si>
  <si>
    <t>DESKAWAMI GILANG RAMADHAN</t>
  </si>
  <si>
    <t>2743</t>
  </si>
  <si>
    <t>BAGUS RAHMANTO</t>
  </si>
  <si>
    <t xml:space="preserve">Tagihan Driver  PT. Assa Logistics  BIMA</t>
  </si>
  <si>
    <t xml:space="preserve">ARJUNA MAULANA </t>
  </si>
  <si>
    <t>SUPRYADIN</t>
  </si>
  <si>
    <t>INSENTIF FLAT JULI 2021, MUTASI DARI DRIVER MENJADI DISPACTHER INSENTIF DIBERIKAN DIBULAN BERJLAAN</t>
  </si>
  <si>
    <t>1915</t>
  </si>
  <si>
    <t>01 juli jd fico ( susulan insentif juni untuk juli yg di hapus )</t>
  </si>
  <si>
    <t xml:space="preserve">Tagihan Driver  PT. Assa Logistics TEGAL-ANTERAJA</t>
  </si>
  <si>
    <t>1430</t>
  </si>
  <si>
    <t>TEGUH INDRA MULYANA</t>
  </si>
  <si>
    <t>1777</t>
  </si>
  <si>
    <t>ACHMAD ZAKA MUCHAROM</t>
  </si>
  <si>
    <t>2368</t>
  </si>
  <si>
    <t>AGUS ISWANTO</t>
  </si>
  <si>
    <t>2511</t>
  </si>
  <si>
    <t>ANDI CAHYO NUGROHO</t>
  </si>
  <si>
    <t>2757</t>
  </si>
  <si>
    <t>BUDI WIBOWO</t>
  </si>
  <si>
    <t>2480</t>
  </si>
  <si>
    <t>ERWIN PUTRA WALYANI</t>
  </si>
  <si>
    <t>1928</t>
  </si>
  <si>
    <t>KOMARUL HAKIM</t>
  </si>
  <si>
    <t>2262</t>
  </si>
  <si>
    <t>M. ADE IRVAN</t>
  </si>
  <si>
    <t>2240</t>
  </si>
  <si>
    <t xml:space="preserve">MIFTAH  ARIFUDIN</t>
  </si>
  <si>
    <t xml:space="preserve">MUHAMMAD MUBAROK </t>
  </si>
  <si>
    <t>2261</t>
  </si>
  <si>
    <t>TRESNO PALUPI</t>
  </si>
  <si>
    <t>UKAS SUHERLAN</t>
  </si>
  <si>
    <t>2606</t>
  </si>
  <si>
    <t>FREDDY BAGUS WIDIATMOKO</t>
  </si>
  <si>
    <t>resign 10 Agustus 2021</t>
  </si>
  <si>
    <t xml:space="preserve">Tagihan Driver  PT. Assa Logistics CILACAP -ANTERAJA</t>
  </si>
  <si>
    <t>1529</t>
  </si>
  <si>
    <t>2137</t>
  </si>
  <si>
    <t>DESTA MARDIANSYAH</t>
  </si>
  <si>
    <t xml:space="preserve">Tagihan Driver  PT. Assa Logistics SUMBAWA</t>
  </si>
  <si>
    <t>SAIFULLAH</t>
  </si>
  <si>
    <t>IRWANSYAH</t>
  </si>
  <si>
    <t xml:space="preserve">Tagihan Driver  PT. Assa Logistics PURWOKERTO-AOP</t>
  </si>
  <si>
    <t>230</t>
  </si>
  <si>
    <t>KUSWANDI</t>
  </si>
  <si>
    <t>233</t>
  </si>
  <si>
    <t>MUGI PAMUNGKAS</t>
  </si>
  <si>
    <t>1245</t>
  </si>
  <si>
    <t>1177</t>
  </si>
  <si>
    <t>231</t>
  </si>
  <si>
    <t>MUSLIM</t>
  </si>
  <si>
    <t>PRORATE 16 HAR SAMPAI 31 JULI 2021</t>
  </si>
  <si>
    <t xml:space="preserve">Tagihan Driver  PT. Assa Logistics  MALANG-ANTERAJA</t>
  </si>
  <si>
    <t>DONI ZULKARNAIN</t>
  </si>
  <si>
    <t>0275</t>
  </si>
  <si>
    <t>1421</t>
  </si>
  <si>
    <t xml:space="preserve">HERU KUSMANAJI </t>
  </si>
  <si>
    <t>2440</t>
  </si>
  <si>
    <t>RIZQI AMALIA</t>
  </si>
  <si>
    <t xml:space="preserve">ADMIN   </t>
  </si>
  <si>
    <t>2485</t>
  </si>
  <si>
    <t>BAGUS DIAN PERMANA</t>
  </si>
  <si>
    <t xml:space="preserve">Insentif  </t>
  </si>
  <si>
    <t>2279</t>
  </si>
  <si>
    <t>ABIDIN DARUSSALAM</t>
  </si>
  <si>
    <t>2431</t>
  </si>
  <si>
    <t xml:space="preserve">ACHMAD SULAIMAN </t>
  </si>
  <si>
    <t>ADI PRASETYO</t>
  </si>
  <si>
    <t>2527</t>
  </si>
  <si>
    <t>ADITYA WICAKSONO</t>
  </si>
  <si>
    <t>2251</t>
  </si>
  <si>
    <t>AGUS DWI CAHYONO</t>
  </si>
  <si>
    <t>2653</t>
  </si>
  <si>
    <t>AHMAD SOLHAN</t>
  </si>
  <si>
    <t>2048</t>
  </si>
  <si>
    <t>ALDO SEPTIAWAN DWI PANGGA</t>
  </si>
  <si>
    <t>1417</t>
  </si>
  <si>
    <t>ALFAN BASORI</t>
  </si>
  <si>
    <t>1880</t>
  </si>
  <si>
    <t>ANDRI DWI LESMANA</t>
  </si>
  <si>
    <t>2250</t>
  </si>
  <si>
    <t>APRILEO KRISNA ADI PUTRA</t>
  </si>
  <si>
    <t>1791</t>
  </si>
  <si>
    <t>ARNOLD KUSUMA WARDHANA</t>
  </si>
  <si>
    <t>1518</t>
  </si>
  <si>
    <t>CHAIRUL SANY</t>
  </si>
  <si>
    <t>2252</t>
  </si>
  <si>
    <t>DEDY FIRMANSYAH</t>
  </si>
  <si>
    <t>2439</t>
  </si>
  <si>
    <t>DENNY SAMUJI</t>
  </si>
  <si>
    <t>1879</t>
  </si>
  <si>
    <t>DIDIN BUDIONO</t>
  </si>
  <si>
    <t>DIKI KURNIAWAN</t>
  </si>
  <si>
    <t>1794</t>
  </si>
  <si>
    <t>DIMAS ANARJERI JK</t>
  </si>
  <si>
    <t>2437</t>
  </si>
  <si>
    <t>DONI HERI YULINANTO</t>
  </si>
  <si>
    <t>1516</t>
  </si>
  <si>
    <t>EKA PRASETYA YUDHA</t>
  </si>
  <si>
    <t>EKO PRASETYO</t>
  </si>
  <si>
    <t>EKO PRASTIO</t>
  </si>
  <si>
    <t>1517</t>
  </si>
  <si>
    <t>EKO WAHYUDI</t>
  </si>
  <si>
    <t>2289</t>
  </si>
  <si>
    <t>ERVAN ADE YULIAN</t>
  </si>
  <si>
    <t>2050</t>
  </si>
  <si>
    <t>FIRHAN ARDI WIJAYA</t>
  </si>
  <si>
    <t>GIGIH YANUAR</t>
  </si>
  <si>
    <t>2288</t>
  </si>
  <si>
    <t>HABIB AKHMAD RAMADHAN</t>
  </si>
  <si>
    <t>2528</t>
  </si>
  <si>
    <t>HADI RIYANTO</t>
  </si>
  <si>
    <t>2645</t>
  </si>
  <si>
    <t>HENDRA SETIAWAN</t>
  </si>
  <si>
    <t>1830</t>
  </si>
  <si>
    <t>IMAM MALIKI</t>
  </si>
  <si>
    <t>2047</t>
  </si>
  <si>
    <t>IMAM WAHYUDI</t>
  </si>
  <si>
    <t>2652</t>
  </si>
  <si>
    <t>INDRA BAYU</t>
  </si>
  <si>
    <t>2361</t>
  </si>
  <si>
    <t>ISMANTO</t>
  </si>
  <si>
    <t>2287</t>
  </si>
  <si>
    <t>JOHANDA CORNELIS DWIE PUTRA</t>
  </si>
  <si>
    <t>1881</t>
  </si>
  <si>
    <t>JOHAR ARDI</t>
  </si>
  <si>
    <t>2648</t>
  </si>
  <si>
    <t>2429</t>
  </si>
  <si>
    <t>KHOIRUL ANWAR</t>
  </si>
  <si>
    <t>2430</t>
  </si>
  <si>
    <t>MARLON HARIS EFENDI</t>
  </si>
  <si>
    <t>MARTHA RIFANDA PUTRA</t>
  </si>
  <si>
    <t>1792</t>
  </si>
  <si>
    <t>MOCHAMAD KHOIRUL ANAM</t>
  </si>
  <si>
    <t>MOH AGUS</t>
  </si>
  <si>
    <t>1793</t>
  </si>
  <si>
    <t>MOH SOLEH</t>
  </si>
  <si>
    <t>2647</t>
  </si>
  <si>
    <t>MUCHAMAD ARIF</t>
  </si>
  <si>
    <t>1930</t>
  </si>
  <si>
    <t>MUHAIMIN</t>
  </si>
  <si>
    <t>2290</t>
  </si>
  <si>
    <t>MUHAMAD ELZA ALIF F</t>
  </si>
  <si>
    <t>2656</t>
  </si>
  <si>
    <t>MUHAMMAD DENNY LASMANTO</t>
  </si>
  <si>
    <t>MUHAMMAD RIDWAN</t>
  </si>
  <si>
    <t>1822</t>
  </si>
  <si>
    <t>NANANG MUJIANTO</t>
  </si>
  <si>
    <t>2438</t>
  </si>
  <si>
    <t>PRIYO RAHARJO PRIAMBODO</t>
  </si>
  <si>
    <t>2644</t>
  </si>
  <si>
    <t>RANO YULIANTO WIJAYA</t>
  </si>
  <si>
    <t>1803</t>
  </si>
  <si>
    <t>REZA ABHI ANDARA</t>
  </si>
  <si>
    <t>2045</t>
  </si>
  <si>
    <t>SLAMET KHOIRUL HUDA</t>
  </si>
  <si>
    <t>2362</t>
  </si>
  <si>
    <t>SUHARMANTO</t>
  </si>
  <si>
    <t>SUKARDI</t>
  </si>
  <si>
    <t>2657</t>
  </si>
  <si>
    <t>TIRTA SANDI TYAS ARI AKHMADI</t>
  </si>
  <si>
    <t>WAHYU SATRIO SUKO</t>
  </si>
  <si>
    <t>WINDY ADI BASKARA</t>
  </si>
  <si>
    <t>2646</t>
  </si>
  <si>
    <t>YUDHI CAHYONO</t>
  </si>
  <si>
    <t>2724</t>
  </si>
  <si>
    <t>SYAMSUL HADI WINOTO</t>
  </si>
  <si>
    <t>2726</t>
  </si>
  <si>
    <t>AGUNG TRI FEMBRIANTO</t>
  </si>
  <si>
    <t>2765</t>
  </si>
  <si>
    <t>ISWAYUDI</t>
  </si>
  <si>
    <t>ARIS SYA'BANI</t>
  </si>
  <si>
    <t>MOCH SUKRON</t>
  </si>
  <si>
    <t>WELLY ZEFRIAN SYAH DWI PUTRA</t>
  </si>
  <si>
    <t>ZAENAL KHANANI</t>
  </si>
  <si>
    <t>FICO</t>
  </si>
  <si>
    <t>2649</t>
  </si>
  <si>
    <t>WADI SANTOSO</t>
  </si>
  <si>
    <t>2650</t>
  </si>
  <si>
    <t>DEWANTA ANANG NUGRAHA</t>
  </si>
  <si>
    <t>AKTIF 11 JULI 2021 -RESIGN 18 JULI 2021</t>
  </si>
  <si>
    <t>2651</t>
  </si>
  <si>
    <t>EKO PRASETIAWAN</t>
  </si>
  <si>
    <t>RESIGN 18 JULI 2021</t>
  </si>
  <si>
    <t>2655</t>
  </si>
  <si>
    <t>DARMANTO</t>
  </si>
  <si>
    <t>2135</t>
  </si>
  <si>
    <t>BENI ISMANTO</t>
  </si>
  <si>
    <t xml:space="preserve">Tagihan Driver  PT. Assa Logistics MADIUN ANTERAJA</t>
  </si>
  <si>
    <t>2679</t>
  </si>
  <si>
    <t>AMIRUDIN ALMAJDI</t>
  </si>
  <si>
    <t>2680</t>
  </si>
  <si>
    <t>ARIF RAHMAN SAYYIDI</t>
  </si>
  <si>
    <t>2108</t>
  </si>
  <si>
    <t>ANANG MUKHLIS KRISDIANTO</t>
  </si>
  <si>
    <t>2366</t>
  </si>
  <si>
    <t xml:space="preserve">DIKI RUBY MARSEDIAWAN </t>
  </si>
  <si>
    <t>1964</t>
  </si>
  <si>
    <t>EKA HERI SUSENO</t>
  </si>
  <si>
    <t>2365</t>
  </si>
  <si>
    <t xml:space="preserve">HAFI WARDANA </t>
  </si>
  <si>
    <t>1148</t>
  </si>
  <si>
    <t xml:space="preserve">HARI SUTANTO </t>
  </si>
  <si>
    <t>INDRA SETIAWAN</t>
  </si>
  <si>
    <t>JOKO HANTANTO</t>
  </si>
  <si>
    <t>LUKMAN ALHAKIM</t>
  </si>
  <si>
    <t>1965</t>
  </si>
  <si>
    <t>NUR IRAWAN</t>
  </si>
  <si>
    <t>2364</t>
  </si>
  <si>
    <t>OXRIL PIKI PRADIKA</t>
  </si>
  <si>
    <t>2367</t>
  </si>
  <si>
    <t>SANDRA WAHYU EKA SAPUTRA</t>
  </si>
  <si>
    <t>2278</t>
  </si>
  <si>
    <t>SISUYANTO DIANTORO</t>
  </si>
  <si>
    <t>SUKOCO</t>
  </si>
  <si>
    <t>2518</t>
  </si>
  <si>
    <t>WINDA ANDIKA KURNIAWAN</t>
  </si>
  <si>
    <t>2681</t>
  </si>
  <si>
    <t>NOVAN ANDRIAN MARDIANATA P</t>
  </si>
  <si>
    <t>2682</t>
  </si>
  <si>
    <t>BAGUS SETIAWAN</t>
  </si>
  <si>
    <t>IVAN RIZKY NUGROHO</t>
  </si>
  <si>
    <t>PRORATE 5 HARI</t>
  </si>
  <si>
    <t xml:space="preserve">Tagihan Driver  PT. Assa Logistics YAMAZAKI MALANG</t>
  </si>
  <si>
    <t>FAUNDRA RACHMA TRISNANTO</t>
  </si>
  <si>
    <t>2698</t>
  </si>
  <si>
    <t>ALIF WIDIATMOKO</t>
  </si>
  <si>
    <t>2640</t>
  </si>
  <si>
    <t>SYAIFUDIN BISRI</t>
  </si>
  <si>
    <t>2641</t>
  </si>
  <si>
    <t xml:space="preserve">BENYAMIN NDUN </t>
  </si>
  <si>
    <t>1060</t>
  </si>
  <si>
    <t>YUDHA WASTU CRISDY ANTONO</t>
  </si>
  <si>
    <t>2635</t>
  </si>
  <si>
    <t>LUKMAN HAKIM</t>
  </si>
  <si>
    <t>2636</t>
  </si>
  <si>
    <t>AGUS SIYONO</t>
  </si>
  <si>
    <t>2637</t>
  </si>
  <si>
    <t xml:space="preserve">HARI SUYANTO </t>
  </si>
  <si>
    <t>2642</t>
  </si>
  <si>
    <t>ELI ZENI WAHYUDI KUSDIONO</t>
  </si>
  <si>
    <t>ANDRIANTO</t>
  </si>
  <si>
    <t>SHONIF FAISHOL YUSUF</t>
  </si>
  <si>
    <t>MUCH. ALI MUCHSIN</t>
  </si>
  <si>
    <t>ARI SUWARNO</t>
  </si>
  <si>
    <t>TRI WAHYU HIDAYAT</t>
  </si>
  <si>
    <t>DRIVER BARU</t>
  </si>
  <si>
    <t>Tri Wahyu Hidayat tgl 26 Juli 2021</t>
  </si>
  <si>
    <t>TONNY SUGIANTO</t>
  </si>
  <si>
    <t>Tonny Sugianto Tgl 23 Juli 2021</t>
  </si>
  <si>
    <t>Darmanto tanggal 23 jULI 2021</t>
  </si>
  <si>
    <t>NOVA HARDIANTO</t>
  </si>
  <si>
    <t>Nova Hardianto tanggal 13 Agustus 2021</t>
  </si>
  <si>
    <t>ISMAIL MARZUKI</t>
  </si>
  <si>
    <t>Ismail Marzuki tanggal 13 Agustus 2021</t>
  </si>
  <si>
    <t>2643</t>
  </si>
  <si>
    <t>MUHAMMAD MARYANTO</t>
  </si>
  <si>
    <t>MUHAMMAD MARYANTO Sudah tidak ada dibulan Juli tgl 22 terakhir jalan</t>
  </si>
  <si>
    <t>2638</t>
  </si>
  <si>
    <t xml:space="preserve">DEDY KURNIAWAN </t>
  </si>
  <si>
    <t xml:space="preserve">DRIVER RESIGN TGL  19 JULI 2021</t>
  </si>
  <si>
    <t>262/MBK/INV/VIII/2021</t>
  </si>
  <si>
    <t>KET</t>
  </si>
  <si>
    <t>OKA HARSAK</t>
  </si>
  <si>
    <t>SURABAYA 2</t>
  </si>
  <si>
    <t>JOHAN</t>
  </si>
  <si>
    <t>BAYU KURNIADI</t>
  </si>
  <si>
    <t>SHOLEH</t>
  </si>
  <si>
    <t>REMBANG 2</t>
  </si>
  <si>
    <t>I DEWA MADE</t>
  </si>
  <si>
    <t xml:space="preserve">Tagihan Driver  PT. Assa Logistics PAMEKASAN-ANTERAJA</t>
  </si>
  <si>
    <t>2127</t>
  </si>
  <si>
    <t xml:space="preserve">SLAMET HARIANTO </t>
  </si>
  <si>
    <t>INSENTIF DRIVER LEADER RP 200.000</t>
  </si>
  <si>
    <t>2130</t>
  </si>
  <si>
    <t>AGUS PRIYADI</t>
  </si>
  <si>
    <t>2128</t>
  </si>
  <si>
    <t>AHMAD SISWANTO</t>
  </si>
  <si>
    <t>2131</t>
  </si>
  <si>
    <t>EKO</t>
  </si>
  <si>
    <t>2387</t>
  </si>
  <si>
    <t>MUHAMMAD ABUNAWAN</t>
  </si>
  <si>
    <t>2385</t>
  </si>
  <si>
    <t>RIZAL AFINARDO</t>
  </si>
  <si>
    <t>2386</t>
  </si>
  <si>
    <t>SANDI BUDIMAN</t>
  </si>
  <si>
    <t>2388</t>
  </si>
  <si>
    <t>ZAINAL ARIFIN</t>
  </si>
  <si>
    <t>ZAINAL ABIDIN</t>
  </si>
  <si>
    <t xml:space="preserve">Tagihan Driver  PT. Assa Logistics JEMBER ANTERAJA</t>
  </si>
  <si>
    <t>1164</t>
  </si>
  <si>
    <t>DIPATCHER</t>
  </si>
  <si>
    <t>SUMANTRI</t>
  </si>
  <si>
    <t>2241</t>
  </si>
  <si>
    <t>FIRAS AINUR RIZQI SAPUTRA</t>
  </si>
  <si>
    <t>2703</t>
  </si>
  <si>
    <t>FARHANI DAHLAN</t>
  </si>
  <si>
    <t>MUHAMMAD FAIZAL</t>
  </si>
  <si>
    <t>DRIVER REKRUTAN BARU</t>
  </si>
  <si>
    <t>TINO TRIO BEKTI</t>
  </si>
  <si>
    <t>DIDIK DARMADI</t>
  </si>
  <si>
    <t>TATOK ALKATIRI</t>
  </si>
  <si>
    <t>ARIEF WINDAR PRASETYO</t>
  </si>
  <si>
    <t>MOCH. YACUB</t>
  </si>
  <si>
    <t>DRIVER MUTASI DARI PROBOLINGGO PER TANGGAL 15 AGUSTUS 2021</t>
  </si>
  <si>
    <t>ARISANDI TIAWARMAN</t>
  </si>
  <si>
    <t>DRIVER MUTASI DARI BANTUWANGI PER TANGGAL 15 AGUSTUS 2021</t>
  </si>
  <si>
    <t xml:space="preserve">MUHAMMAD FARIDL SYAIFUDDIN </t>
  </si>
  <si>
    <t>MUHAMMAD SUKRON HADI</t>
  </si>
  <si>
    <t>ARMAN SUSILO</t>
  </si>
  <si>
    <t>NUR MUHAMMAD HABIBI</t>
  </si>
  <si>
    <t>MOH. ASADULLOH</t>
  </si>
  <si>
    <t xml:space="preserve">Tagihan Driver  PT. Assa Logistics BANYUWANGI ANTERAJA</t>
  </si>
  <si>
    <t>1424</t>
  </si>
  <si>
    <t>2069</t>
  </si>
  <si>
    <t>2110</t>
  </si>
  <si>
    <t>2384</t>
  </si>
  <si>
    <t>2702</t>
  </si>
  <si>
    <t>1423</t>
  </si>
  <si>
    <t>ANDY GUSTI RANGGA</t>
  </si>
  <si>
    <t>resign 30 juli 2021</t>
  </si>
  <si>
    <t xml:space="preserve">Tagihan Driver  PT. Assa Logistics LAMONGAN-ANTERAJA</t>
  </si>
  <si>
    <t>2129</t>
  </si>
  <si>
    <t xml:space="preserve">ALVIN NAWAWI MUBAROK </t>
  </si>
  <si>
    <t>13 Apr-21</t>
  </si>
  <si>
    <t>GANTUNGAN GAJI JUNI, KARENA MUTASI KE DISPATCHER 01 AGUSTUS 2021 9 INFO DRIVER MANAGEMENT)</t>
  </si>
  <si>
    <t xml:space="preserve">Tagihan Driver  PT. Assa Logistics TUBAN-ANTERAJA</t>
  </si>
  <si>
    <t>M.ROIS ANWAR</t>
  </si>
  <si>
    <t>1832</t>
  </si>
  <si>
    <t>MUHAMMAD HERI SUGIONO</t>
  </si>
  <si>
    <t xml:space="preserve">Tagihan Driver  PT. Assa Logistics SURABAYA-ANTERAJA</t>
  </si>
  <si>
    <t>UMK 2021</t>
  </si>
  <si>
    <t>0001</t>
  </si>
  <si>
    <t>LINTANG CITRA MAHARANI</t>
  </si>
  <si>
    <t>1223</t>
  </si>
  <si>
    <t>1310</t>
  </si>
  <si>
    <t>RM ANDRI PURNAMA PUTRA</t>
  </si>
  <si>
    <t>2002</t>
  </si>
  <si>
    <t>STEVANUS KRISTIAN</t>
  </si>
  <si>
    <t>1411</t>
  </si>
  <si>
    <t>1288</t>
  </si>
  <si>
    <t>UC POOL</t>
  </si>
  <si>
    <t>2325</t>
  </si>
  <si>
    <t>ERWIN SULISTYOWARNO</t>
  </si>
  <si>
    <t>1983</t>
  </si>
  <si>
    <t>SURATNO</t>
  </si>
  <si>
    <t>2695</t>
  </si>
  <si>
    <t>IVAN BRAMASTO</t>
  </si>
  <si>
    <t>1419</t>
  </si>
  <si>
    <t xml:space="preserve">AL MUHAIMIN ANANDA SONY </t>
  </si>
  <si>
    <t>REKRUTAN BARU UNTUK DISPATCHER, BUKAN DRIVER</t>
  </si>
  <si>
    <t>Resign per tgl 31 juli 2021</t>
  </si>
  <si>
    <t>2599</t>
  </si>
  <si>
    <t>PANJI TRI BUDI S.E</t>
  </si>
  <si>
    <t>Resign per tgl 07 Agustus 2021</t>
  </si>
  <si>
    <t>2495</t>
  </si>
  <si>
    <t>ABD. WACHID</t>
  </si>
  <si>
    <t>ACHMAD EFFENDI</t>
  </si>
  <si>
    <t>1802</t>
  </si>
  <si>
    <t>ACHMAD HARIS SUTRISNO</t>
  </si>
  <si>
    <t>1954</t>
  </si>
  <si>
    <t>ACHMAD INDRA CAHYADI</t>
  </si>
  <si>
    <t>2339</t>
  </si>
  <si>
    <t>ACNMAD FERRY.A</t>
  </si>
  <si>
    <t>2326</t>
  </si>
  <si>
    <t>ADE GUSTIAWAN</t>
  </si>
  <si>
    <t>2044</t>
  </si>
  <si>
    <t>AGAM RACHMAN</t>
  </si>
  <si>
    <t>1218</t>
  </si>
  <si>
    <t>AGUNG PRASETYO</t>
  </si>
  <si>
    <t>2276</t>
  </si>
  <si>
    <t>AGUS KHOIRUL ANWAR</t>
  </si>
  <si>
    <t>2543</t>
  </si>
  <si>
    <t>AGUS TRIYONO</t>
  </si>
  <si>
    <t>1653</t>
  </si>
  <si>
    <t>2275</t>
  </si>
  <si>
    <t>AHMAD RIZAL HANAFI</t>
  </si>
  <si>
    <t>1801</t>
  </si>
  <si>
    <t>AHMAD SAMSUDIN</t>
  </si>
  <si>
    <t>1562</t>
  </si>
  <si>
    <t>AHMAD WAHID</t>
  </si>
  <si>
    <t>2041</t>
  </si>
  <si>
    <t>ALVIN AINUR ROISYI</t>
  </si>
  <si>
    <t>2081</t>
  </si>
  <si>
    <t>ANDI SUSANTO</t>
  </si>
  <si>
    <t>2346</t>
  </si>
  <si>
    <t>ANDREAS BASKORO .F</t>
  </si>
  <si>
    <t>1985</t>
  </si>
  <si>
    <t>ANWAR FARID</t>
  </si>
  <si>
    <t>RESIGN PER TGL 30 JULI 2021</t>
  </si>
  <si>
    <t>1874</t>
  </si>
  <si>
    <t>ARI BEGWANTO</t>
  </si>
  <si>
    <t>2343</t>
  </si>
  <si>
    <t>ARI GUNAWAN</t>
  </si>
  <si>
    <t>2496</t>
  </si>
  <si>
    <t>ARI WIBOWO</t>
  </si>
  <si>
    <t>1829</t>
  </si>
  <si>
    <t>ARIF SULISTIO</t>
  </si>
  <si>
    <t>ARYO BRAMASTA</t>
  </si>
  <si>
    <t>1980</t>
  </si>
  <si>
    <t>AYUB GALEH BINTARIANTO</t>
  </si>
  <si>
    <t>BAGAS ADITYA PUTRA PRATAMA</t>
  </si>
  <si>
    <t>2426</t>
  </si>
  <si>
    <t>BAMBANG</t>
  </si>
  <si>
    <t>2094</t>
  </si>
  <si>
    <t>BARI ISKANDAR</t>
  </si>
  <si>
    <t>1800</t>
  </si>
  <si>
    <t>BAYU DIAN ARISANDI</t>
  </si>
  <si>
    <t>BENI SETIAWAN</t>
  </si>
  <si>
    <t>0864</t>
  </si>
  <si>
    <t>BILLY DIMAS DANU BARATA</t>
  </si>
  <si>
    <t>1311</t>
  </si>
  <si>
    <t>BOY CAROLIN</t>
  </si>
  <si>
    <t>1960</t>
  </si>
  <si>
    <t>BUDI MARDIANTO</t>
  </si>
  <si>
    <t>2272</t>
  </si>
  <si>
    <t>CAHYO ADJI SAPUTRO</t>
  </si>
  <si>
    <t>2392</t>
  </si>
  <si>
    <t>2332</t>
  </si>
  <si>
    <t>DANI EKA PRASETYA</t>
  </si>
  <si>
    <t>2082</t>
  </si>
  <si>
    <t>DAVID DARMAWAN</t>
  </si>
  <si>
    <t>1290</t>
  </si>
  <si>
    <t>DEDE ADAM NUGIE NUGRAHA</t>
  </si>
  <si>
    <t>2660</t>
  </si>
  <si>
    <t>DEDI SUCAHYONO</t>
  </si>
  <si>
    <t>1647</t>
  </si>
  <si>
    <t>2040</t>
  </si>
  <si>
    <t>DENI KURNIAWAN</t>
  </si>
  <si>
    <t>2274</t>
  </si>
  <si>
    <t>DERI ARVIANTO</t>
  </si>
  <si>
    <t>1957</t>
  </si>
  <si>
    <t>DIAN AGUS SUSANTO</t>
  </si>
  <si>
    <t>2586</t>
  </si>
  <si>
    <t>DIAN RAHMAT HERMANSYAH</t>
  </si>
  <si>
    <t>2501</t>
  </si>
  <si>
    <t>DIMAS PRAMANA SUHARDI</t>
  </si>
  <si>
    <t>1956</t>
  </si>
  <si>
    <t xml:space="preserve">DJOHAN IRAWAN </t>
  </si>
  <si>
    <t>1963</t>
  </si>
  <si>
    <t>DODY HARTONO</t>
  </si>
  <si>
    <t>2521</t>
  </si>
  <si>
    <t>DWI SETIAWAN</t>
  </si>
  <si>
    <t>2333</t>
  </si>
  <si>
    <t>EDI PUTRA RAHARJA</t>
  </si>
  <si>
    <t>2423</t>
  </si>
  <si>
    <t>EDO BAYU HARI SAPUTRA</t>
  </si>
  <si>
    <t>1561</t>
  </si>
  <si>
    <t>EDY SUSANTO</t>
  </si>
  <si>
    <t>1877</t>
  </si>
  <si>
    <t xml:space="preserve">EFENDI SUPIKIR </t>
  </si>
  <si>
    <t>1981</t>
  </si>
  <si>
    <t>EKO KUSDIANTORO</t>
  </si>
  <si>
    <t>1116</t>
  </si>
  <si>
    <t>2391</t>
  </si>
  <si>
    <t>EKO SUSILO</t>
  </si>
  <si>
    <t>2091</t>
  </si>
  <si>
    <t>EKO WAHYU PRAKOSO</t>
  </si>
  <si>
    <t>2090</t>
  </si>
  <si>
    <t>ERIK FIRMANSYAH</t>
  </si>
  <si>
    <t>2010</t>
  </si>
  <si>
    <t>ERIK OKTAIL</t>
  </si>
  <si>
    <t>1951</t>
  </si>
  <si>
    <t>FAHMI HIDAYATULLAH</t>
  </si>
  <si>
    <t>1961</t>
  </si>
  <si>
    <t>FAIZAL AKBARI</t>
  </si>
  <si>
    <t>1982</t>
  </si>
  <si>
    <t xml:space="preserve">FARHAN  ARHIMSYAH</t>
  </si>
  <si>
    <t>1987</t>
  </si>
  <si>
    <t>FARIZ ZULFIKAR</t>
  </si>
  <si>
    <t>1376</t>
  </si>
  <si>
    <t>FRASTIAN WIRATMAN</t>
  </si>
  <si>
    <t>2503</t>
  </si>
  <si>
    <t>GAGAH TRIJULIANTO PUTRA.S</t>
  </si>
  <si>
    <t>2009</t>
  </si>
  <si>
    <t>GLORI SELLA</t>
  </si>
  <si>
    <t>1835</t>
  </si>
  <si>
    <t>HARI SETIYAWAN</t>
  </si>
  <si>
    <t>2329</t>
  </si>
  <si>
    <t>HARIS SETIAWAN</t>
  </si>
  <si>
    <t>2273</t>
  </si>
  <si>
    <t>HARY HARYADI</t>
  </si>
  <si>
    <t>1955</t>
  </si>
  <si>
    <t>HELA PRASETYAYUDA HUSADA</t>
  </si>
  <si>
    <t>1378</t>
  </si>
  <si>
    <t>HENDRO WAHYUDI</t>
  </si>
  <si>
    <t>HERU LAKSONO PUTRO</t>
  </si>
  <si>
    <t>1654</t>
  </si>
  <si>
    <t>2585</t>
  </si>
  <si>
    <t>HOIRI</t>
  </si>
  <si>
    <t>1780</t>
  </si>
  <si>
    <t>INDRA JUNIARTO</t>
  </si>
  <si>
    <t>2086</t>
  </si>
  <si>
    <t>IRAWAN SUNASTYO</t>
  </si>
  <si>
    <t>1650</t>
  </si>
  <si>
    <t>1166</t>
  </si>
  <si>
    <t>1828</t>
  </si>
  <si>
    <t xml:space="preserve">ISMAN HADI </t>
  </si>
  <si>
    <t>1986</t>
  </si>
  <si>
    <t>IVAN VERDIANTO</t>
  </si>
  <si>
    <t>1655</t>
  </si>
  <si>
    <t>JANUAR CATUR WAHYU PRASTIYO</t>
  </si>
  <si>
    <t>JOHAN KURNIAWAN</t>
  </si>
  <si>
    <t>1953</t>
  </si>
  <si>
    <t>JOKO WIYONO</t>
  </si>
  <si>
    <t>2505</t>
  </si>
  <si>
    <t>JUMAT</t>
  </si>
  <si>
    <t>2523</t>
  </si>
  <si>
    <t>JUNI DWI RIADI</t>
  </si>
  <si>
    <t>2389</t>
  </si>
  <si>
    <t>KEVIN DWI CAHYO</t>
  </si>
  <si>
    <t>1652</t>
  </si>
  <si>
    <t>KOMANG BUDI DHARMA MARIADINATA</t>
  </si>
  <si>
    <t>1557</t>
  </si>
  <si>
    <t>KRISTIAN PRASETYA INDRA</t>
  </si>
  <si>
    <t>2328</t>
  </si>
  <si>
    <t>KUFWANI</t>
  </si>
  <si>
    <t>KUSLAN</t>
  </si>
  <si>
    <t>1783</t>
  </si>
  <si>
    <t>M SABILIN HUDAH</t>
  </si>
  <si>
    <t>M. ABDUL MUSTOFA</t>
  </si>
  <si>
    <t>2424</t>
  </si>
  <si>
    <t>M. IKHWANUL KHAQMI</t>
  </si>
  <si>
    <t>2087</t>
  </si>
  <si>
    <t>M. JUNAIDI A</t>
  </si>
  <si>
    <t>1958</t>
  </si>
  <si>
    <t>MARTHA DIANSWARA</t>
  </si>
  <si>
    <t>2012</t>
  </si>
  <si>
    <t>MASRIP</t>
  </si>
  <si>
    <t>2502</t>
  </si>
  <si>
    <t>MEDY CAHYONO</t>
  </si>
  <si>
    <t>1952</t>
  </si>
  <si>
    <t>MIFTACHUL IHSAN</t>
  </si>
  <si>
    <t>1959</t>
  </si>
  <si>
    <t>MIFTACHUR ROZZAQ</t>
  </si>
  <si>
    <t>0619</t>
  </si>
  <si>
    <t>MIFTAKHUL ARIS MUSTOFA</t>
  </si>
  <si>
    <t>1989</t>
  </si>
  <si>
    <t>MOCH ANDREANSYAH</t>
  </si>
  <si>
    <t>1559</t>
  </si>
  <si>
    <t>0866</t>
  </si>
  <si>
    <t>MOCH MAULVY AZIZ</t>
  </si>
  <si>
    <t>2042</t>
  </si>
  <si>
    <t>MOCH ZAINI</t>
  </si>
  <si>
    <t>1219</t>
  </si>
  <si>
    <t>MOCH. SYAHKUR ROHMAN</t>
  </si>
  <si>
    <t>1888</t>
  </si>
  <si>
    <t>MOCHAMAD ABDUL SHOMAD HAROMAN</t>
  </si>
  <si>
    <t>MOCHAMAD NORCHOLIK</t>
  </si>
  <si>
    <t>2005</t>
  </si>
  <si>
    <t>MOCHAMAD NUR BAHARSYAH</t>
  </si>
  <si>
    <t>1827</t>
  </si>
  <si>
    <t>MOCHAMAD SUSANTO</t>
  </si>
  <si>
    <t>0736</t>
  </si>
  <si>
    <t>MOCHAMMAD AZWAR RIZAL ROMADLON</t>
  </si>
  <si>
    <t>2004</t>
  </si>
  <si>
    <t>MOCHAMMAD RIFAI</t>
  </si>
  <si>
    <t>2088</t>
  </si>
  <si>
    <t>MOH. HARIS</t>
  </si>
  <si>
    <t>2003</t>
  </si>
  <si>
    <t xml:space="preserve">MOHAMMAD GHUFRON </t>
  </si>
  <si>
    <t>1560</t>
  </si>
  <si>
    <t>1736</t>
  </si>
  <si>
    <t>MOKH RIDUWAN</t>
  </si>
  <si>
    <t>1418</t>
  </si>
  <si>
    <t>1876</t>
  </si>
  <si>
    <t xml:space="preserve">MUHAMMAD SUBANDI </t>
  </si>
  <si>
    <t>2341</t>
  </si>
  <si>
    <t>MUNANDAR</t>
  </si>
  <si>
    <t>1834</t>
  </si>
  <si>
    <t xml:space="preserve">NANANG YUDO ASMORO </t>
  </si>
  <si>
    <t>NAUVAL ADJI KRAMA RIZQI R</t>
  </si>
  <si>
    <t>2390</t>
  </si>
  <si>
    <t>NOVEL TAUFAN</t>
  </si>
  <si>
    <t>1174</t>
  </si>
  <si>
    <t>2061</t>
  </si>
  <si>
    <t>NURKHOLIS</t>
  </si>
  <si>
    <t>2665</t>
  </si>
  <si>
    <t>NYOTO PURWANTO</t>
  </si>
  <si>
    <t>1784</t>
  </si>
  <si>
    <t>OKZADEA ARGANATA</t>
  </si>
  <si>
    <t>2079</t>
  </si>
  <si>
    <t>RACHMAD ARIANTO</t>
  </si>
  <si>
    <t>2422</t>
  </si>
  <si>
    <t>REZA BOBY SUSANTO</t>
  </si>
  <si>
    <t>1826</t>
  </si>
  <si>
    <t>REZA FARRIAN ANGGA</t>
  </si>
  <si>
    <t>1651</t>
  </si>
  <si>
    <t>2277</t>
  </si>
  <si>
    <t>RIZAL ANANDHITA</t>
  </si>
  <si>
    <t>2504</t>
  </si>
  <si>
    <t>RIZAL ARISYANTO</t>
  </si>
  <si>
    <t>1413</t>
  </si>
  <si>
    <t>RIZAL SYAHPUTRA</t>
  </si>
  <si>
    <t>2348</t>
  </si>
  <si>
    <t>ROBBY RACHMAT ISMAIL</t>
  </si>
  <si>
    <t>2083</t>
  </si>
  <si>
    <t>ROCMAD JUNIARTO</t>
  </si>
  <si>
    <t>1269</t>
  </si>
  <si>
    <t>2080</t>
  </si>
  <si>
    <t>RUDI UTOMO PUTRO</t>
  </si>
  <si>
    <t>2659</t>
  </si>
  <si>
    <t>SAMSUL</t>
  </si>
  <si>
    <t>1558</t>
  </si>
  <si>
    <t>1950</t>
  </si>
  <si>
    <t>SATUWI</t>
  </si>
  <si>
    <t>2177</t>
  </si>
  <si>
    <t>SOEKARNO</t>
  </si>
  <si>
    <t>1415</t>
  </si>
  <si>
    <t>SONI RAKHMAT</t>
  </si>
  <si>
    <t>2039</t>
  </si>
  <si>
    <t>SUDJARWOKO</t>
  </si>
  <si>
    <t>1875</t>
  </si>
  <si>
    <t xml:space="preserve">SUDORI </t>
  </si>
  <si>
    <t>1201</t>
  </si>
  <si>
    <t>SUJOKO</t>
  </si>
  <si>
    <t>1833</t>
  </si>
  <si>
    <t>SULIS SETYAWAN</t>
  </si>
  <si>
    <t>2345</t>
  </si>
  <si>
    <t>SUNARYO</t>
  </si>
  <si>
    <t>2522</t>
  </si>
  <si>
    <t>SUPRIYONO</t>
  </si>
  <si>
    <t>2428</t>
  </si>
  <si>
    <t>SUYANTO</t>
  </si>
  <si>
    <t>1782</t>
  </si>
  <si>
    <t>TAUFIK HUSEN</t>
  </si>
  <si>
    <t>2497</t>
  </si>
  <si>
    <t>TAUFIK TAUFANI</t>
  </si>
  <si>
    <t>2347</t>
  </si>
  <si>
    <t>THOMAS SANTOSO</t>
  </si>
  <si>
    <t>2661</t>
  </si>
  <si>
    <t>TRI LAKSONO</t>
  </si>
  <si>
    <t>1273</t>
  </si>
  <si>
    <t>TRI WIDODO</t>
  </si>
  <si>
    <t>1414</t>
  </si>
  <si>
    <t>TRI WISNU WIJAYANTO</t>
  </si>
  <si>
    <t>2092</t>
  </si>
  <si>
    <t>UUN PRASTIANTORO</t>
  </si>
  <si>
    <t>0868</t>
  </si>
  <si>
    <t>WAHYU BUDI SANTOSO</t>
  </si>
  <si>
    <t>1831</t>
  </si>
  <si>
    <t>WAHYU HIDAYAT</t>
  </si>
  <si>
    <t>2085</t>
  </si>
  <si>
    <t>WAHYU ROY RACHMAN</t>
  </si>
  <si>
    <t>2097</t>
  </si>
  <si>
    <t>WIWIT SUGIANTO</t>
  </si>
  <si>
    <t>2006</t>
  </si>
  <si>
    <t>YUSA EKA MULIASIDI</t>
  </si>
  <si>
    <t>1027</t>
  </si>
  <si>
    <t>YUSUF RSA LIFERE</t>
  </si>
  <si>
    <t>2007</t>
  </si>
  <si>
    <t>ZEZAR PRIHANTORO</t>
  </si>
  <si>
    <t>1291</t>
  </si>
  <si>
    <t>ZULFADRI</t>
  </si>
  <si>
    <t>2669</t>
  </si>
  <si>
    <t>CATUR SEBASTIAN</t>
  </si>
  <si>
    <t>2719</t>
  </si>
  <si>
    <t>FARHAN DHIKA HAMAZ YONANDA</t>
  </si>
  <si>
    <t>2720</t>
  </si>
  <si>
    <t>2662</t>
  </si>
  <si>
    <t>SUPENDIK</t>
  </si>
  <si>
    <t>2663</t>
  </si>
  <si>
    <t xml:space="preserve">HENDRIX ANDOKO </t>
  </si>
  <si>
    <t>2666</t>
  </si>
  <si>
    <t>MISBAHUDDIN</t>
  </si>
  <si>
    <t>ANDRIAN SUAWA</t>
  </si>
  <si>
    <t>JUWANDI</t>
  </si>
  <si>
    <t>2667</t>
  </si>
  <si>
    <t>ROFID HERIFANDI</t>
  </si>
  <si>
    <t>DRIVER SAKIT/MENINGGAL</t>
  </si>
  <si>
    <t>2668</t>
  </si>
  <si>
    <t>ARIEP FEBRIYANTO</t>
  </si>
  <si>
    <t>Resign per tgl 27 juli 2021</t>
  </si>
  <si>
    <t>1648</t>
  </si>
  <si>
    <t>Periode Bulan Juli 2021</t>
  </si>
  <si>
    <t>ABDULLAH MUFIT MUBAROK</t>
  </si>
  <si>
    <t>16 Apr-21</t>
  </si>
  <si>
    <t>2132</t>
  </si>
  <si>
    <t>ADITYA JAYA RATNA SAPUTRA</t>
  </si>
  <si>
    <t>2570</t>
  </si>
  <si>
    <t>AKHMAD ALI SYAIFUDDIN</t>
  </si>
  <si>
    <t>2572</t>
  </si>
  <si>
    <t>ANANG HIDAYAT</t>
  </si>
  <si>
    <t>2335</t>
  </si>
  <si>
    <t>IDRIS SUKAMTO</t>
  </si>
  <si>
    <t>2525</t>
  </si>
  <si>
    <t>M JUNAEDI ABDILAH</t>
  </si>
  <si>
    <t>2421</t>
  </si>
  <si>
    <t>NURHUDA</t>
  </si>
  <si>
    <t>2573</t>
  </si>
  <si>
    <t>RIO JULISTIAWAN</t>
  </si>
  <si>
    <t>SAIFUL EFENDI</t>
  </si>
  <si>
    <t>SUTIONO</t>
  </si>
  <si>
    <t>2571</t>
  </si>
  <si>
    <t>TONI HARIYANTO</t>
  </si>
  <si>
    <t>ZAINAL WAHYUDI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</si>
</sst>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\-??_);_(@_)"/>
    <numFmt numFmtId="165" formatCode="_-* #,##0\ _D_M_-;\-* #,##0\ _D_M_-;_-* &quot;-&quot;\ _D_M_-;_-@_-"/>
    <numFmt numFmtId="166" formatCode="_-&quot;£&quot;* #,##0.00_-;\-&quot;£&quot;* #,##0.00_-;_-&quot;£&quot;* &quot;-&quot;??_-;_-@_-"/>
    <numFmt numFmtId="167" formatCode="#,###,;[Red]\(#,###,\)"/>
    <numFmt numFmtId="168" formatCode="#,##0.00\ &quot;$&quot;_);\(#,##0.00\ &quot;$&quot;\)"/>
    <numFmt numFmtId="169" formatCode="_-&quot;ñ&quot;* #,##0_-;\-&quot;ñ&quot;* #,##0_-;_-&quot;ñ&quot;* &quot;-&quot;_-;_-@_-"/>
    <numFmt numFmtId="170" formatCode="_ \¥* #,##0.00_ ;_ \¥* \-#,##0.00_ ;_ \¥* &quot;-&quot;??_ ;_ @_ "/>
    <numFmt numFmtId="171" formatCode="\¥#,##0;[Red]\¥\-#,##0"/>
    <numFmt numFmtId="172" formatCode="_ \¥* #,##0_ ;_ \¥* \-#,##0_ ;_ \¥* &quot;-&quot;_ ;_ @_ "/>
    <numFmt numFmtId="173" formatCode="#,##0.00\ "/>
    <numFmt numFmtId="174" formatCode="#,##0."/>
    <numFmt numFmtId="175" formatCode="#,##0\ &quot;DM&quot;;\-#,##0\ &quot;DM&quot;"/>
    <numFmt numFmtId="176" formatCode="&quot;\&quot;#,##0;[Red]&quot;\&quot;&quot;\&quot;\-#,##0"/>
    <numFmt numFmtId="177" formatCode="\¥#,##0;\¥\-#,##0"/>
    <numFmt numFmtId="178" formatCode="_ * #,##0_ ;_ * \-#,##0_ ;_ * &quot;-&quot;_ ;_ @_ "/>
    <numFmt numFmtId="179" formatCode="\¥#,##0.00;\¥\-\¥#,##0.00"/>
    <numFmt numFmtId="180" formatCode="###0.000000_);[Red]\(###0.000000\)"/>
    <numFmt numFmtId="181" formatCode="\¥#,##0.00;[Red]\-\¥#,##0.00"/>
    <numFmt numFmtId="182" formatCode="#,##0.;[Red]\(#,##0.\);&quot;- &quot;"/>
    <numFmt numFmtId="183" formatCode=";;;"/>
    <numFmt numFmtId="184" formatCode="_-&quot;$&quot;* #,##0_-;\-&quot;$&quot;* #,##0_-;_-&quot;$&quot;* &quot;-&quot;_-;_-@_-"/>
    <numFmt numFmtId="185" formatCode="_(* #,##0.0000000_);_(* \(#,##0.0000000\);_(* &quot;-&quot;??_);_(@_)"/>
    <numFmt numFmtId="186" formatCode="0%;\(0%\)"/>
    <numFmt numFmtId="187" formatCode="_-* #,##0.00_ñ_-;\-* #,##0.00_ñ_-;_-* &quot;-&quot;??_ñ_-;_-@_-"/>
    <numFmt numFmtId="188" formatCode="#,##0&quot;$&quot;_);[Red]\(#,##0&quot;$&quot;\)"/>
    <numFmt numFmtId="189" formatCode="_-* #,##0\ _$_-;\-* #,##0\ _$_-;_-* &quot;-&quot;\ _$_-;_-@_-"/>
    <numFmt numFmtId="190" formatCode="_ * #,##0.00_ ;_ * \-#,##0.00_ ;_ * &quot;-&quot;??_ ;_ @_ "/>
    <numFmt numFmtId="191" formatCode="_ * #,##0_)&quot;$&quot;_ ;_ * \(#,##0\)&quot;$&quot;_ ;_ * &quot;-&quot;_)&quot;$&quot;_ ;_ @_ "/>
    <numFmt numFmtId="192" formatCode="h:mm;@"/>
    <numFmt numFmtId="193" formatCode="&quot;$&quot;#,##0._);[Red]\(&quot;$&quot;#,##0.\)"/>
    <numFmt numFmtId="194" formatCode="_-* #,##0\ _F_-;\-* #,##0\ _F_-;_-* &quot;-&quot;\ _F_-;_-@_-"/>
    <numFmt numFmtId="195" formatCode="0.00_)"/>
    <numFmt numFmtId="196" formatCode="&quot;$&quot;#,##0,_);[Red]\(&quot;$&quot;#,##0,\)"/>
    <numFmt numFmtId="197" formatCode="0.0%;[Red]\(0.0%\);&quot;-  &quot;"/>
    <numFmt numFmtId="198" formatCode="#,##0,;[Red]\(#,##0,\);&quot;- &quot;"/>
    <numFmt numFmtId="199" formatCode="_-* #,##0.00\ _F_-;\-* #,##0.00\ _F_-;_-* &quot;-&quot;??\ _F_-;_-@_-"/>
    <numFmt numFmtId="200" formatCode="#,##0.00\ \ "/>
    <numFmt numFmtId="201" formatCode="_(&quot;$&quot;\ * #,##0_);_(&quot;$&quot;\ * \(#,##0\);_(&quot;$&quot;\ * &quot;-&quot;_);_(@_)"/>
    <numFmt numFmtId="202" formatCode="#,##0\ &quot;FB&quot;;\-#,##0\ &quot;FB&quot;"/>
    <numFmt numFmtId="203" formatCode="_ * #,##0_ ;_ * \-#,##0_ ;_ * &quot;-&quot;??_ ;_ @_ "/>
    <numFmt numFmtId="204" formatCode="\¥#,##0;\¥\-\¥#,##0"/>
    <numFmt numFmtId="205" formatCode="#,##0_);[Red]\(#,##0\);&quot;-  &quot;"/>
    <numFmt numFmtId="206" formatCode="_-* #,##0_-;\-* #,##0_-;_-* &quot;-&quot;_-;_-@_-"/>
    <numFmt numFmtId="207" formatCode="_-* #,##0.00\ _V_N_D_-;\-* #,##0.00\ _V_N_D_-;_-* &quot;-&quot;??\ _V_N_D_-;_-@_-"/>
    <numFmt numFmtId="208" formatCode="#,###.;[Red]\(#,###.\)"/>
    <numFmt numFmtId="209" formatCode="#,##0.00\ &quot;FB&quot;;\-#,##0.00\ &quot;FB&quot;"/>
    <numFmt numFmtId="210" formatCode="0\ \ \ \ "/>
    <numFmt numFmtId="211" formatCode="_-* #,##0.00_-;\-* #,##0.00_-;_-* &quot;-&quot;??_-;_-@_-"/>
    <numFmt numFmtId="212" formatCode="#,##0.00\ &quot;F&quot;;[Red]\-#,##0.00\ &quot;F&quot;"/>
    <numFmt numFmtId="213" formatCode="_-* #,##0.00\ _ñ_-;\-* #,##0.00\ _ñ_-;_-* &quot;-&quot;??\ _ñ_-;_-@_-"/>
    <numFmt numFmtId="214" formatCode="\¥#,##0.00;[Red]\¥\-#,##0.00"/>
    <numFmt numFmtId="215" formatCode="_-* #,##0\ &quot;F&quot;_-;\-* #,##0\ &quot;F&quot;_-;_-* &quot;-&quot;\ &quot;F&quot;_-;_-@_-"/>
    <numFmt numFmtId="216" formatCode="_-* #,##0.0\ _F_-;\-* #,##0.0\ _F_-;_-* &quot;-&quot;??\ _F_-;_-@_-"/>
    <numFmt numFmtId="217" formatCode="_-&quot;?&quot;* #,##0_-;\-&quot;?&quot;* #,##0_-;_-&quot;?&quot;* &quot;-&quot;_-;_-@_-"/>
    <numFmt numFmtId="218" formatCode="_-&quot;?&quot;* #,##0.00_-;\-&quot;?&quot;* #,##0.00_-;_-&quot;?&quot;* &quot;-&quot;??_-;_-@_-"/>
    <numFmt numFmtId="219" formatCode="_(* #,##0_);_(* \(#,##0\);_(* &quot;-&quot;??_);_(@_)"/>
    <numFmt numFmtId="220" formatCode="_-* #,##0\ &quot;$&quot;_-;\-* #,##0\ &quot;$&quot;_-;_-* &quot;-&quot;\ &quot;$&quot;_-;_-@_-"/>
    <numFmt numFmtId="221" formatCode="_-* #,##0\ _V_N_D_-;\-* #,##0\ _V_N_D_-;_-* &quot;-&quot;\ _V_N_D_-;_-@_-"/>
    <numFmt numFmtId="222" formatCode="_-* #,##0_ñ_-;\-* #,##0_ñ_-;_-* &quot;-&quot;_ñ_-;_-@_-"/>
    <numFmt numFmtId="223" formatCode="_-* #,##0\ &quot;ñ&quot;_-;\-* #,##0\ &quot;ñ&quot;_-;_-* &quot;-&quot;\ &quot;ñ&quot;_-;_-@_-"/>
    <numFmt numFmtId="224" formatCode="General_)"/>
    <numFmt numFmtId="225" formatCode="_-* #,##0.00\ _€_-;\-* #,##0.00\ _€_-;_-* &quot;-&quot;??\ _€_-;_-@_-"/>
    <numFmt numFmtId="226" formatCode="#,##0\ &quot;FB&quot;;[Red]\-#,##0\ &quot;FB&quot;"/>
    <numFmt numFmtId="227" formatCode="_-* #,##0\ _ñ_-;\-* #,##0\ _ñ_-;_-* &quot;-&quot;\ _ñ_-;_-@_-"/>
    <numFmt numFmtId="228" formatCode="0.0%;[Red]\(0.0%\);&quot; &quot;"/>
    <numFmt numFmtId="229" formatCode="_(* #,##0.00_);_(* \(#,##0.00\);_(* \-??_);_(@_)"/>
    <numFmt numFmtId="230" formatCode="#,##0_);[Red]\(#,##0\);&quot;&quot;"/>
    <numFmt numFmtId="231" formatCode="#,##0.00;[Red]#,##0.00"/>
    <numFmt numFmtId="232" formatCode="0.000000%"/>
    <numFmt numFmtId="233" formatCode="&quot;\&quot;#,##0;[Red]&quot;\&quot;\-#,##0"/>
    <numFmt numFmtId="234" formatCode="_-&quot;$&quot;* #,##0.00_-;\-&quot;$&quot;* #,##0.00_-;_-&quot;$&quot;* &quot;-&quot;??_-;_-@_-"/>
    <numFmt numFmtId="235" formatCode="#,##0.00\ &quot;$&quot;_);[Red]\(#,##0.00\ &quot;$&quot;\)"/>
    <numFmt numFmtId="236" formatCode="_(* #,##0.00000000_);_(* \(#,##0.00000000\);_(* &quot;-&quot;??_);_(@_)"/>
    <numFmt numFmtId="237" formatCode="_-* #,##0\ &quot;Pts&quot;_-;\-* #,##0\ &quot;Pts&quot;_-;_-* &quot;-&quot;\ &quot;Pts&quot;_-;_-@_-"/>
    <numFmt numFmtId="238" formatCode="#,##0.00\ &quot;FB&quot;;[Red]\-#,##0.00\ &quot;FB&quot;"/>
    <numFmt numFmtId="239" formatCode="#,##0.0_);\(#,##0.0\)"/>
    <numFmt numFmtId="240" formatCode="_ * #,##0.00_)_d_ ;_ * \(#,##0.00\)_d_ ;_ * &quot;-&quot;??_)_d_ ;_ @_ "/>
    <numFmt numFmtId="241" formatCode="[$-421]General"/>
    <numFmt numFmtId="242" formatCode="_-* #,##0.00\ &quot;F&quot;_-;\-* #,##0.00\ &quot;F&quot;_-;_-* &quot;-&quot;??\ &quot;F&quot;_-;_-@_-"/>
    <numFmt numFmtId="243" formatCode="_-* #,##0.00\ _D_M_-;\-* #,##0.00\ _D_M_-;_-* &quot;-&quot;??\ _D_M_-;_-@_-"/>
    <numFmt numFmtId="244" formatCode="&quot;$&quot;#,##0.00;[Red]\-&quot;$&quot;#,##0.00"/>
    <numFmt numFmtId="245" formatCode="#,##0.000"/>
    <numFmt numFmtId="246" formatCode="_-* #,##0_-;\-* #,##0_-;_-* &quot;-&quot;??_-;_-@_-"/>
    <numFmt numFmtId="247" formatCode="_([$€]* #,##0.00_);_([$€]* \(#,##0.00\);_([$€]* &quot;-&quot;??_);_(@_)"/>
    <numFmt numFmtId="248" formatCode="_-* #,##0.00\ [$€]_-;\-* #,##0.00\ [$€]_-;_-* &quot;-&quot;??\ [$€]_-;_-@_-"/>
    <numFmt numFmtId="249" formatCode="[$-409]General"/>
    <numFmt numFmtId="250" formatCode="_-* #,##0\ _P_t_s_-;\-* #,##0\ _P_t_s_-;_-* &quot;-&quot;\ _P_t_s_-;_-@_-"/>
    <numFmt numFmtId="251" formatCode="_-* #,##0.00\ _P_t_s_-;\-* #,##0.00\ _P_t_s_-;_-* &quot;-&quot;??\ _P_t_s_-;_-@_-"/>
    <numFmt numFmtId="252" formatCode="_-* #,##0.00\ &quot;Pts&quot;_-;\-* #,##0.00\ &quot;Pts&quot;_-;_-* &quot;-&quot;??\ &quot;Pts&quot;_-;_-@_-"/>
    <numFmt numFmtId="253" formatCode="_-* #,##0.00\ &quot;€&quot;_-;\-* #,##0.00\ &quot;€&quot;_-;_-* &quot;-&quot;??\ &quot;€&quot;_-;_-@_-"/>
    <numFmt numFmtId="254" formatCode="[$-409]d\-mmm\-yy;@"/>
    <numFmt numFmtId="255" formatCode="&quot;£&quot;#,##0;[Red]\-&quot;£&quot;#,##0"/>
    <numFmt numFmtId="256" formatCode="&quot;£&quot;#,##0.00;[Red]\-&quot;£&quot;#,##0.00"/>
    <numFmt numFmtId="257" formatCode="#,##0.00\ \ \ "/>
    <numFmt numFmtId="258" formatCode="_-* #,##0\ &quot;DM&quot;_-;\-* #,##0\ &quot;DM&quot;_-;_-* &quot;-&quot;\ &quot;DM&quot;_-;_-@_-"/>
    <numFmt numFmtId="259" formatCode="_-* #,##0.00\ &quot;DM&quot;_-;\-* #,##0.00\ &quot;DM&quot;_-;_-* &quot;-&quot;??\ &quot;DM&quot;_-;_-@_-"/>
    <numFmt numFmtId="260" formatCode="_-&quot;￡&quot;* #,##0.00_-;\-&quot;￡&quot;* #,##0.00_-;_-&quot;￡&quot;* &quot;-&quot;??_-;_-@_-"/>
    <numFmt numFmtId="261" formatCode="_-&quot;￡&quot;* #,##0_-;\-&quot;￡&quot;* #,##0_-;_-&quot;￡&quot;* &quot;-&quot;_-;_-@_-"/>
    <numFmt numFmtId="262" formatCode="_-&quot;F&quot;* #,##0_-;\-&quot;F&quot;* #,##0_-;_-&quot;F&quot;* &quot;-&quot;_-;_-@_-"/>
    <numFmt numFmtId="263" formatCode="_-&quot;F&quot;* #,##0.00_-;\-&quot;F&quot;* #,##0.00_-;_-&quot;F&quot;* &quot;-&quot;??_-;_-@_-"/>
    <numFmt numFmtId="264" formatCode="00000"/>
  </numFmts>
  <fonts count="284">
    <font>
      <sz val="11"/>
      <color indexed="8"/>
      <name val="Calibri"/>
      <charset val="134"/>
    </font>
    <font>
      <sz val="11"/>
      <color indexed="8"/>
      <name val="Calibri"/>
      <family val="2"/>
    </font>
    <font>
      <sz val="8"/>
      <color indexed="10"/>
      <name val="Calibri"/>
      <family val="2"/>
    </font>
    <font>
      <b/>
      <sz val="8"/>
      <color indexed="10"/>
      <name val="Calibri"/>
      <family val="2"/>
    </font>
    <font>
      <sz val="12"/>
      <color indexed="8"/>
      <name val="Calibri"/>
      <family val="2"/>
    </font>
    <font>
      <b/>
      <sz val="10"/>
      <color indexed="10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indexed="8"/>
      <name val="Calibri"/>
      <family val="2"/>
    </font>
    <font>
      <b/>
      <sz val="18"/>
      <color indexed="8"/>
      <name val="Calibri"/>
      <family val="2"/>
    </font>
    <font>
      <b/>
      <sz val="14"/>
      <name val="Calibri"/>
      <family val="2"/>
    </font>
    <font>
      <b/>
      <sz val="14"/>
      <color indexed="8"/>
      <name val="Calibri"/>
      <family val="2"/>
    </font>
    <font>
      <sz val="14"/>
      <name val="Calibri"/>
      <family val="2"/>
    </font>
    <font>
      <sz val="14"/>
      <color indexed="8"/>
      <name val="Calibri"/>
      <family val="2"/>
    </font>
    <font>
      <b/>
      <sz val="16"/>
      <color indexed="8"/>
      <name val="Calibri"/>
      <family val="2"/>
    </font>
    <font>
      <b/>
      <i/>
      <sz val="8"/>
      <color indexed="10"/>
      <name val="Calibri"/>
      <family val="2"/>
    </font>
    <font>
      <b/>
      <sz val="24"/>
      <color indexed="8"/>
      <name val="Calibri"/>
      <family val="2"/>
    </font>
    <font>
      <b/>
      <sz val="20"/>
      <color indexed="8"/>
      <name val="Calibri"/>
      <family val="2"/>
    </font>
    <font>
      <b/>
      <sz val="72"/>
      <color indexed="8"/>
      <name val="Calibri"/>
      <family val="2"/>
    </font>
    <font>
      <b/>
      <sz val="35"/>
      <color indexed="8"/>
      <name val="Calibri"/>
      <family val="2"/>
    </font>
    <font>
      <sz val="8"/>
      <name val="Calibri"/>
      <family val="2"/>
    </font>
    <font>
      <b/>
      <sz val="48"/>
      <color indexed="8"/>
      <name val="Calibri"/>
      <family val="2"/>
    </font>
    <font>
      <b/>
      <sz val="8"/>
      <color rgb="FFFF0000"/>
      <name val="Calibri"/>
      <family val="2"/>
    </font>
    <font>
      <b/>
      <sz val="20"/>
      <color rgb="FFFF0000"/>
      <name val="Calibri"/>
      <family val="2"/>
    </font>
    <font>
      <sz val="8"/>
      <color indexed="8"/>
      <name val="Arial"/>
      <family val="2"/>
    </font>
    <font>
      <b/>
      <i/>
      <sz val="8"/>
      <color indexed="60"/>
      <name val="Calibri"/>
      <family val="2"/>
    </font>
    <font>
      <b/>
      <sz val="11"/>
      <color indexed="10"/>
      <name val="Tahoma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i/>
      <sz val="11"/>
      <color rgb="FFFF0000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8"/>
      <color theme="0" tint="-0.14932706686605426"/>
      <name val="Calibri"/>
      <family val="2"/>
    </font>
    <font>
      <b/>
      <sz val="8"/>
      <color indexed="9"/>
      <name val="Calibri"/>
      <family val="2"/>
    </font>
    <font>
      <b/>
      <sz val="8"/>
      <color indexed="9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Calibri"/>
      <family val="2"/>
    </font>
    <font>
      <b/>
      <sz val="8"/>
      <color theme="1"/>
      <name val="Calibri"/>
      <family val="2"/>
    </font>
    <font>
      <sz val="8"/>
      <color indexed="9"/>
      <name val="Calibri"/>
      <family val="2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i/>
      <sz val="8"/>
      <color theme="1"/>
      <name val="Calibri"/>
      <family val="2"/>
    </font>
    <font>
      <sz val="8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theme="1"/>
      <name val="Calibri"/>
      <family val="2"/>
    </font>
    <font>
      <sz val="8"/>
      <color rgb="FFFF0000"/>
      <name val="Arial"/>
      <family val="2"/>
    </font>
    <font>
      <i/>
      <sz val="11"/>
      <color theme="1"/>
      <name val="Calibri"/>
      <family val="2"/>
    </font>
    <font>
      <b/>
      <sz val="8"/>
      <color indexed="8"/>
      <name val="Arial"/>
      <family val="2"/>
    </font>
    <font>
      <b/>
      <i/>
      <sz val="8"/>
      <color rgb="FFFF0000"/>
      <name val="Calibri"/>
      <family val="2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0" tint="-0.14941862239448225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indexed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0" tint="-0.14935758537553026"/>
      <name val="Calibri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i/>
      <sz val="8"/>
      <name val="Calibri"/>
      <family val="2"/>
    </font>
    <font>
      <sz val="8"/>
      <color theme="0" tint="-0.14960173345133823"/>
      <name val="Calibri"/>
      <family val="2"/>
    </font>
    <font>
      <sz val="8"/>
      <color theme="0" tint="-0.14957121494186223"/>
      <name val="Calibri"/>
      <family val="2"/>
    </font>
    <font>
      <sz val="8"/>
      <color theme="0" tint="-0.14938810388500626"/>
      <name val="Calibri"/>
      <family val="2"/>
    </font>
    <font>
      <b/>
      <sz val="8"/>
      <color theme="1"/>
      <name val="Arial"/>
      <family val="2"/>
    </font>
    <font>
      <sz val="20"/>
      <color indexed="8"/>
      <name val="Calibri"/>
      <family val="2"/>
    </font>
    <font>
      <b/>
      <i/>
      <sz val="8"/>
      <color theme="1"/>
      <name val="Arial"/>
      <family val="2"/>
    </font>
    <font>
      <sz val="8"/>
      <color indexed="9"/>
      <name val="Arial"/>
      <family val="2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8"/>
      <color theme="0" tint="-0.14935758537553026"/>
      <name val="Arial"/>
      <family val="2"/>
    </font>
    <font>
      <sz val="20"/>
      <color indexed="8"/>
      <name val="Arial"/>
      <family val="2"/>
    </font>
    <font>
      <sz val="10"/>
      <name val="Arial"/>
      <family val="2"/>
    </font>
    <font>
      <sz val="10"/>
      <name val="VNI-Times"/>
      <charset val="134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11"/>
      <name val="??"/>
      <charset val="134"/>
    </font>
    <font>
      <u/>
      <sz val="8.25"/>
      <color indexed="12"/>
      <name val="MS P????"/>
      <charset val="134"/>
    </font>
    <font>
      <sz val="12"/>
      <name val="Vni-times"/>
      <charset val="134"/>
    </font>
    <font>
      <sz val="11"/>
      <color indexed="52"/>
      <name val="Calibri"/>
      <family val="2"/>
    </font>
    <font>
      <sz val="10"/>
      <color indexed="9"/>
      <name val="Arial"/>
      <family val="2"/>
    </font>
    <font>
      <u/>
      <sz val="8.25"/>
      <color indexed="36"/>
      <name val="?? ?????"/>
      <charset val="134"/>
    </font>
    <font>
      <sz val="8"/>
      <name val="Tahoma"/>
      <family val="2"/>
    </font>
    <font>
      <u/>
      <sz val="8.25"/>
      <color indexed="36"/>
      <name val="lr oSVbN"/>
      <charset val="134"/>
    </font>
    <font>
      <b/>
      <sz val="13"/>
      <color indexed="56"/>
      <name val="Calibri"/>
      <family val="2"/>
    </font>
    <font>
      <sz val="11"/>
      <color indexed="17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1"/>
      <name val="MS P????"/>
      <charset val="134"/>
    </font>
    <font>
      <b/>
      <sz val="10"/>
      <color indexed="52"/>
      <name val="Calibri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u/>
      <sz val="8.25"/>
      <color indexed="36"/>
      <name val="MS P????"/>
      <charset val="134"/>
    </font>
    <font>
      <sz val="14"/>
      <name val="Cordia New"/>
      <family val="2"/>
    </font>
    <font>
      <sz val="10"/>
      <name val="Helv"/>
      <charset val="134"/>
    </font>
    <font>
      <b/>
      <sz val="10"/>
      <name val="Helv"/>
      <charset val="134"/>
    </font>
    <font>
      <sz val="8"/>
      <name val="Verdana"/>
      <family val="2"/>
    </font>
    <font>
      <sz val="10"/>
      <color indexed="62"/>
      <name val="Calibri"/>
      <family val="2"/>
    </font>
    <font>
      <sz val="11"/>
      <name val="・・"/>
      <charset val="134"/>
    </font>
    <font>
      <u/>
      <sz val="11"/>
      <color indexed="12"/>
      <name val="?? ?????"/>
      <charset val="134"/>
    </font>
    <font>
      <sz val="12"/>
      <name val="Times New Roman"/>
      <family val="1"/>
    </font>
    <font>
      <sz val="1"/>
      <name val="Calibri"/>
      <family val="2"/>
    </font>
    <font>
      <sz val="11"/>
      <name val="¾©"/>
      <charset val="134"/>
    </font>
    <font>
      <sz val="11"/>
      <name val="EE"/>
      <charset val="134"/>
    </font>
    <font>
      <sz val="12"/>
      <name val="??????"/>
      <charset val="134"/>
    </font>
    <font>
      <sz val="12"/>
      <name val="VNtimes new roman"/>
      <charset val="134"/>
    </font>
    <font>
      <sz val="11"/>
      <color indexed="60"/>
      <name val="Calibri"/>
      <family val="2"/>
    </font>
    <font>
      <b/>
      <i/>
      <sz val="16"/>
      <name val="Helv"/>
      <charset val="134"/>
    </font>
    <font>
      <sz val="10"/>
      <name val="???"/>
      <charset val="134"/>
    </font>
    <font>
      <u/>
      <sz val="8"/>
      <color indexed="12"/>
      <name val="Arial"/>
      <family val="2"/>
    </font>
    <font>
      <u/>
      <sz val="10"/>
      <color indexed="36"/>
      <name val="MS P????"/>
      <charset val="134"/>
    </font>
    <font>
      <u/>
      <sz val="10"/>
      <color indexed="36"/>
      <name val="Geneva"/>
      <charset val="134"/>
    </font>
    <font>
      <u/>
      <sz val="8.25"/>
      <color indexed="12"/>
      <name val="?? ?????"/>
      <charset val="134"/>
    </font>
    <font>
      <u/>
      <sz val="11"/>
      <color indexed="36"/>
      <name val="?? ?????"/>
      <charset val="134"/>
    </font>
    <font>
      <u/>
      <sz val="11"/>
      <color indexed="36"/>
      <name val="MS P????"/>
      <charset val="134"/>
    </font>
    <font>
      <u/>
      <sz val="6.6"/>
      <color indexed="12"/>
      <name val="Arial"/>
      <family val="2"/>
    </font>
    <font>
      <u/>
      <sz val="12"/>
      <color indexed="36"/>
      <name val="Osaka"/>
      <charset val="134"/>
    </font>
    <font>
      <sz val="11"/>
      <name val="?l?r ?o?S?V?b?N"/>
      <charset val="134"/>
    </font>
    <font>
      <u/>
      <sz val="10"/>
      <color indexed="36"/>
      <name val="Arial"/>
      <family val="2"/>
    </font>
    <font>
      <u/>
      <sz val="8"/>
      <color indexed="36"/>
      <name val="Arial"/>
      <family val="2"/>
    </font>
    <font>
      <u/>
      <sz val="10"/>
      <color indexed="12"/>
      <name val="MS P????"/>
      <charset val="134"/>
    </font>
    <font>
      <u/>
      <sz val="11"/>
      <color indexed="12"/>
      <name val="MS P????"/>
      <charset val="134"/>
    </font>
    <font>
      <u/>
      <sz val="10"/>
      <color indexed="12"/>
      <name val="Arial"/>
      <family val="2"/>
    </font>
    <font>
      <u/>
      <sz val="10"/>
      <color indexed="12"/>
      <name val="Geneva"/>
      <charset val="134"/>
    </font>
    <font>
      <sz val="12"/>
      <name val="????"/>
      <charset val="134"/>
    </font>
    <font>
      <b/>
      <sz val="11"/>
      <color indexed="9"/>
      <name val="Calibri"/>
      <family val="2"/>
    </font>
    <font>
      <sz val="10"/>
      <color indexed="19"/>
      <name val="Arial"/>
      <family val="2"/>
    </font>
    <font>
      <u/>
      <sz val="11"/>
      <color indexed="36"/>
      <name val="?l?r ?o?S?V?b?N"/>
      <charset val="134"/>
    </font>
    <font>
      <sz val="11"/>
      <name val="??? "/>
      <charset val="134"/>
    </font>
    <font>
      <sz val="14"/>
      <name val="lr ¾©"/>
      <charset val="134"/>
    </font>
    <font>
      <b/>
      <sz val="10"/>
      <color indexed="63"/>
      <name val="Arial"/>
      <family val="2"/>
    </font>
    <font>
      <u/>
      <sz val="11"/>
      <color indexed="12"/>
      <name val="?l?r ?o?S?V?b?N"/>
      <charset val="134"/>
    </font>
    <font>
      <b/>
      <sz val="11"/>
      <color indexed="54"/>
      <name val="Calibri"/>
      <family val="2"/>
    </font>
    <font>
      <i/>
      <sz val="11"/>
      <color indexed="23"/>
      <name val="Calibri"/>
      <family val="2"/>
    </font>
    <font>
      <b/>
      <sz val="12"/>
      <name val="Arial"/>
      <family val="2"/>
    </font>
    <font>
      <sz val="10"/>
      <color indexed="9"/>
      <name val="Calibri"/>
      <family val="2"/>
    </font>
    <font>
      <sz val="10"/>
      <name val="?l?r ?o?S?V?b?N"/>
      <charset val="134"/>
    </font>
    <font>
      <b/>
      <sz val="11"/>
      <color indexed="56"/>
      <name val="Arial"/>
      <family val="2"/>
    </font>
    <font>
      <sz val="11"/>
      <name val="?l?r ??f?"/>
      <charset val="134"/>
    </font>
    <font>
      <u/>
      <sz val="8.25"/>
      <color indexed="36"/>
      <name val="lr oSVbN"/>
      <charset val="128"/>
    </font>
    <font>
      <sz val="12"/>
      <name val=".VnTime"/>
      <charset val="134"/>
    </font>
    <font>
      <b/>
      <sz val="15"/>
      <color indexed="56"/>
      <name val="Calibri"/>
      <family val="2"/>
    </font>
    <font>
      <sz val="8"/>
      <color indexed="20"/>
      <name val="Tahoma"/>
      <family val="2"/>
    </font>
    <font>
      <sz val="12"/>
      <name val="±¼¸²Ã¼"/>
      <charset val="129"/>
    </font>
    <font>
      <sz val="10"/>
      <name val="ＭＳ Ｐゴシック"/>
      <charset val="134"/>
    </font>
    <font>
      <sz val="11"/>
      <name val="ＭＳ Ｐゴシック"/>
      <charset val="134"/>
    </font>
    <font>
      <b/>
      <sz val="11"/>
      <color indexed="53"/>
      <name val="Calibri"/>
      <family val="2"/>
    </font>
    <font>
      <i/>
      <sz val="10"/>
      <name val="Times New Roman"/>
      <family val="1"/>
    </font>
    <font>
      <sz val="8"/>
      <name val="Helv"/>
      <charset val="134"/>
    </font>
    <font>
      <sz val="10"/>
      <color indexed="8"/>
      <name val="Trebuchet MS"/>
      <family val="2"/>
    </font>
    <font>
      <b/>
      <sz val="11"/>
      <color indexed="62"/>
      <name val="Calibri"/>
      <family val="2"/>
    </font>
    <font>
      <u/>
      <sz val="8.25"/>
      <color indexed="12"/>
      <name val="lr oSVbN"/>
      <charset val="134"/>
    </font>
    <font>
      <b/>
      <sz val="11"/>
      <name val="Helv"/>
      <charset val="134"/>
    </font>
    <font>
      <b/>
      <u/>
      <sz val="14"/>
      <color indexed="8"/>
      <name val=".VnBook-AntiquaH"/>
      <charset val="134"/>
    </font>
    <font>
      <b/>
      <sz val="11"/>
      <color theme="3"/>
      <name val="Calibri"/>
      <family val="2"/>
      <scheme val="minor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b/>
      <sz val="16"/>
      <name val="VNlucida sans"/>
      <charset val="134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2"/>
      <name val="Arial"/>
      <family val="2"/>
    </font>
    <font>
      <i/>
      <sz val="12"/>
      <color indexed="8"/>
      <name val=".VnBook-AntiquaH"/>
      <charset val="134"/>
    </font>
    <font>
      <sz val="11"/>
      <name val="lr ¾©"/>
      <charset val="134"/>
    </font>
    <font>
      <sz val="12"/>
      <name val="¹ÙÅÁÃ¼"/>
      <charset val="134"/>
    </font>
    <font>
      <i/>
      <sz val="10"/>
      <color indexed="23"/>
      <name val="Arial"/>
      <family val="2"/>
    </font>
    <font>
      <sz val="13"/>
      <name val=".VnTime"/>
      <charset val="134"/>
    </font>
    <font>
      <sz val="12"/>
      <name val="¹ÙÅÁÃ¼"/>
      <charset val="129"/>
    </font>
    <font>
      <b/>
      <sz val="10"/>
      <color indexed="63"/>
      <name val="Calibri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indexed="20"/>
      <name val="Arial"/>
      <family val="2"/>
    </font>
    <font>
      <sz val="11"/>
      <name val="ＭＳ Ｐゴシック"/>
      <charset val="128"/>
    </font>
    <font>
      <sz val="12"/>
      <name val="¹UAAA¼"/>
      <charset val="134"/>
    </font>
    <font>
      <sz val="10"/>
      <name val=".VnArial"/>
      <charset val="134"/>
    </font>
    <font>
      <sz val="9"/>
      <name val="Arial"/>
      <family val="2"/>
    </font>
    <font>
      <u/>
      <sz val="8.25"/>
      <color indexed="12"/>
      <name val="ＭＳ Ｐゴシック"/>
      <charset val="128"/>
    </font>
    <font>
      <sz val="12"/>
      <name val="‚l‚r ‚oƒSƒVƒbƒN"/>
      <charset val="134"/>
    </font>
    <font>
      <sz val="14"/>
      <name val="lr ¾©"/>
      <charset val="128"/>
    </font>
    <font>
      <u/>
      <sz val="8.25"/>
      <color indexed="12"/>
      <name val="lr oSVbN"/>
      <charset val="128"/>
    </font>
    <font>
      <b/>
      <sz val="12"/>
      <name val="VN-NTime"/>
      <charset val="134"/>
    </font>
    <font>
      <sz val="10"/>
      <color indexed="8"/>
      <name val="MS Sans Serif"/>
      <family val="2"/>
    </font>
    <font>
      <sz val="16"/>
      <name val="AngsanaUPC"/>
      <family val="1"/>
    </font>
    <font>
      <b/>
      <sz val="12"/>
      <color indexed="8"/>
      <name val=".VnBook-Antiqua"/>
      <charset val="134"/>
    </font>
    <font>
      <i/>
      <sz val="12"/>
      <color indexed="8"/>
      <name val=".VnBook-Antiqua"/>
      <charset val="134"/>
    </font>
    <font>
      <b/>
      <sz val="10"/>
      <color indexed="9"/>
      <name val="Calibri"/>
      <family val="2"/>
    </font>
    <font>
      <sz val="11"/>
      <name val="µ¸¿ò"/>
      <charset val="129"/>
    </font>
    <font>
      <b/>
      <sz val="8"/>
      <name val="Helvetica-Narrow"/>
      <charset val="134"/>
    </font>
    <font>
      <sz val="11"/>
      <color indexed="16"/>
      <name val="Calibri"/>
      <family val="2"/>
    </font>
    <font>
      <i/>
      <sz val="10"/>
      <color indexed="23"/>
      <name val="Calibri"/>
      <family val="2"/>
    </font>
    <font>
      <sz val="11"/>
      <color rgb="FF000000"/>
      <name val="Calibri"/>
      <family val="2"/>
    </font>
    <font>
      <sz val="12"/>
      <name val="Courier"/>
      <family val="3"/>
    </font>
    <font>
      <b/>
      <sz val="13"/>
      <color indexed="56"/>
      <name val="Arial"/>
      <family val="2"/>
    </font>
    <font>
      <sz val="10"/>
      <name val="Geneva"/>
      <charset val="134"/>
    </font>
    <font>
      <sz val="10"/>
      <color indexed="20"/>
      <name val="Calibri"/>
      <family val="2"/>
    </font>
    <font>
      <b/>
      <sz val="12"/>
      <name val="Helv"/>
      <charset val="134"/>
    </font>
    <font>
      <sz val="24"/>
      <name val="Times New Roman"/>
      <family val="1"/>
    </font>
    <font>
      <sz val="11"/>
      <name val="ｵｸｿ "/>
      <charset val="134"/>
    </font>
    <font>
      <sz val="12"/>
      <color theme="1"/>
      <name val="Times New Roman"/>
      <family val="1"/>
    </font>
    <font>
      <sz val="12"/>
      <color indexed="9"/>
      <name val="Helv"/>
      <charset val="134"/>
    </font>
    <font>
      <b/>
      <sz val="10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4"/>
      <name val="Calibri"/>
      <family val="2"/>
    </font>
    <font>
      <b/>
      <sz val="14"/>
      <color indexed="14"/>
      <name val="VNottawa"/>
      <charset val="134"/>
    </font>
    <font>
      <b/>
      <sz val="10"/>
      <color indexed="9"/>
      <name val="Arial"/>
      <family val="2"/>
    </font>
    <font>
      <sz val="10"/>
      <name val="VNI-Aptima"/>
      <charset val="134"/>
    </font>
    <font>
      <i/>
      <sz val="8"/>
      <color indexed="10"/>
      <name val="Tahoma"/>
      <family val="2"/>
    </font>
    <font>
      <b/>
      <sz val="10"/>
      <name val="Tms Rmn"/>
      <charset val="134"/>
    </font>
    <font>
      <sz val="12"/>
      <name val="Tms Rmn"/>
      <charset val="134"/>
    </font>
    <font>
      <sz val="10"/>
      <name val="Tahoma"/>
      <family val="2"/>
    </font>
    <font>
      <sz val="10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b/>
      <sz val="18"/>
      <color indexed="10"/>
      <name val="VNnew Century Cond"/>
      <charset val="134"/>
    </font>
    <font>
      <b/>
      <sz val="18"/>
      <color indexed="12"/>
      <name val="VNbritannic"/>
      <charset val="134"/>
    </font>
    <font>
      <i/>
      <sz val="10"/>
      <color indexed="11"/>
      <name val="Arial"/>
      <family val="2"/>
    </font>
    <font>
      <sz val="10"/>
      <name val="ＭＳ ゴシック"/>
      <charset val="128"/>
    </font>
    <font>
      <sz val="12"/>
      <color indexed="8"/>
      <name val="Times New Roman"/>
      <family val="1"/>
    </font>
    <font>
      <b/>
      <sz val="18"/>
      <color indexed="62"/>
      <name val="Calibri"/>
      <family val="2"/>
    </font>
    <font>
      <b/>
      <sz val="20"/>
      <color indexed="12"/>
      <name val="VNnew Century Cond"/>
      <charset val="134"/>
    </font>
    <font>
      <b/>
      <sz val="16"/>
      <color indexed="16"/>
      <name val="VNbritannic"/>
      <charset val="134"/>
    </font>
    <font>
      <b/>
      <sz val="9.95"/>
      <color indexed="8"/>
      <name val="Arial"/>
      <family val="2"/>
    </font>
    <font>
      <sz val="10"/>
      <name val="Times New Roman"/>
      <family val="1"/>
    </font>
    <font>
      <b/>
      <sz val="18"/>
      <name val="VNnew Century Cond"/>
      <charset val="134"/>
    </font>
    <font>
      <b/>
      <sz val="16"/>
      <color indexed="14"/>
      <name val="VNottawa"/>
      <charset val="134"/>
    </font>
    <font>
      <i/>
      <sz val="10"/>
      <color indexed="12"/>
      <name val="Arial"/>
      <family val="2"/>
    </font>
    <font>
      <b/>
      <sz val="13"/>
      <color indexed="54"/>
      <name val="Calibri"/>
      <family val="2"/>
    </font>
    <font>
      <b/>
      <sz val="13"/>
      <color indexed="62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2"/>
      <name val="Helv"/>
      <charset val="134"/>
    </font>
    <font>
      <sz val="10"/>
      <color indexed="52"/>
      <name val="Calibri"/>
      <family val="2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sz val="10"/>
      <name val="MS Sans Serif"/>
      <family val="2"/>
    </font>
    <font>
      <sz val="9"/>
      <name val="VNI-Helve-Condense"/>
      <charset val="134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32"/>
      <name val="VNI-Times"/>
      <charset val="134"/>
    </font>
    <font>
      <sz val="10"/>
      <name val="VNI-Univer"/>
      <charset val="134"/>
    </font>
    <font>
      <b/>
      <sz val="18"/>
      <color indexed="54"/>
      <name val="Calibri"/>
      <family val="2"/>
    </font>
    <font>
      <sz val="10"/>
      <color indexed="18"/>
      <name val="Arial"/>
      <family val="2"/>
    </font>
    <font>
      <sz val="10"/>
      <name val="VNI-Helve-Condense"/>
      <charset val="134"/>
    </font>
    <font>
      <sz val="10"/>
      <name val="VNtimes new roman"/>
      <charset val="134"/>
    </font>
    <font>
      <b/>
      <sz val="12"/>
      <name val=".VnTime"/>
      <charset val="134"/>
    </font>
    <font>
      <b/>
      <sz val="10"/>
      <name val=".VnTime"/>
      <charset val="134"/>
    </font>
    <font>
      <sz val="10"/>
      <name val=".VnTime"/>
      <charset val="134"/>
    </font>
    <font>
      <sz val="9"/>
      <name val=".VnTime"/>
      <charset val="134"/>
    </font>
    <font>
      <i/>
      <sz val="10"/>
      <color indexed="8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sz val="12"/>
      <name val="ｹﾙﾅﾁﾃｼ"/>
      <charset val="128"/>
    </font>
    <font>
      <sz val="11"/>
      <name val="ｵｸｿ "/>
      <charset val="128"/>
    </font>
    <font>
      <sz val="12"/>
      <name val="新細明體"/>
      <charset val="136"/>
    </font>
    <font>
      <sz val="10"/>
      <name val=" "/>
      <charset val="136"/>
    </font>
    <font>
      <sz val="12"/>
      <name val="바탕체"/>
      <charset val="134"/>
    </font>
    <font>
      <sz val="14"/>
      <name val="ＭＳ 明朝"/>
      <charset val="128"/>
    </font>
    <font>
      <sz val="11"/>
      <color rgb="FF000000"/>
      <name val="Calibri"/>
      <family val="2"/>
      <scheme val="minor"/>
    </font>
    <font>
      <u/>
      <sz val="8.25"/>
      <color indexed="36"/>
      <name val="ＭＳ 明朝"/>
      <charset val="128"/>
    </font>
    <font>
      <u/>
      <sz val="8.25"/>
      <color indexed="36"/>
      <name val="ＭＳ Ｐゴシック"/>
      <charset val="134"/>
    </font>
    <font>
      <sz val="10"/>
      <name val="Calibri"/>
      <family val="2"/>
      <scheme val="minor"/>
    </font>
    <font>
      <sz val="8"/>
      <color theme="0" tint="-0.249977111117893"/>
      <name val="Calibri"/>
      <family val="2"/>
    </font>
  </fonts>
  <fills count="9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9"/>
      </patternFill>
    </fill>
    <fill>
      <patternFill patternType="solid">
        <fgColor theme="5" tint="0.59999389629810485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49"/>
      </patternFill>
    </fill>
    <fill>
      <patternFill patternType="darkGray">
        <fgColor indexed="9"/>
        <bgColor indexed="10"/>
      </patternFill>
    </fill>
    <fill>
      <patternFill patternType="solid">
        <fgColor indexed="45"/>
        <bgColor indexed="29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12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2"/>
        <bgColor indexed="51"/>
      </patternFill>
    </fill>
    <fill>
      <patternFill patternType="solid">
        <fgColor indexed="31"/>
        <bgColor indexed="22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3"/>
        <b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26"/>
      </patternFill>
    </fill>
    <fill>
      <patternFill patternType="gray125">
        <fgColor indexed="8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3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 tint="0"/>
      </patternFill>
    </fill>
    <fill>
      <patternFill patternType="solid">
        <fgColor rgb="FFFF0000" tint="0.59999389629810485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59999389629810485"/>
        <bgColor indexed="64"/>
      </patternFill>
    </fill>
    <fill>
      <patternFill patternType="solid">
        <fgColor rgb="FFFF0000" tint="0.79992065187536243"/>
        <bgColor indexed="64"/>
      </patternFill>
    </fill>
    <fill>
      <patternFill patternType="solid">
        <fgColor rgb="FFFF0000" tint="0.79992065187536243"/>
        <bgColor indexed="64"/>
      </patternFill>
    </fill>
  </fills>
  <borders count="1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theme="0"/>
      </left>
      <right style="thin">
        <color theme="0"/>
      </right>
      <top style="double">
        <color auto="1"/>
      </top>
      <bottom/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double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indexed="8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double">
        <color auto="1"/>
      </top>
      <bottom/>
      <diagonal/>
    </border>
    <border>
      <left style="thin">
        <color indexed="8"/>
      </left>
      <right style="thin">
        <color indexed="8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3676">
    <xf numFmtId="0" fontId="0" fillId="0" borderId="0"/>
    <xf numFmtId="169" fontId="100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219" fontId="127" fillId="0" borderId="111"/>
    <xf numFmtId="0" fontId="89" fillId="0" borderId="0"/>
    <xf numFmtId="181" fontId="98" fillId="0" borderId="0"/>
    <xf numFmtId="175" fontId="98" fillId="0" borderId="0"/>
    <xf numFmtId="43" fontId="89" fillId="0" borderId="0"/>
    <xf numFmtId="0" fontId="134" fillId="0" borderId="0">
      <alignment vertical="top"/>
      <protection locked="0"/>
    </xf>
    <xf numFmtId="0" fontId="103" fillId="0" borderId="0">
      <alignment vertical="top"/>
      <protection locked="0"/>
    </xf>
    <xf numFmtId="0" fontId="103" fillId="0" borderId="0">
      <alignment vertical="top"/>
      <protection locked="0"/>
    </xf>
    <xf numFmtId="0" fontId="135" fillId="0" borderId="0">
      <alignment vertical="top"/>
      <protection locked="0"/>
    </xf>
    <xf numFmtId="0" fontId="136" fillId="0" borderId="0">
      <alignment vertical="top"/>
      <protection locked="0"/>
    </xf>
    <xf numFmtId="0" fontId="137" fillId="0" borderId="0">
      <alignment vertical="top"/>
      <protection locked="0"/>
    </xf>
    <xf numFmtId="0" fontId="138" fillId="0" borderId="0">
      <alignment vertical="top"/>
      <protection locked="0"/>
    </xf>
    <xf numFmtId="0" fontId="140" fillId="0" borderId="0">
      <alignment vertical="top"/>
      <protection locked="0"/>
    </xf>
    <xf numFmtId="0" fontId="114" fillId="0" borderId="0">
      <alignment vertical="top"/>
      <protection locked="0"/>
    </xf>
    <xf numFmtId="0" fontId="141" fillId="0" borderId="0">
      <alignment vertical="top"/>
      <protection locked="0"/>
    </xf>
    <xf numFmtId="0" fontId="99" fillId="0" borderId="0">
      <alignment vertical="top"/>
      <protection locked="0"/>
    </xf>
    <xf numFmtId="0" fontId="114" fillId="0" borderId="0">
      <alignment vertical="top"/>
      <protection locked="0"/>
    </xf>
    <xf numFmtId="0" fontId="133" fillId="0" borderId="0">
      <alignment vertical="top"/>
      <protection locked="0"/>
    </xf>
    <xf numFmtId="0" fontId="133" fillId="0" borderId="0">
      <alignment vertical="top"/>
      <protection locked="0"/>
    </xf>
    <xf numFmtId="0" fontId="132" fillId="0" borderId="0">
      <alignment vertical="top"/>
      <protection locked="0"/>
    </xf>
    <xf numFmtId="0" fontId="99" fillId="0" borderId="0">
      <alignment vertical="top"/>
      <protection locked="0"/>
    </xf>
    <xf numFmtId="0" fontId="142" fillId="0" borderId="0">
      <alignment vertical="top"/>
      <protection locked="0"/>
    </xf>
    <xf numFmtId="0" fontId="99" fillId="0" borderId="0">
      <alignment vertical="top"/>
      <protection locked="0"/>
    </xf>
    <xf numFmtId="0" fontId="121" fillId="0" borderId="0">
      <alignment vertical="top"/>
      <protection locked="0"/>
    </xf>
    <xf numFmtId="0" fontId="131" fillId="0" borderId="0">
      <alignment vertical="top"/>
      <protection locked="0"/>
    </xf>
    <xf numFmtId="0" fontId="143" fillId="0" borderId="0">
      <alignment vertical="top"/>
      <protection locked="0"/>
    </xf>
    <xf numFmtId="0" fontId="144" fillId="0" borderId="0">
      <alignment vertical="top"/>
      <protection locked="0"/>
    </xf>
    <xf numFmtId="0" fontId="145" fillId="0" borderId="0">
      <alignment vertical="top"/>
      <protection locked="0"/>
    </xf>
    <xf numFmtId="9" fontId="126" fillId="0" borderId="0"/>
    <xf numFmtId="0" fontId="126" fillId="0" borderId="0"/>
    <xf numFmtId="206" fontId="146" fillId="0" borderId="0"/>
    <xf numFmtId="9" fontId="98" fillId="0" borderId="0"/>
    <xf numFmtId="40" fontId="110" fillId="0" borderId="0"/>
    <xf numFmtId="38" fontId="110" fillId="0" borderId="0"/>
    <xf numFmtId="0" fontId="130" fillId="0" borderId="0"/>
    <xf numFmtId="40" fontId="139" fillId="0" borderId="0"/>
    <xf numFmtId="38" fontId="139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49" fillId="0" borderId="0">
      <alignment vertical="top"/>
      <protection locked="0"/>
    </xf>
    <xf numFmtId="0" fontId="149" fillId="0" borderId="0">
      <alignment vertical="top"/>
      <protection locked="0"/>
    </xf>
    <xf numFmtId="0" fontId="140" fillId="0" borderId="0">
      <alignment vertical="top"/>
      <protection locked="0"/>
    </xf>
    <xf numFmtId="172" fontId="150" fillId="0" borderId="0"/>
    <xf numFmtId="170" fontId="15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11" fontId="115" fillId="0" borderId="0"/>
    <xf numFmtId="206" fontId="115" fillId="0" borderId="0"/>
    <xf numFmtId="211" fontId="115" fillId="0" borderId="0"/>
    <xf numFmtId="206" fontId="115" fillId="0" borderId="0"/>
    <xf numFmtId="211" fontId="115" fillId="0" borderId="0"/>
    <xf numFmtId="206" fontId="115" fillId="0" borderId="0"/>
    <xf numFmtId="211" fontId="115" fillId="0" borderId="0"/>
    <xf numFmtId="206" fontId="115" fillId="0" borderId="0"/>
    <xf numFmtId="211" fontId="115" fillId="0" borderId="0"/>
    <xf numFmtId="206" fontId="115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204" fontId="89" fillId="0" borderId="0"/>
    <xf numFmtId="0" fontId="153" fillId="0" borderId="0">
      <alignment vertical="top"/>
      <protection locked="0"/>
    </xf>
    <xf numFmtId="0" fontId="144" fillId="0" borderId="0">
      <alignment vertical="top"/>
      <protection locked="0"/>
    </xf>
    <xf numFmtId="0" fontId="153" fillId="0" borderId="0">
      <alignment vertical="top"/>
      <protection locked="0"/>
    </xf>
    <xf numFmtId="0" fontId="139" fillId="0" borderId="0"/>
    <xf numFmtId="0" fontId="158" fillId="0" borderId="0"/>
    <xf numFmtId="0" fontId="89" fillId="0" borderId="0"/>
    <xf numFmtId="0" fontId="89" fillId="0" borderId="0"/>
    <xf numFmtId="0" fontId="160" fillId="0" borderId="0"/>
    <xf numFmtId="0" fontId="104" fillId="0" borderId="0"/>
    <xf numFmtId="40" fontId="139" fillId="0" borderId="0"/>
    <xf numFmtId="38" fontId="13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184" fontId="90" fillId="0" borderId="0"/>
    <xf numFmtId="0" fontId="116" fillId="0" borderId="0"/>
    <xf numFmtId="0" fontId="11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16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220" fontId="90" fillId="0" borderId="0"/>
    <xf numFmtId="215" fontId="100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116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191" fontId="90" fillId="0" borderId="0"/>
    <xf numFmtId="191" fontId="90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42" fontId="90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184" fontId="90" fillId="0" borderId="0"/>
    <xf numFmtId="184" fontId="100" fillId="0" borderId="0"/>
    <xf numFmtId="184" fontId="100" fillId="0" borderId="0"/>
    <xf numFmtId="169" fontId="100" fillId="0" borderId="0"/>
    <xf numFmtId="211" fontId="100" fillId="0" borderId="0"/>
    <xf numFmtId="211" fontId="90" fillId="0" borderId="0"/>
    <xf numFmtId="190" fontId="90" fillId="0" borderId="0"/>
    <xf numFmtId="207" fontId="90" fillId="0" borderId="0"/>
    <xf numFmtId="199" fontId="90" fillId="0" borderId="0"/>
    <xf numFmtId="207" fontId="90" fillId="0" borderId="0"/>
    <xf numFmtId="209" fontId="89" fillId="0" borderId="0"/>
    <xf numFmtId="190" fontId="90" fillId="0" borderId="0"/>
    <xf numFmtId="0" fontId="90" fillId="0" borderId="0"/>
    <xf numFmtId="43" fontId="90" fillId="0" borderId="0"/>
    <xf numFmtId="211" fontId="90" fillId="0" borderId="0"/>
    <xf numFmtId="43" fontId="90" fillId="0" borderId="0"/>
    <xf numFmtId="199" fontId="90" fillId="0" borderId="0"/>
    <xf numFmtId="207" fontId="90" fillId="0" borderId="0"/>
    <xf numFmtId="199" fontId="90" fillId="0" borderId="0"/>
    <xf numFmtId="199" fontId="90" fillId="0" borderId="0"/>
    <xf numFmtId="199" fontId="90" fillId="0" borderId="0"/>
    <xf numFmtId="199" fontId="90" fillId="0" borderId="0"/>
    <xf numFmtId="187" fontId="90" fillId="0" borderId="0"/>
    <xf numFmtId="207" fontId="90" fillId="0" borderId="0"/>
    <xf numFmtId="199" fontId="90" fillId="0" borderId="0"/>
    <xf numFmtId="207" fontId="90" fillId="0" borderId="0"/>
    <xf numFmtId="207" fontId="90" fillId="0" borderId="0"/>
    <xf numFmtId="199" fontId="90" fillId="0" borderId="0"/>
    <xf numFmtId="207" fontId="90" fillId="0" borderId="0"/>
    <xf numFmtId="199" fontId="90" fillId="0" borderId="0"/>
    <xf numFmtId="213" fontId="90" fillId="0" borderId="0"/>
    <xf numFmtId="43" fontId="90" fillId="0" borderId="0"/>
    <xf numFmtId="211" fontId="90" fillId="0" borderId="0"/>
    <xf numFmtId="43" fontId="90" fillId="0" borderId="0"/>
    <xf numFmtId="211" fontId="90" fillId="0" borderId="0"/>
    <xf numFmtId="211" fontId="90" fillId="0" borderId="0"/>
    <xf numFmtId="206" fontId="100" fillId="0" borderId="0"/>
    <xf numFmtId="184" fontId="90" fillId="0" borderId="0"/>
    <xf numFmtId="202" fontId="89" fillId="0" borderId="0"/>
    <xf numFmtId="220" fontId="90" fillId="0" borderId="0"/>
    <xf numFmtId="215" fontId="100" fillId="0" borderId="0"/>
    <xf numFmtId="191" fontId="90" fillId="0" borderId="0"/>
    <xf numFmtId="191" fontId="90" fillId="0" borderId="0"/>
    <xf numFmtId="42" fontId="90" fillId="0" borderId="0"/>
    <xf numFmtId="42" fontId="90" fillId="0" borderId="0"/>
    <xf numFmtId="215" fontId="90" fillId="0" borderId="0"/>
    <xf numFmtId="215" fontId="100" fillId="0" borderId="0"/>
    <xf numFmtId="201" fontId="90" fillId="0" borderId="0"/>
    <xf numFmtId="215" fontId="100" fillId="0" borderId="0"/>
    <xf numFmtId="201" fontId="90" fillId="0" borderId="0"/>
    <xf numFmtId="201" fontId="90" fillId="0" borderId="0"/>
    <xf numFmtId="201" fontId="90" fillId="0" borderId="0"/>
    <xf numFmtId="201" fontId="90" fillId="0" borderId="0"/>
    <xf numFmtId="215" fontId="90" fillId="0" borderId="0"/>
    <xf numFmtId="223" fontId="90" fillId="0" borderId="0"/>
    <xf numFmtId="211" fontId="90" fillId="0" borderId="0"/>
    <xf numFmtId="190" fontId="90" fillId="0" borderId="0"/>
    <xf numFmtId="207" fontId="90" fillId="0" borderId="0"/>
    <xf numFmtId="199" fontId="90" fillId="0" borderId="0"/>
    <xf numFmtId="207" fontId="90" fillId="0" borderId="0"/>
    <xf numFmtId="209" fontId="89" fillId="0" borderId="0"/>
    <xf numFmtId="190" fontId="90" fillId="0" borderId="0"/>
    <xf numFmtId="0" fontId="90" fillId="0" borderId="0"/>
    <xf numFmtId="43" fontId="90" fillId="0" borderId="0"/>
    <xf numFmtId="211" fontId="90" fillId="0" borderId="0"/>
    <xf numFmtId="43" fontId="90" fillId="0" borderId="0"/>
    <xf numFmtId="199" fontId="90" fillId="0" borderId="0"/>
    <xf numFmtId="207" fontId="90" fillId="0" borderId="0"/>
    <xf numFmtId="199" fontId="90" fillId="0" borderId="0"/>
    <xf numFmtId="199" fontId="90" fillId="0" borderId="0"/>
    <xf numFmtId="199" fontId="90" fillId="0" borderId="0"/>
    <xf numFmtId="199" fontId="90" fillId="0" borderId="0"/>
    <xf numFmtId="187" fontId="90" fillId="0" borderId="0"/>
    <xf numFmtId="207" fontId="90" fillId="0" borderId="0"/>
    <xf numFmtId="199" fontId="90" fillId="0" borderId="0"/>
    <xf numFmtId="207" fontId="90" fillId="0" borderId="0"/>
    <xf numFmtId="207" fontId="90" fillId="0" borderId="0"/>
    <xf numFmtId="199" fontId="90" fillId="0" borderId="0"/>
    <xf numFmtId="207" fontId="90" fillId="0" borderId="0"/>
    <xf numFmtId="199" fontId="90" fillId="0" borderId="0"/>
    <xf numFmtId="213" fontId="90" fillId="0" borderId="0"/>
    <xf numFmtId="211" fontId="100" fillId="0" borderId="0"/>
    <xf numFmtId="43" fontId="90" fillId="0" borderId="0"/>
    <xf numFmtId="211" fontId="90" fillId="0" borderId="0"/>
    <xf numFmtId="43" fontId="90" fillId="0" borderId="0"/>
    <xf numFmtId="211" fontId="90" fillId="0" borderId="0"/>
    <xf numFmtId="211" fontId="90" fillId="0" borderId="0"/>
    <xf numFmtId="206" fontId="90" fillId="0" borderId="0"/>
    <xf numFmtId="178" fontId="90" fillId="0" borderId="0"/>
    <xf numFmtId="221" fontId="90" fillId="0" borderId="0"/>
    <xf numFmtId="194" fontId="90" fillId="0" borderId="0"/>
    <xf numFmtId="221" fontId="90" fillId="0" borderId="0"/>
    <xf numFmtId="226" fontId="89" fillId="0" borderId="0"/>
    <xf numFmtId="178" fontId="90" fillId="0" borderId="0"/>
    <xf numFmtId="194" fontId="100" fillId="0" borderId="0"/>
    <xf numFmtId="41" fontId="90" fillId="0" borderId="0"/>
    <xf numFmtId="206" fontId="90" fillId="0" borderId="0"/>
    <xf numFmtId="41" fontId="90" fillId="0" borderId="0"/>
    <xf numFmtId="189" fontId="90" fillId="0" borderId="0"/>
    <xf numFmtId="194" fontId="90" fillId="0" borderId="0"/>
    <xf numFmtId="221" fontId="90" fillId="0" borderId="0"/>
    <xf numFmtId="194" fontId="90" fillId="0" borderId="0"/>
    <xf numFmtId="194" fontId="90" fillId="0" borderId="0"/>
    <xf numFmtId="194" fontId="90" fillId="0" borderId="0"/>
    <xf numFmtId="194" fontId="90" fillId="0" borderId="0"/>
    <xf numFmtId="222" fontId="90" fillId="0" borderId="0"/>
    <xf numFmtId="221" fontId="90" fillId="0" borderId="0"/>
    <xf numFmtId="194" fontId="90" fillId="0" borderId="0"/>
    <xf numFmtId="221" fontId="90" fillId="0" borderId="0"/>
    <xf numFmtId="221" fontId="90" fillId="0" borderId="0"/>
    <xf numFmtId="194" fontId="90" fillId="0" borderId="0"/>
    <xf numFmtId="221" fontId="90" fillId="0" borderId="0"/>
    <xf numFmtId="194" fontId="90" fillId="0" borderId="0"/>
    <xf numFmtId="227" fontId="90" fillId="0" borderId="0"/>
    <xf numFmtId="41" fontId="90" fillId="0" borderId="0"/>
    <xf numFmtId="206" fontId="90" fillId="0" borderId="0"/>
    <xf numFmtId="41" fontId="90" fillId="0" borderId="0"/>
    <xf numFmtId="206" fontId="90" fillId="0" borderId="0"/>
    <xf numFmtId="206" fontId="90" fillId="0" borderId="0"/>
    <xf numFmtId="202" fontId="89" fillId="0" borderId="0"/>
    <xf numFmtId="220" fontId="90" fillId="0" borderId="0"/>
    <xf numFmtId="215" fontId="100" fillId="0" borderId="0"/>
    <xf numFmtId="191" fontId="90" fillId="0" borderId="0"/>
    <xf numFmtId="191" fontId="90" fillId="0" borderId="0"/>
    <xf numFmtId="42" fontId="90" fillId="0" borderId="0"/>
    <xf numFmtId="42" fontId="90" fillId="0" borderId="0"/>
    <xf numFmtId="215" fontId="90" fillId="0" borderId="0"/>
    <xf numFmtId="215" fontId="100" fillId="0" borderId="0"/>
    <xf numFmtId="201" fontId="90" fillId="0" borderId="0"/>
    <xf numFmtId="215" fontId="100" fillId="0" borderId="0"/>
    <xf numFmtId="201" fontId="90" fillId="0" borderId="0"/>
    <xf numFmtId="201" fontId="90" fillId="0" borderId="0"/>
    <xf numFmtId="201" fontId="90" fillId="0" borderId="0"/>
    <xf numFmtId="201" fontId="90" fillId="0" borderId="0"/>
    <xf numFmtId="215" fontId="90" fillId="0" borderId="0"/>
    <xf numFmtId="223" fontId="90" fillId="0" borderId="0"/>
    <xf numFmtId="206" fontId="100" fillId="0" borderId="0"/>
    <xf numFmtId="211" fontId="100" fillId="0" borderId="0"/>
    <xf numFmtId="206" fontId="90" fillId="0" borderId="0"/>
    <xf numFmtId="178" fontId="90" fillId="0" borderId="0"/>
    <xf numFmtId="221" fontId="90" fillId="0" borderId="0"/>
    <xf numFmtId="194" fontId="90" fillId="0" borderId="0"/>
    <xf numFmtId="221" fontId="90" fillId="0" borderId="0"/>
    <xf numFmtId="226" fontId="89" fillId="0" borderId="0"/>
    <xf numFmtId="178" fontId="90" fillId="0" borderId="0"/>
    <xf numFmtId="194" fontId="100" fillId="0" borderId="0"/>
    <xf numFmtId="41" fontId="90" fillId="0" borderId="0"/>
    <xf numFmtId="206" fontId="90" fillId="0" borderId="0"/>
    <xf numFmtId="41" fontId="90" fillId="0" borderId="0"/>
    <xf numFmtId="189" fontId="90" fillId="0" borderId="0"/>
    <xf numFmtId="194" fontId="90" fillId="0" borderId="0"/>
    <xf numFmtId="221" fontId="90" fillId="0" borderId="0"/>
    <xf numFmtId="194" fontId="90" fillId="0" borderId="0"/>
    <xf numFmtId="194" fontId="90" fillId="0" borderId="0"/>
    <xf numFmtId="194" fontId="90" fillId="0" borderId="0"/>
    <xf numFmtId="194" fontId="90" fillId="0" borderId="0"/>
    <xf numFmtId="222" fontId="90" fillId="0" borderId="0"/>
    <xf numFmtId="221" fontId="90" fillId="0" borderId="0"/>
    <xf numFmtId="194" fontId="90" fillId="0" borderId="0"/>
    <xf numFmtId="221" fontId="90" fillId="0" borderId="0"/>
    <xf numFmtId="221" fontId="90" fillId="0" borderId="0"/>
    <xf numFmtId="194" fontId="90" fillId="0" borderId="0"/>
    <xf numFmtId="221" fontId="90" fillId="0" borderId="0"/>
    <xf numFmtId="194" fontId="90" fillId="0" borderId="0"/>
    <xf numFmtId="227" fontId="90" fillId="0" borderId="0"/>
    <xf numFmtId="41" fontId="90" fillId="0" borderId="0"/>
    <xf numFmtId="206" fontId="90" fillId="0" borderId="0"/>
    <xf numFmtId="41" fontId="90" fillId="0" borderId="0"/>
    <xf numFmtId="206" fontId="90" fillId="0" borderId="0"/>
    <xf numFmtId="206" fontId="90" fillId="0" borderId="0"/>
    <xf numFmtId="211" fontId="90" fillId="0" borderId="0"/>
    <xf numFmtId="190" fontId="90" fillId="0" borderId="0"/>
    <xf numFmtId="207" fontId="90" fillId="0" borderId="0"/>
    <xf numFmtId="199" fontId="90" fillId="0" borderId="0"/>
    <xf numFmtId="207" fontId="90" fillId="0" borderId="0"/>
    <xf numFmtId="209" fontId="89" fillId="0" borderId="0"/>
    <xf numFmtId="190" fontId="90" fillId="0" borderId="0"/>
    <xf numFmtId="0" fontId="90" fillId="0" borderId="0"/>
    <xf numFmtId="43" fontId="90" fillId="0" borderId="0"/>
    <xf numFmtId="211" fontId="90" fillId="0" borderId="0"/>
    <xf numFmtId="43" fontId="90" fillId="0" borderId="0"/>
    <xf numFmtId="199" fontId="90" fillId="0" borderId="0"/>
    <xf numFmtId="207" fontId="90" fillId="0" borderId="0"/>
    <xf numFmtId="199" fontId="90" fillId="0" borderId="0"/>
    <xf numFmtId="199" fontId="90" fillId="0" borderId="0"/>
    <xf numFmtId="199" fontId="90" fillId="0" borderId="0"/>
    <xf numFmtId="199" fontId="90" fillId="0" borderId="0"/>
    <xf numFmtId="187" fontId="90" fillId="0" borderId="0"/>
    <xf numFmtId="207" fontId="90" fillId="0" borderId="0"/>
    <xf numFmtId="199" fontId="90" fillId="0" borderId="0"/>
    <xf numFmtId="207" fontId="90" fillId="0" borderId="0"/>
    <xf numFmtId="207" fontId="90" fillId="0" borderId="0"/>
    <xf numFmtId="199" fontId="90" fillId="0" borderId="0"/>
    <xf numFmtId="207" fontId="90" fillId="0" borderId="0"/>
    <xf numFmtId="199" fontId="90" fillId="0" borderId="0"/>
    <xf numFmtId="213" fontId="90" fillId="0" borderId="0"/>
    <xf numFmtId="43" fontId="90" fillId="0" borderId="0"/>
    <xf numFmtId="211" fontId="90" fillId="0" borderId="0"/>
    <xf numFmtId="43" fontId="90" fillId="0" borderId="0"/>
    <xf numFmtId="211" fontId="90" fillId="0" borderId="0"/>
    <xf numFmtId="211" fontId="90" fillId="0" borderId="0"/>
    <xf numFmtId="206" fontId="100" fillId="0" borderId="0"/>
    <xf numFmtId="184" fontId="100" fillId="0" borderId="0"/>
    <xf numFmtId="184" fontId="100" fillId="0" borderId="0"/>
    <xf numFmtId="169" fontId="100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42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215" fontId="90" fillId="0" borderId="0"/>
    <xf numFmtId="215" fontId="100" fillId="0" borderId="0"/>
    <xf numFmtId="201" fontId="90" fillId="0" borderId="0"/>
    <xf numFmtId="215" fontId="100" fillId="0" borderId="0"/>
    <xf numFmtId="201" fontId="90" fillId="0" borderId="0"/>
    <xf numFmtId="201" fontId="90" fillId="0" borderId="0"/>
    <xf numFmtId="201" fontId="90" fillId="0" borderId="0"/>
    <xf numFmtId="201" fontId="90" fillId="0" borderId="0"/>
    <xf numFmtId="215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223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91" fillId="0" borderId="0">
      <alignment vertical="top"/>
    </xf>
    <xf numFmtId="206" fontId="100" fillId="0" borderId="0"/>
    <xf numFmtId="206" fontId="90" fillId="0" borderId="0"/>
    <xf numFmtId="178" fontId="90" fillId="0" borderId="0"/>
    <xf numFmtId="221" fontId="90" fillId="0" borderId="0"/>
    <xf numFmtId="194" fontId="90" fillId="0" borderId="0"/>
    <xf numFmtId="221" fontId="90" fillId="0" borderId="0"/>
    <xf numFmtId="226" fontId="89" fillId="0" borderId="0"/>
    <xf numFmtId="178" fontId="90" fillId="0" borderId="0"/>
    <xf numFmtId="194" fontId="100" fillId="0" borderId="0"/>
    <xf numFmtId="41" fontId="90" fillId="0" borderId="0"/>
    <xf numFmtId="206" fontId="90" fillId="0" borderId="0"/>
    <xf numFmtId="41" fontId="90" fillId="0" borderId="0"/>
    <xf numFmtId="189" fontId="90" fillId="0" borderId="0"/>
    <xf numFmtId="194" fontId="90" fillId="0" borderId="0"/>
    <xf numFmtId="221" fontId="90" fillId="0" borderId="0"/>
    <xf numFmtId="194" fontId="90" fillId="0" borderId="0"/>
    <xf numFmtId="194" fontId="90" fillId="0" borderId="0"/>
    <xf numFmtId="194" fontId="90" fillId="0" borderId="0"/>
    <xf numFmtId="194" fontId="90" fillId="0" borderId="0"/>
    <xf numFmtId="222" fontId="90" fillId="0" borderId="0"/>
    <xf numFmtId="221" fontId="90" fillId="0" borderId="0"/>
    <xf numFmtId="194" fontId="90" fillId="0" borderId="0"/>
    <xf numFmtId="221" fontId="90" fillId="0" borderId="0"/>
    <xf numFmtId="221" fontId="90" fillId="0" borderId="0"/>
    <xf numFmtId="194" fontId="90" fillId="0" borderId="0"/>
    <xf numFmtId="221" fontId="90" fillId="0" borderId="0"/>
    <xf numFmtId="194" fontId="90" fillId="0" borderId="0"/>
    <xf numFmtId="227" fontId="90" fillId="0" borderId="0"/>
    <xf numFmtId="41" fontId="90" fillId="0" borderId="0"/>
    <xf numFmtId="206" fontId="90" fillId="0" borderId="0"/>
    <xf numFmtId="41" fontId="90" fillId="0" borderId="0"/>
    <xf numFmtId="206" fontId="90" fillId="0" borderId="0"/>
    <xf numFmtId="206" fontId="90" fillId="0" borderId="0"/>
    <xf numFmtId="211" fontId="90" fillId="0" borderId="0"/>
    <xf numFmtId="190" fontId="90" fillId="0" borderId="0"/>
    <xf numFmtId="207" fontId="90" fillId="0" borderId="0"/>
    <xf numFmtId="199" fontId="90" fillId="0" borderId="0"/>
    <xf numFmtId="207" fontId="90" fillId="0" borderId="0"/>
    <xf numFmtId="209" fontId="89" fillId="0" borderId="0"/>
    <xf numFmtId="190" fontId="90" fillId="0" borderId="0"/>
    <xf numFmtId="0" fontId="90" fillId="0" borderId="0"/>
    <xf numFmtId="43" fontId="90" fillId="0" borderId="0"/>
    <xf numFmtId="211" fontId="90" fillId="0" borderId="0"/>
    <xf numFmtId="43" fontId="90" fillId="0" borderId="0"/>
    <xf numFmtId="199" fontId="90" fillId="0" borderId="0"/>
    <xf numFmtId="207" fontId="90" fillId="0" borderId="0"/>
    <xf numFmtId="199" fontId="90" fillId="0" borderId="0"/>
    <xf numFmtId="199" fontId="90" fillId="0" borderId="0"/>
    <xf numFmtId="199" fontId="90" fillId="0" borderId="0"/>
    <xf numFmtId="199" fontId="90" fillId="0" borderId="0"/>
    <xf numFmtId="187" fontId="90" fillId="0" borderId="0"/>
    <xf numFmtId="207" fontId="90" fillId="0" borderId="0"/>
    <xf numFmtId="199" fontId="90" fillId="0" borderId="0"/>
    <xf numFmtId="207" fontId="90" fillId="0" borderId="0"/>
    <xf numFmtId="207" fontId="90" fillId="0" borderId="0"/>
    <xf numFmtId="199" fontId="90" fillId="0" borderId="0"/>
    <xf numFmtId="207" fontId="90" fillId="0" borderId="0"/>
    <xf numFmtId="199" fontId="90" fillId="0" borderId="0"/>
    <xf numFmtId="213" fontId="90" fillId="0" borderId="0"/>
    <xf numFmtId="43" fontId="90" fillId="0" borderId="0"/>
    <xf numFmtId="211" fontId="90" fillId="0" borderId="0"/>
    <xf numFmtId="43" fontId="90" fillId="0" borderId="0"/>
    <xf numFmtId="211" fontId="90" fillId="0" borderId="0"/>
    <xf numFmtId="211" fontId="90" fillId="0" borderId="0"/>
    <xf numFmtId="184" fontId="100" fillId="0" borderId="0"/>
    <xf numFmtId="184" fontId="100" fillId="0" borderId="0"/>
    <xf numFmtId="169" fontId="100" fillId="0" borderId="0"/>
    <xf numFmtId="211" fontId="100" fillId="0" borderId="0"/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116" fillId="0" borderId="0"/>
    <xf numFmtId="169" fontId="100" fillId="0" borderId="0"/>
    <xf numFmtId="218" fontId="115" fillId="0" borderId="0"/>
    <xf numFmtId="217" fontId="11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18" fontId="115" fillId="0" borderId="0"/>
    <xf numFmtId="217" fontId="115" fillId="0" borderId="0"/>
    <xf numFmtId="44" fontId="89" fillId="0" borderId="0"/>
    <xf numFmtId="218" fontId="115" fillId="0" borderId="0"/>
    <xf numFmtId="44" fontId="89" fillId="0" borderId="0"/>
    <xf numFmtId="44" fontId="89" fillId="0" borderId="0"/>
    <xf numFmtId="44" fontId="89" fillId="0" borderId="0"/>
    <xf numFmtId="42" fontId="89" fillId="0" borderId="0"/>
    <xf numFmtId="217" fontId="115" fillId="0" borderId="0"/>
    <xf numFmtId="42" fontId="89" fillId="0" borderId="0"/>
    <xf numFmtId="0" fontId="139" fillId="0" borderId="0"/>
    <xf numFmtId="214" fontId="120" fillId="0" borderId="0"/>
    <xf numFmtId="171" fontId="120" fillId="0" borderId="0"/>
    <xf numFmtId="0" fontId="140" fillId="0" borderId="0">
      <alignment vertical="top"/>
      <protection locked="0"/>
    </xf>
    <xf numFmtId="0" fontId="198" fillId="0" borderId="0"/>
    <xf numFmtId="42" fontId="89" fillId="0" borderId="0"/>
    <xf numFmtId="0" fontId="105" fillId="0" borderId="0">
      <alignment vertical="top"/>
      <protection locked="0"/>
    </xf>
    <xf numFmtId="0" fontId="161" fillId="0" borderId="0">
      <alignment vertical="top"/>
      <protection locked="0"/>
    </xf>
    <xf numFmtId="0" fontId="151" fillId="0" borderId="0"/>
    <xf numFmtId="0" fontId="199" fillId="0" borderId="0"/>
    <xf numFmtId="43" fontId="89" fillId="0" borderId="0"/>
    <xf numFmtId="41" fontId="89" fillId="0" borderId="0"/>
    <xf numFmtId="214" fontId="125" fillId="0" borderId="0"/>
    <xf numFmtId="171" fontId="125" fillId="0" borderId="0"/>
    <xf numFmtId="214" fontId="124" fillId="0" borderId="0"/>
    <xf numFmtId="171" fontId="124" fillId="0" borderId="0"/>
    <xf numFmtId="177" fontId="89" fillId="0" borderId="0"/>
    <xf numFmtId="232" fontId="89" fillId="0" borderId="0"/>
    <xf numFmtId="174" fontId="166" fillId="0" borderId="0"/>
    <xf numFmtId="183" fontId="166" fillId="0" borderId="0"/>
    <xf numFmtId="0" fontId="173" fillId="0" borderId="0">
      <alignment vertical="top"/>
      <protection locked="0"/>
    </xf>
    <xf numFmtId="0" fontId="200" fillId="0" borderId="0">
      <alignment vertical="top"/>
      <protection locked="0"/>
    </xf>
    <xf numFmtId="0" fontId="184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175" fillId="2" borderId="0"/>
    <xf numFmtId="9" fontId="185" fillId="0" borderId="0"/>
    <xf numFmtId="0" fontId="183" fillId="2" borderId="0"/>
    <xf numFmtId="0" fontId="1" fillId="27" borderId="0"/>
    <xf numFmtId="0" fontId="1" fillId="32" borderId="0"/>
    <xf numFmtId="0" fontId="1" fillId="31" borderId="0"/>
    <xf numFmtId="0" fontId="1" fillId="29" borderId="0"/>
    <xf numFmtId="0" fontId="1" fillId="30" borderId="0"/>
    <xf numFmtId="0" fontId="1" fillId="28" borderId="0"/>
    <xf numFmtId="0" fontId="1" fillId="62" borderId="0">
      <alignment vertical="center"/>
    </xf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>
      <alignment vertical="center"/>
    </xf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9" fillId="27" borderId="0"/>
    <xf numFmtId="0" fontId="1" fillId="27" borderId="0"/>
    <xf numFmtId="0" fontId="1" fillId="27" borderId="0"/>
    <xf numFmtId="0" fontId="1" fillId="27" borderId="0"/>
    <xf numFmtId="0" fontId="1" fillId="57" borderId="0"/>
    <xf numFmtId="0" fontId="1" fillId="27" borderId="0"/>
    <xf numFmtId="0" fontId="1" fillId="27" borderId="0"/>
    <xf numFmtId="0" fontId="1" fillId="27" borderId="0"/>
    <xf numFmtId="0" fontId="91" fillId="27" borderId="0"/>
    <xf numFmtId="0" fontId="1" fillId="27" borderId="0"/>
    <xf numFmtId="0" fontId="1" fillId="27" borderId="0"/>
    <xf numFmtId="0" fontId="1" fillId="27" borderId="0"/>
    <xf numFmtId="0" fontId="1" fillId="30" borderId="0">
      <alignment vertical="center"/>
    </xf>
    <xf numFmtId="0" fontId="1" fillId="27" borderId="0"/>
    <xf numFmtId="0" fontId="1" fillId="27" borderId="0"/>
    <xf numFmtId="0" fontId="1" fillId="27" borderId="0"/>
    <xf numFmtId="0" fontId="1" fillId="27" borderId="0">
      <alignment vertical="center"/>
    </xf>
    <xf numFmtId="0" fontId="1" fillId="27" borderId="0"/>
    <xf numFmtId="0" fontId="1" fillId="27" borderId="0"/>
    <xf numFmtId="0" fontId="1" fillId="27" borderId="0"/>
    <xf numFmtId="0" fontId="1" fillId="62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44" borderId="0">
      <alignment vertical="center"/>
    </xf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9" fillId="32" borderId="0"/>
    <xf numFmtId="0" fontId="1" fillId="32" borderId="0"/>
    <xf numFmtId="0" fontId="1" fillId="32" borderId="0"/>
    <xf numFmtId="0" fontId="1" fillId="32" borderId="0"/>
    <xf numFmtId="0" fontId="1" fillId="44" borderId="0"/>
    <xf numFmtId="0" fontId="1" fillId="32" borderId="0"/>
    <xf numFmtId="0" fontId="1" fillId="32" borderId="0"/>
    <xf numFmtId="0" fontId="1" fillId="32" borderId="0"/>
    <xf numFmtId="0" fontId="91" fillId="32" borderId="0"/>
    <xf numFmtId="0" fontId="1" fillId="32" borderId="0"/>
    <xf numFmtId="0" fontId="1" fillId="32" borderId="0"/>
    <xf numFmtId="0" fontId="1" fillId="32" borderId="0"/>
    <xf numFmtId="0" fontId="1" fillId="26" borderId="0">
      <alignment vertical="center"/>
    </xf>
    <xf numFmtId="0" fontId="1" fillId="32" borderId="0"/>
    <xf numFmtId="0" fontId="1" fillId="32" borderId="0"/>
    <xf numFmtId="0" fontId="1" fillId="32" borderId="0"/>
    <xf numFmtId="0" fontId="1" fillId="36" borderId="0">
      <alignment vertical="center"/>
    </xf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32" borderId="0"/>
    <xf numFmtId="0" fontId="1" fillId="74" borderId="0">
      <alignment vertical="center"/>
    </xf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9" fillId="31" borderId="0"/>
    <xf numFmtId="0" fontId="1" fillId="31" borderId="0"/>
    <xf numFmtId="0" fontId="1" fillId="31" borderId="0"/>
    <xf numFmtId="0" fontId="1" fillId="31" borderId="0"/>
    <xf numFmtId="0" fontId="1" fillId="74" borderId="0"/>
    <xf numFmtId="0" fontId="1" fillId="31" borderId="0"/>
    <xf numFmtId="0" fontId="1" fillId="31" borderId="0"/>
    <xf numFmtId="0" fontId="1" fillId="31" borderId="0"/>
    <xf numFmtId="0" fontId="91" fillId="31" borderId="0"/>
    <xf numFmtId="0" fontId="1" fillId="31" borderId="0"/>
    <xf numFmtId="0" fontId="1" fillId="31" borderId="0"/>
    <xf numFmtId="0" fontId="1" fillId="31" borderId="0"/>
    <xf numFmtId="0" fontId="1" fillId="4" borderId="0">
      <alignment vertical="center"/>
    </xf>
    <xf numFmtId="0" fontId="1" fillId="31" borderId="0"/>
    <xf numFmtId="0" fontId="1" fillId="31" borderId="0"/>
    <xf numFmtId="0" fontId="1" fillId="31" borderId="0"/>
    <xf numFmtId="0" fontId="1" fillId="31" borderId="0">
      <alignment vertical="center"/>
    </xf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65" borderId="0">
      <alignment vertical="center"/>
    </xf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9" fillId="29" borderId="0"/>
    <xf numFmtId="0" fontId="1" fillId="29" borderId="0"/>
    <xf numFmtId="0" fontId="1" fillId="29" borderId="0"/>
    <xf numFmtId="0" fontId="1" fillId="29" borderId="0"/>
    <xf numFmtId="0" fontId="1" fillId="65" borderId="0"/>
    <xf numFmtId="0" fontId="1" fillId="29" borderId="0"/>
    <xf numFmtId="0" fontId="1" fillId="29" borderId="0"/>
    <xf numFmtId="0" fontId="1" fillId="29" borderId="0"/>
    <xf numFmtId="0" fontId="91" fillId="29" borderId="0"/>
    <xf numFmtId="0" fontId="1" fillId="29" borderId="0"/>
    <xf numFmtId="0" fontId="1" fillId="29" borderId="0"/>
    <xf numFmtId="0" fontId="1" fillId="29" borderId="0"/>
    <xf numFmtId="0" fontId="1" fillId="26" borderId="0">
      <alignment vertical="center"/>
    </xf>
    <xf numFmtId="0" fontId="1" fillId="29" borderId="0"/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/>
    <xf numFmtId="0" fontId="1" fillId="64" borderId="0">
      <alignment vertical="center"/>
    </xf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9" fillId="30" borderId="0"/>
    <xf numFmtId="0" fontId="1" fillId="30" borderId="0"/>
    <xf numFmtId="0" fontId="1" fillId="30" borderId="0"/>
    <xf numFmtId="0" fontId="1" fillId="30" borderId="0"/>
    <xf numFmtId="0" fontId="1" fillId="53" borderId="0"/>
    <xf numFmtId="0" fontId="1" fillId="30" borderId="0"/>
    <xf numFmtId="0" fontId="1" fillId="30" borderId="0"/>
    <xf numFmtId="0" fontId="1" fillId="30" borderId="0"/>
    <xf numFmtId="0" fontId="91" fillId="30" borderId="0"/>
    <xf numFmtId="0" fontId="1" fillId="30" borderId="0"/>
    <xf numFmtId="0" fontId="1" fillId="30" borderId="0"/>
    <xf numFmtId="0" fontId="1" fillId="30" borderId="0"/>
    <xf numFmtId="0" fontId="1" fillId="27" borderId="0">
      <alignment vertical="center"/>
    </xf>
    <xf numFmtId="0" fontId="1" fillId="30" borderId="0"/>
    <xf numFmtId="0" fontId="1" fillId="30" borderId="0"/>
    <xf numFmtId="0" fontId="1" fillId="30" borderId="0"/>
    <xf numFmtId="0" fontId="1" fillId="30" borderId="0">
      <alignment vertical="center"/>
    </xf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54" borderId="0">
      <alignment vertical="center"/>
    </xf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9" fillId="28" borderId="0"/>
    <xf numFmtId="0" fontId="1" fillId="28" borderId="0"/>
    <xf numFmtId="0" fontId="1" fillId="28" borderId="0"/>
    <xf numFmtId="0" fontId="1" fillId="28" borderId="0"/>
    <xf numFmtId="0" fontId="1" fillId="49" borderId="0"/>
    <xf numFmtId="0" fontId="1" fillId="28" borderId="0"/>
    <xf numFmtId="0" fontId="1" fillId="0" borderId="0"/>
    <xf numFmtId="0" fontId="1" fillId="28" borderId="0"/>
    <xf numFmtId="0" fontId="1" fillId="0" borderId="0"/>
    <xf numFmtId="0" fontId="96" fillId="0" borderId="0">
      <alignment vertical="center"/>
    </xf>
    <xf numFmtId="0" fontId="1" fillId="28" borderId="0"/>
    <xf numFmtId="0" fontId="96" fillId="0" borderId="0">
      <alignment vertical="center"/>
    </xf>
    <xf numFmtId="0" fontId="1" fillId="0" borderId="0">
      <alignment vertical="center"/>
    </xf>
    <xf numFmtId="0" fontId="1" fillId="28" borderId="0"/>
    <xf numFmtId="0" fontId="1" fillId="28" borderId="0"/>
    <xf numFmtId="0" fontId="1" fillId="28" borderId="0"/>
    <xf numFmtId="0" fontId="91" fillId="28" borderId="0"/>
    <xf numFmtId="0" fontId="1" fillId="31" borderId="0">
      <alignment vertical="center"/>
    </xf>
    <xf numFmtId="0" fontId="1" fillId="28" borderId="0"/>
    <xf numFmtId="0" fontId="1" fillId="28" borderId="0"/>
    <xf numFmtId="0" fontId="1" fillId="28" borderId="0"/>
    <xf numFmtId="0" fontId="1" fillId="28" borderId="0">
      <alignment vertical="center"/>
    </xf>
    <xf numFmtId="0" fontId="1" fillId="0" borderId="0">
      <alignment vertical="center"/>
    </xf>
    <xf numFmtId="0" fontId="1" fillId="28" borderId="0"/>
    <xf numFmtId="0" fontId="1" fillId="0" borderId="0">
      <alignment vertical="center"/>
    </xf>
    <xf numFmtId="0" fontId="1" fillId="28" borderId="0"/>
    <xf numFmtId="0" fontId="1" fillId="0" borderId="0">
      <alignment vertical="center"/>
    </xf>
    <xf numFmtId="0" fontId="1" fillId="28" borderId="0"/>
    <xf numFmtId="0" fontId="1" fillId="28" borderId="0"/>
    <xf numFmtId="0" fontId="1" fillId="0" borderId="0">
      <alignment vertical="center"/>
    </xf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/>
    <xf numFmtId="0" fontId="1" fillId="28" borderId="0">
      <alignment vertical="center"/>
    </xf>
    <xf numFmtId="0" fontId="1" fillId="28" borderId="0"/>
    <xf numFmtId="0" fontId="1" fillId="28" borderId="0">
      <alignment vertical="center"/>
    </xf>
    <xf numFmtId="0" fontId="1" fillId="28" borderId="0"/>
    <xf numFmtId="0" fontId="1" fillId="28" borderId="0">
      <alignment vertical="center"/>
    </xf>
    <xf numFmtId="0" fontId="1" fillId="28" borderId="0"/>
    <xf numFmtId="0" fontId="204" fillId="2" borderId="0"/>
    <xf numFmtId="0" fontId="205" fillId="0" borderId="0">
      <alignment wrapText="1"/>
    </xf>
    <xf numFmtId="0" fontId="1" fillId="39" borderId="0"/>
    <xf numFmtId="0" fontId="1" fillId="36" borderId="0"/>
    <xf numFmtId="0" fontId="1" fillId="34" borderId="0"/>
    <xf numFmtId="0" fontId="1" fillId="29" borderId="0"/>
    <xf numFmtId="0" fontId="1" fillId="39" borderId="0"/>
    <xf numFmtId="0" fontId="1" fillId="33" borderId="0"/>
    <xf numFmtId="0" fontId="1" fillId="39" borderId="0">
      <alignment vertical="center"/>
    </xf>
    <xf numFmtId="0" fontId="1" fillId="55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9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9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27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6" borderId="0">
      <alignment vertical="center"/>
    </xf>
    <xf numFmtId="0" fontId="1" fillId="67" borderId="0">
      <alignment vertical="center"/>
    </xf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/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/>
    <xf numFmtId="0" fontId="1" fillId="36" borderId="0"/>
    <xf numFmtId="0" fontId="9" fillId="36" borderId="0"/>
    <xf numFmtId="0" fontId="1" fillId="36" borderId="0">
      <alignment vertical="center"/>
    </xf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/>
    <xf numFmtId="0" fontId="1" fillId="36" borderId="0">
      <alignment vertical="center"/>
    </xf>
    <xf numFmtId="0" fontId="1" fillId="36" borderId="0">
      <alignment vertical="center"/>
    </xf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>
      <alignment vertical="center"/>
    </xf>
    <xf numFmtId="0" fontId="1" fillId="36" borderId="0"/>
    <xf numFmtId="0" fontId="1" fillId="67" borderId="0"/>
    <xf numFmtId="0" fontId="91" fillId="36" borderId="0"/>
    <xf numFmtId="0" fontId="1" fillId="36" borderId="0">
      <alignment vertical="center"/>
    </xf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/>
    <xf numFmtId="0" fontId="1" fillId="28" borderId="0">
      <alignment vertical="center"/>
    </xf>
    <xf numFmtId="0" fontId="1" fillId="36" borderId="0">
      <alignment vertical="center"/>
    </xf>
    <xf numFmtId="0" fontId="1" fillId="36" borderId="0"/>
    <xf numFmtId="0" fontId="1" fillId="36" borderId="0"/>
    <xf numFmtId="0" fontId="1" fillId="36" borderId="0"/>
    <xf numFmtId="0" fontId="1" fillId="36" borderId="0">
      <alignment vertical="center"/>
    </xf>
    <xf numFmtId="0" fontId="1" fillId="36" borderId="0">
      <alignment vertical="center"/>
    </xf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/>
    <xf numFmtId="0" fontId="1" fillId="36" borderId="0">
      <alignment vertical="center"/>
    </xf>
    <xf numFmtId="0" fontId="1" fillId="36" borderId="0"/>
    <xf numFmtId="0" fontId="1" fillId="36" borderId="0"/>
    <xf numFmtId="0" fontId="1" fillId="36" borderId="0"/>
    <xf numFmtId="0" fontId="1" fillId="34" borderId="0">
      <alignment vertical="center"/>
    </xf>
    <xf numFmtId="0" fontId="1" fillId="42" borderId="0">
      <alignment vertical="center"/>
    </xf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/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>
      <alignment vertical="center"/>
    </xf>
    <xf numFmtId="0" fontId="1" fillId="34" borderId="0"/>
    <xf numFmtId="0" fontId="1" fillId="0" borderId="0">
      <alignment vertical="center"/>
    </xf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0" borderId="0">
      <alignment vertical="center"/>
    </xf>
    <xf numFmtId="0" fontId="1" fillId="34" borderId="0"/>
    <xf numFmtId="0" fontId="1" fillId="0" borderId="0">
      <alignment vertical="center"/>
    </xf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/>
    <xf numFmtId="0" fontId="1" fillId="0" borderId="0">
      <alignment vertical="center"/>
    </xf>
    <xf numFmtId="0" fontId="1" fillId="34" borderId="0"/>
    <xf numFmtId="0" fontId="1" fillId="34" borderId="0"/>
    <xf numFmtId="0" fontId="1" fillId="34" borderId="0"/>
    <xf numFmtId="0" fontId="1" fillId="34" borderId="0"/>
    <xf numFmtId="0" fontId="9" fillId="34" borderId="0">
      <alignment vertical="center"/>
    </xf>
    <xf numFmtId="0" fontId="1" fillId="34" borderId="0">
      <alignment vertical="center"/>
    </xf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/>
    <xf numFmtId="0" fontId="9" fillId="34" borderId="0"/>
    <xf numFmtId="0" fontId="1" fillId="34" borderId="0">
      <alignment vertical="center"/>
    </xf>
    <xf numFmtId="0" fontId="1" fillId="34" borderId="0">
      <alignment vertical="center"/>
    </xf>
    <xf numFmtId="0" fontId="1" fillId="34" borderId="0"/>
    <xf numFmtId="0" fontId="1" fillId="34" borderId="0"/>
    <xf numFmtId="0" fontId="1" fillId="34" borderId="0"/>
    <xf numFmtId="0" fontId="1" fillId="42" borderId="0"/>
    <xf numFmtId="0" fontId="91" fillId="34" borderId="0"/>
    <xf numFmtId="0" fontId="1" fillId="34" borderId="0">
      <alignment vertical="center"/>
    </xf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>
      <alignment vertical="center"/>
    </xf>
    <xf numFmtId="0" fontId="1" fillId="34" borderId="0"/>
    <xf numFmtId="0" fontId="91" fillId="34" borderId="0"/>
    <xf numFmtId="0" fontId="1" fillId="2" borderId="0">
      <alignment vertical="center"/>
    </xf>
    <xf numFmtId="0" fontId="1" fillId="34" borderId="0">
      <alignment vertical="center"/>
    </xf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/>
    <xf numFmtId="0" fontId="1" fillId="31" borderId="0">
      <alignment vertical="center"/>
    </xf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/>
    <xf numFmtId="0" fontId="1" fillId="34" borderId="0"/>
    <xf numFmtId="0" fontId="1" fillId="34" borderId="0">
      <alignment vertical="center"/>
    </xf>
    <xf numFmtId="0" fontId="1" fillId="34" borderId="0"/>
    <xf numFmtId="0" fontId="1" fillId="34" borderId="0"/>
    <xf numFmtId="0" fontId="1" fillId="34" borderId="0"/>
    <xf numFmtId="0" fontId="1" fillId="65" borderId="0">
      <alignment vertical="center"/>
    </xf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/>
    <xf numFmtId="0" fontId="9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65" borderId="0"/>
    <xf numFmtId="0" fontId="9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51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>
      <alignment vertical="center"/>
    </xf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/>
    <xf numFmtId="0" fontId="1" fillId="29" borderId="0">
      <alignment vertical="center"/>
    </xf>
    <xf numFmtId="0" fontId="1" fillId="29" borderId="0"/>
    <xf numFmtId="0" fontId="1" fillId="29" borderId="0"/>
    <xf numFmtId="0" fontId="1" fillId="29" borderId="0"/>
    <xf numFmtId="0" fontId="1" fillId="39" borderId="0">
      <alignment vertical="center"/>
    </xf>
    <xf numFmtId="0" fontId="1" fillId="55" borderId="0">
      <alignment vertical="center"/>
    </xf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9" fillId="39" borderId="0">
      <alignment vertical="center"/>
    </xf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9" fillId="39" borderId="0"/>
    <xf numFmtId="0" fontId="1" fillId="55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9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27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>
      <alignment vertical="center"/>
    </xf>
    <xf numFmtId="0" fontId="1" fillId="39" borderId="0"/>
    <xf numFmtId="0" fontId="1" fillId="39" borderId="0"/>
    <xf numFmtId="0" fontId="1" fillId="39" borderId="0"/>
    <xf numFmtId="0" fontId="1" fillId="33" borderId="0">
      <alignment vertical="center"/>
    </xf>
    <xf numFmtId="0" fontId="1" fillId="58" borderId="0">
      <alignment vertical="center"/>
    </xf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1" fillId="33" borderId="0"/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9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9" fillId="33" borderId="0"/>
    <xf numFmtId="0" fontId="1" fillId="58" borderId="0"/>
    <xf numFmtId="0" fontId="1" fillId="33" borderId="0"/>
    <xf numFmtId="0" fontId="1" fillId="33" borderId="0"/>
    <xf numFmtId="0" fontId="1" fillId="33" borderId="0"/>
    <xf numFmtId="0" fontId="9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2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28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1" fillId="33" borderId="0"/>
    <xf numFmtId="0" fontId="1" fillId="33" borderId="0">
      <alignment vertical="center"/>
    </xf>
    <xf numFmtId="0" fontId="1" fillId="33" borderId="0"/>
    <xf numFmtId="0" fontId="1" fillId="33" borderId="0"/>
    <xf numFmtId="0" fontId="123" fillId="0" borderId="0">
      <alignment vertical="center"/>
    </xf>
    <xf numFmtId="0" fontId="1" fillId="33" borderId="0"/>
    <xf numFmtId="0" fontId="1" fillId="33" borderId="0">
      <alignment vertical="center"/>
    </xf>
    <xf numFmtId="0" fontId="1" fillId="33" borderId="0"/>
    <xf numFmtId="0" fontId="96" fillId="0" borderId="0">
      <alignment vertical="center"/>
    </xf>
    <xf numFmtId="0" fontId="1" fillId="33" borderId="0"/>
    <xf numFmtId="0" fontId="1" fillId="33" borderId="0"/>
    <xf numFmtId="0" fontId="95" fillId="48" borderId="0"/>
    <xf numFmtId="0" fontId="95" fillId="36" borderId="0"/>
    <xf numFmtId="0" fontId="95" fillId="34" borderId="0"/>
    <xf numFmtId="0" fontId="95" fillId="35" borderId="0"/>
    <xf numFmtId="0" fontId="95" fillId="40" borderId="0"/>
    <xf numFmtId="0" fontId="95" fillId="47" borderId="0"/>
    <xf numFmtId="0" fontId="95" fillId="73" borderId="0">
      <alignment vertical="center"/>
    </xf>
    <xf numFmtId="0" fontId="95" fillId="48" borderId="0">
      <alignment vertical="center"/>
    </xf>
    <xf numFmtId="0" fontId="95" fillId="48" borderId="0"/>
    <xf numFmtId="0" fontId="95" fillId="48" borderId="0"/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/>
    <xf numFmtId="0" fontId="95" fillId="48" borderId="0"/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/>
    <xf numFmtId="0" fontId="95" fillId="48" borderId="0"/>
    <xf numFmtId="0" fontId="95" fillId="48" borderId="0"/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/>
    <xf numFmtId="0" fontId="95" fillId="48" borderId="0"/>
    <xf numFmtId="0" fontId="95" fillId="48" borderId="0"/>
    <xf numFmtId="0" fontId="95" fillId="48" borderId="0"/>
    <xf numFmtId="0" fontId="157" fillId="48" borderId="0"/>
    <xf numFmtId="0" fontId="95" fillId="48" borderId="0"/>
    <xf numFmtId="0" fontId="95" fillId="48" borderId="0"/>
    <xf numFmtId="0" fontId="95" fillId="48" borderId="0">
      <alignment vertical="center"/>
    </xf>
    <xf numFmtId="0" fontId="95" fillId="48" borderId="0"/>
    <xf numFmtId="0" fontId="102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/>
    <xf numFmtId="0" fontId="102" fillId="48" borderId="0"/>
    <xf numFmtId="0" fontId="95" fillId="39" borderId="0">
      <alignment vertical="center"/>
    </xf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39" borderId="0">
      <alignment vertical="center"/>
    </xf>
    <xf numFmtId="0" fontId="95" fillId="48" borderId="0">
      <alignment vertical="center"/>
    </xf>
    <xf numFmtId="0" fontId="95" fillId="48" borderId="0"/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>
      <alignment vertical="center"/>
    </xf>
    <xf numFmtId="0" fontId="95" fillId="48" borderId="0"/>
    <xf numFmtId="0" fontId="95" fillId="48" borderId="0"/>
    <xf numFmtId="0" fontId="95" fillId="48" borderId="0"/>
    <xf numFmtId="0" fontId="95" fillId="48" borderId="0"/>
    <xf numFmtId="0" fontId="95" fillId="48" borderId="0"/>
    <xf numFmtId="0" fontId="95" fillId="48" borderId="0">
      <alignment vertical="center"/>
    </xf>
    <xf numFmtId="0" fontId="95" fillId="48" borderId="0"/>
    <xf numFmtId="0" fontId="95" fillId="67" borderId="0">
      <alignment vertical="center"/>
    </xf>
    <xf numFmtId="0" fontId="95" fillId="36" borderId="0">
      <alignment vertical="center"/>
    </xf>
    <xf numFmtId="0" fontId="95" fillId="36" borderId="0"/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/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/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/>
    <xf numFmtId="0" fontId="95" fillId="36" borderId="0"/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/>
    <xf numFmtId="0" fontId="157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67" borderId="0"/>
    <xf numFmtId="0" fontId="95" fillId="36" borderId="0"/>
    <xf numFmtId="0" fontId="95" fillId="36" borderId="0"/>
    <xf numFmtId="0" fontId="95" fillId="36" borderId="0"/>
    <xf numFmtId="0" fontId="102" fillId="36" borderId="0">
      <alignment vertical="center"/>
    </xf>
    <xf numFmtId="0" fontId="95" fillId="36" borderId="0"/>
    <xf numFmtId="0" fontId="95" fillId="36" borderId="0"/>
    <xf numFmtId="0" fontId="95" fillId="36" borderId="0"/>
    <xf numFmtId="0" fontId="102" fillId="36" borderId="0"/>
    <xf numFmtId="0" fontId="95" fillId="28" borderId="0">
      <alignment vertical="center"/>
    </xf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36" borderId="0">
      <alignment vertical="center"/>
    </xf>
    <xf numFmtId="0" fontId="95" fillId="36" borderId="0"/>
    <xf numFmtId="0" fontId="95" fillId="42" borderId="0">
      <alignment vertical="center"/>
    </xf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/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/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/>
    <xf numFmtId="0" fontId="95" fillId="34" borderId="0"/>
    <xf numFmtId="0" fontId="95" fillId="34" borderId="0"/>
    <xf numFmtId="0" fontId="157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42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/>
    <xf numFmtId="0" fontId="102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2" borderId="0">
      <alignment vertical="center"/>
    </xf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1" borderId="0">
      <alignment vertical="center"/>
    </xf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/>
    <xf numFmtId="0" fontId="95" fillId="34" borderId="0"/>
    <xf numFmtId="0" fontId="95" fillId="34" borderId="0">
      <alignment vertical="center"/>
    </xf>
    <xf numFmtId="0" fontId="95" fillId="34" borderId="0"/>
    <xf numFmtId="0" fontId="95" fillId="34" borderId="0">
      <alignment vertical="center"/>
    </xf>
    <xf numFmtId="0" fontId="95" fillId="34" borderId="0"/>
    <xf numFmtId="0" fontId="95" fillId="71" borderId="0">
      <alignment vertical="center"/>
    </xf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157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71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102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102" fillId="35" borderId="0"/>
    <xf numFmtId="0" fontId="95" fillId="28" borderId="0">
      <alignment vertical="center"/>
    </xf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29" borderId="0">
      <alignment vertical="center"/>
    </xf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70" borderId="0">
      <alignment vertical="center"/>
    </xf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157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7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102" fillId="40" borderId="0">
      <alignment vertical="center"/>
    </xf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102" fillId="40" borderId="0"/>
    <xf numFmtId="0" fontId="95" fillId="75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39" borderId="0">
      <alignment vertical="center"/>
    </xf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61" borderId="0">
      <alignment vertical="center"/>
    </xf>
    <xf numFmtId="0" fontId="95" fillId="47" borderId="0">
      <alignment vertical="center"/>
    </xf>
    <xf numFmtId="0" fontId="95" fillId="47" borderId="0"/>
    <xf numFmtId="0" fontId="95" fillId="47" borderId="0"/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/>
    <xf numFmtId="0" fontId="95" fillId="47" borderId="0"/>
    <xf numFmtId="0" fontId="95" fillId="47" borderId="0"/>
    <xf numFmtId="0" fontId="95" fillId="47" borderId="0"/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/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/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/>
    <xf numFmtId="0" fontId="157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61" borderId="0"/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102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2" borderId="0">
      <alignment vertical="center"/>
    </xf>
    <xf numFmtId="0" fontId="95" fillId="47" borderId="0"/>
    <xf numFmtId="0" fontId="95" fillId="47" borderId="0"/>
    <xf numFmtId="0" fontId="95" fillId="47" borderId="0"/>
    <xf numFmtId="0" fontId="95" fillId="28" borderId="0">
      <alignment vertical="center"/>
    </xf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/>
    <xf numFmtId="0" fontId="95" fillId="47" borderId="0"/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0" fontId="95" fillId="47" borderId="0">
      <alignment vertical="center"/>
    </xf>
    <xf numFmtId="0" fontId="95" fillId="47" borderId="0"/>
    <xf numFmtId="9" fontId="89" fillId="0" borderId="0"/>
    <xf numFmtId="9" fontId="89" fillId="0" borderId="0"/>
    <xf numFmtId="9" fontId="89" fillId="0" borderId="0">
      <alignment vertical="center"/>
    </xf>
    <xf numFmtId="9" fontId="89" fillId="0" borderId="0"/>
    <xf numFmtId="9" fontId="89" fillId="0" borderId="0"/>
    <xf numFmtId="9" fontId="89" fillId="0" borderId="0">
      <alignment vertical="center"/>
    </xf>
    <xf numFmtId="9" fontId="89" fillId="0" borderId="0"/>
    <xf numFmtId="9" fontId="89" fillId="0" borderId="0">
      <alignment vertical="center"/>
    </xf>
    <xf numFmtId="9" fontId="89" fillId="0" borderId="0"/>
    <xf numFmtId="9" fontId="89" fillId="0" borderId="0">
      <alignment vertical="center"/>
    </xf>
    <xf numFmtId="9" fontId="89" fillId="0" borderId="0"/>
    <xf numFmtId="9" fontId="89" fillId="0" borderId="0">
      <alignment vertical="center"/>
    </xf>
    <xf numFmtId="9" fontId="89" fillId="0" borderId="0"/>
    <xf numFmtId="0" fontId="214" fillId="0" borderId="0"/>
    <xf numFmtId="172" fontId="150" fillId="0" borderId="0"/>
    <xf numFmtId="170" fontId="150" fillId="0" borderId="0"/>
    <xf numFmtId="0" fontId="95" fillId="46" borderId="0">
      <alignment vertical="center"/>
    </xf>
    <xf numFmtId="0" fontId="95" fillId="59" borderId="0">
      <alignment vertical="center"/>
    </xf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/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/>
    <xf numFmtId="0" fontId="95" fillId="46" borderId="0"/>
    <xf numFmtId="0" fontId="95" fillId="46" borderId="0"/>
    <xf numFmtId="0" fontId="95" fillId="46" borderId="0"/>
    <xf numFmtId="0" fontId="95" fillId="46" borderId="0"/>
    <xf numFmtId="0" fontId="95" fillId="46" borderId="0"/>
    <xf numFmtId="0" fontId="95" fillId="46" borderId="0"/>
    <xf numFmtId="0" fontId="95" fillId="46" borderId="0"/>
    <xf numFmtId="0" fontId="95" fillId="46" borderId="0"/>
    <xf numFmtId="0" fontId="95" fillId="46" borderId="0"/>
    <xf numFmtId="0" fontId="157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157" fillId="46" borderId="0"/>
    <xf numFmtId="0" fontId="95" fillId="59" borderId="0"/>
    <xf numFmtId="0" fontId="95" fillId="46" borderId="0"/>
    <xf numFmtId="0" fontId="95" fillId="46" borderId="0"/>
    <xf numFmtId="0" fontId="95" fillId="46" borderId="0"/>
    <xf numFmtId="0" fontId="102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76" borderId="0">
      <alignment vertical="center"/>
    </xf>
    <xf numFmtId="0" fontId="95" fillId="46" borderId="0">
      <alignment vertical="center"/>
    </xf>
    <xf numFmtId="0" fontId="95" fillId="46" borderId="0"/>
    <xf numFmtId="0" fontId="95" fillId="46" borderId="0"/>
    <xf numFmtId="0" fontId="95" fillId="46" borderId="0">
      <alignment vertical="center"/>
    </xf>
    <xf numFmtId="0" fontId="95" fillId="46" borderId="0"/>
    <xf numFmtId="0" fontId="95" fillId="40" borderId="0">
      <alignment vertical="center"/>
    </xf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/>
    <xf numFmtId="0" fontId="95" fillId="46" borderId="0">
      <alignment vertical="center"/>
    </xf>
    <xf numFmtId="0" fontId="95" fillId="46" borderId="0"/>
    <xf numFmtId="0" fontId="95" fillId="46" borderId="0"/>
    <xf numFmtId="0" fontId="95" fillId="46" borderId="0">
      <alignment vertical="center"/>
    </xf>
    <xf numFmtId="0" fontId="95" fillId="46" borderId="0"/>
    <xf numFmtId="0" fontId="95" fillId="7" borderId="0">
      <alignment vertical="center"/>
    </xf>
    <xf numFmtId="0" fontId="95" fillId="60" borderId="0">
      <alignment vertical="center"/>
    </xf>
    <xf numFmtId="0" fontId="95" fillId="7" borderId="0"/>
    <xf numFmtId="0" fontId="95" fillId="7" borderId="0"/>
    <xf numFmtId="0" fontId="95" fillId="7" borderId="0"/>
    <xf numFmtId="0" fontId="95" fillId="7" borderId="0"/>
    <xf numFmtId="0" fontId="95" fillId="7" borderId="0"/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95" fillId="7" borderId="0"/>
    <xf numFmtId="0" fontId="95" fillId="7" borderId="0"/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95" fillId="7" borderId="0"/>
    <xf numFmtId="0" fontId="95" fillId="7" borderId="0">
      <alignment vertical="center"/>
    </xf>
    <xf numFmtId="0" fontId="95" fillId="7" borderId="0"/>
    <xf numFmtId="0" fontId="157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157" fillId="7" borderId="0"/>
    <xf numFmtId="0" fontId="95" fillId="7" borderId="0">
      <alignment vertical="center"/>
    </xf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95" fillId="60" borderId="0"/>
    <xf numFmtId="0" fontId="102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95" fillId="7" borderId="0">
      <alignment vertical="center"/>
    </xf>
    <xf numFmtId="0" fontId="95" fillId="7" borderId="0"/>
    <xf numFmtId="0" fontId="95" fillId="41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/>
    <xf numFmtId="0" fontId="95" fillId="7" borderId="0">
      <alignment vertical="center"/>
    </xf>
    <xf numFmtId="0" fontId="95" fillId="7" borderId="0"/>
    <xf numFmtId="0" fontId="95" fillId="7" borderId="0">
      <alignment vertical="center"/>
    </xf>
    <xf numFmtId="0" fontId="95" fillId="7" borderId="0"/>
    <xf numFmtId="0" fontId="95" fillId="38" borderId="0">
      <alignment vertical="center"/>
    </xf>
    <xf numFmtId="0" fontId="95" fillId="63" borderId="0">
      <alignment vertical="center"/>
    </xf>
    <xf numFmtId="0" fontId="95" fillId="38" borderId="0">
      <alignment vertical="center"/>
    </xf>
    <xf numFmtId="0" fontId="95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/>
    <xf numFmtId="0" fontId="95" fillId="38" borderId="0"/>
    <xf numFmtId="0" fontId="95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157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63" borderId="0"/>
    <xf numFmtId="0" fontId="102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56" borderId="0">
      <alignment vertical="center"/>
    </xf>
    <xf numFmtId="0" fontId="95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>
      <alignment vertical="center"/>
    </xf>
    <xf numFmtId="0" fontId="95" fillId="38" borderId="0"/>
    <xf numFmtId="0" fontId="95" fillId="38" borderId="0"/>
    <xf numFmtId="0" fontId="95" fillId="38" borderId="0"/>
    <xf numFmtId="0" fontId="95" fillId="38" borderId="0"/>
    <xf numFmtId="0" fontId="95" fillId="68" borderId="0">
      <alignment vertical="center"/>
    </xf>
    <xf numFmtId="0" fontId="95" fillId="71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157" fillId="35" borderId="0">
      <alignment vertical="center"/>
    </xf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157" fillId="35" borderId="0"/>
    <xf numFmtId="0" fontId="95" fillId="68" borderId="0">
      <alignment vertical="center"/>
    </xf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71" borderId="0"/>
    <xf numFmtId="0" fontId="102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102" fillId="35" borderId="0"/>
    <xf numFmtId="0" fontId="95" fillId="33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66" borderId="0">
      <alignment vertical="center"/>
    </xf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/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35" borderId="0">
      <alignment vertical="center"/>
    </xf>
    <xf numFmtId="0" fontId="95" fillId="35" borderId="0"/>
    <xf numFmtId="0" fontId="95" fillId="40" borderId="0">
      <alignment vertical="center"/>
    </xf>
    <xf numFmtId="0" fontId="95" fillId="7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40" borderId="0"/>
    <xf numFmtId="0" fontId="157" fillId="40" borderId="0">
      <alignment vertical="center"/>
    </xf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157" fillId="40" borderId="0"/>
    <xf numFmtId="0" fontId="95" fillId="40" borderId="0">
      <alignment vertical="center"/>
    </xf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70" borderId="0"/>
    <xf numFmtId="0" fontId="102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77" borderId="0">
      <alignment vertical="center"/>
    </xf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40" borderId="0">
      <alignment vertical="center"/>
    </xf>
    <xf numFmtId="0" fontId="95" fillId="40" borderId="0"/>
    <xf numFmtId="0" fontId="95" fillId="72" borderId="0">
      <alignment vertical="center"/>
    </xf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/>
    <xf numFmtId="0" fontId="95" fillId="41" borderId="0"/>
    <xf numFmtId="0" fontId="157" fillId="41" borderId="0">
      <alignment vertical="center"/>
    </xf>
    <xf numFmtId="0" fontId="95" fillId="41" borderId="0"/>
    <xf numFmtId="0" fontId="95" fillId="41" borderId="0"/>
    <xf numFmtId="0" fontId="95" fillId="41" borderId="0"/>
    <xf numFmtId="0" fontId="157" fillId="41" borderId="0"/>
    <xf numFmtId="0" fontId="95" fillId="41" borderId="0">
      <alignment vertical="center"/>
    </xf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/>
    <xf numFmtId="0" fontId="95" fillId="72" borderId="0"/>
    <xf numFmtId="0" fontId="102" fillId="41" borderId="0"/>
    <xf numFmtId="0" fontId="95" fillId="41" borderId="0">
      <alignment vertical="center"/>
    </xf>
    <xf numFmtId="0" fontId="95" fillId="41" borderId="0"/>
    <xf numFmtId="0" fontId="95" fillId="41" borderId="0"/>
    <xf numFmtId="0" fontId="95" fillId="41" borderId="0">
      <alignment vertical="center"/>
    </xf>
    <xf numFmtId="0" fontId="95" fillId="41" borderId="0"/>
    <xf numFmtId="0" fontId="95" fillId="38" borderId="0">
      <alignment vertical="center"/>
    </xf>
    <xf numFmtId="0" fontId="95" fillId="41" borderId="0"/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/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>
      <alignment vertical="center"/>
    </xf>
    <xf numFmtId="0" fontId="95" fillId="41" borderId="0"/>
    <xf numFmtId="0" fontId="95" fillId="41" borderId="0"/>
    <xf numFmtId="168" fontId="162" fillId="0" borderId="0"/>
    <xf numFmtId="0" fontId="194" fillId="0" borderId="0"/>
    <xf numFmtId="185" fontId="100" fillId="0" borderId="0"/>
    <xf numFmtId="235" fontId="162" fillId="0" borderId="0"/>
    <xf numFmtId="0" fontId="91" fillId="0" borderId="0">
      <alignment vertical="center"/>
    </xf>
    <xf numFmtId="236" fontId="100" fillId="0" borderId="0"/>
    <xf numFmtId="0" fontId="108" fillId="0" borderId="0">
      <alignment horizontal="center" wrapText="1"/>
      <protection locked="0"/>
    </xf>
    <xf numFmtId="178" fontId="165" fillId="0" borderId="0"/>
    <xf numFmtId="0" fontId="91" fillId="0" borderId="0">
      <alignment vertical="center"/>
    </xf>
    <xf numFmtId="178" fontId="185" fillId="0" borderId="0"/>
    <xf numFmtId="44" fontId="162" fillId="0" borderId="0"/>
    <xf numFmtId="0" fontId="91" fillId="0" borderId="0">
      <alignment vertical="center"/>
    </xf>
    <xf numFmtId="190" fontId="188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181" fillId="0" borderId="0"/>
    <xf numFmtId="0" fontId="109" fillId="44" borderId="0">
      <alignment vertical="center"/>
    </xf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/>
    <xf numFmtId="0" fontId="109" fillId="32" borderId="0"/>
    <xf numFmtId="0" fontId="215" fillId="32" borderId="0">
      <alignment vertical="center"/>
    </xf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/>
    <xf numFmtId="0" fontId="215" fillId="32" borderId="0"/>
    <xf numFmtId="0" fontId="109" fillId="32" borderId="0">
      <alignment vertical="center"/>
    </xf>
    <xf numFmtId="0" fontId="109" fillId="32" borderId="0"/>
    <xf numFmtId="0" fontId="109" fillId="32" borderId="0"/>
    <xf numFmtId="0" fontId="109" fillId="32" borderId="0"/>
    <xf numFmtId="0" fontId="109" fillId="44" borderId="0"/>
    <xf numFmtId="0" fontId="192" fillId="32" borderId="0">
      <alignment vertical="center"/>
    </xf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92" fillId="32" borderId="0"/>
    <xf numFmtId="0" fontId="209" fillId="32" borderId="0">
      <alignment vertical="center"/>
    </xf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/>
    <xf numFmtId="0" fontId="128" fillId="36" borderId="0">
      <alignment vertical="center"/>
    </xf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>
      <alignment vertical="center"/>
    </xf>
    <xf numFmtId="0" fontId="109" fillId="32" borderId="0"/>
    <xf numFmtId="0" fontId="109" fillId="32" borderId="0"/>
    <xf numFmtId="0" fontId="109" fillId="32" borderId="0">
      <alignment vertical="center"/>
    </xf>
    <xf numFmtId="0" fontId="109" fillId="32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224" fontId="182" fillId="0" borderId="0">
      <alignment vertical="center"/>
    </xf>
    <xf numFmtId="224" fontId="182" fillId="0" borderId="0"/>
    <xf numFmtId="0" fontId="116" fillId="0" borderId="13"/>
    <xf numFmtId="0" fontId="116" fillId="0" borderId="13"/>
    <xf numFmtId="0" fontId="116" fillId="0" borderId="13"/>
    <xf numFmtId="0" fontId="116" fillId="0" borderId="13"/>
    <xf numFmtId="0" fontId="116" fillId="0" borderId="13"/>
    <xf numFmtId="0" fontId="116" fillId="0" borderId="13"/>
    <xf numFmtId="0" fontId="116" fillId="0" borderId="13"/>
    <xf numFmtId="0" fontId="116" fillId="0" borderId="13"/>
    <xf numFmtId="0" fontId="116" fillId="0" borderId="13"/>
    <xf numFmtId="0" fontId="117" fillId="43" borderId="13"/>
    <xf numFmtId="0" fontId="117" fillId="43" borderId="13"/>
    <xf numFmtId="0" fontId="117" fillId="43" borderId="13"/>
    <xf numFmtId="0" fontId="117" fillId="43" borderId="13"/>
    <xf numFmtId="0" fontId="117" fillId="43" borderId="13"/>
    <xf numFmtId="0" fontId="117" fillId="43" borderId="13"/>
    <xf numFmtId="0" fontId="117" fillId="43" borderId="13"/>
    <xf numFmtId="0" fontId="117" fillId="43" borderId="13"/>
    <xf numFmtId="0" fontId="117" fillId="43" borderId="13"/>
    <xf numFmtId="0" fontId="117" fillId="52" borderId="13"/>
    <xf numFmtId="0" fontId="117" fillId="52" borderId="13"/>
    <xf numFmtId="0" fontId="117" fillId="52" borderId="13"/>
    <xf numFmtId="0" fontId="117" fillId="52" borderId="13"/>
    <xf numFmtId="0" fontId="117" fillId="52" borderId="13"/>
    <xf numFmtId="0" fontId="117" fillId="52" borderId="13"/>
    <xf numFmtId="0" fontId="117" fillId="52" borderId="13"/>
    <xf numFmtId="0" fontId="117" fillId="52" borderId="13"/>
    <xf numFmtId="0" fontId="117" fillId="52" borderId="13"/>
    <xf numFmtId="0" fontId="164" fillId="0" borderId="0">
      <alignment horizontal="left"/>
    </xf>
    <xf numFmtId="0" fontId="194" fillId="0" borderId="0">
      <alignment vertical="center"/>
    </xf>
    <xf numFmtId="0" fontId="207" fillId="0" borderId="0"/>
    <xf numFmtId="0" fontId="194" fillId="0" borderId="0"/>
    <xf numFmtId="0" fontId="207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182" fontId="89" fillId="0" borderId="0">
      <alignment vertical="center"/>
    </xf>
    <xf numFmtId="182" fontId="89" fillId="0" borderId="0"/>
    <xf numFmtId="198" fontId="89" fillId="0" borderId="0"/>
    <xf numFmtId="182" fontId="89" fillId="0" borderId="0">
      <alignment vertical="center"/>
    </xf>
    <xf numFmtId="198" fontId="89" fillId="0" borderId="0"/>
    <xf numFmtId="182" fontId="89" fillId="0" borderId="0">
      <alignment vertical="center"/>
    </xf>
    <xf numFmtId="198" fontId="89" fillId="0" borderId="0"/>
    <xf numFmtId="182" fontId="89" fillId="0" borderId="0">
      <alignment vertical="center"/>
    </xf>
    <xf numFmtId="198" fontId="89" fillId="0" borderId="0"/>
    <xf numFmtId="182" fontId="89" fillId="0" borderId="0"/>
    <xf numFmtId="198" fontId="89" fillId="0" borderId="0"/>
    <xf numFmtId="182" fontId="89" fillId="0" borderId="0">
      <alignment vertical="center"/>
    </xf>
    <xf numFmtId="198" fontId="89" fillId="0" borderId="0"/>
    <xf numFmtId="182" fontId="89" fillId="0" borderId="0">
      <alignment vertical="center"/>
    </xf>
    <xf numFmtId="198" fontId="89" fillId="0" borderId="0"/>
    <xf numFmtId="198" fontId="89" fillId="0" borderId="0"/>
    <xf numFmtId="228" fontId="89" fillId="0" borderId="0">
      <alignment vertical="center"/>
    </xf>
    <xf numFmtId="228" fontId="89" fillId="0" borderId="0">
      <alignment vertical="center"/>
    </xf>
    <xf numFmtId="228" fontId="89" fillId="0" borderId="0"/>
    <xf numFmtId="228" fontId="89" fillId="0" borderId="0">
      <alignment vertical="center"/>
    </xf>
    <xf numFmtId="228" fontId="89" fillId="0" borderId="0"/>
    <xf numFmtId="228" fontId="89" fillId="0" borderId="0"/>
    <xf numFmtId="228" fontId="89" fillId="0" borderId="0">
      <alignment vertical="center"/>
    </xf>
    <xf numFmtId="228" fontId="89" fillId="0" borderId="0"/>
    <xf numFmtId="228" fontId="89" fillId="0" borderId="0">
      <alignment vertical="center"/>
    </xf>
    <xf numFmtId="228" fontId="89" fillId="0" borderId="0"/>
    <xf numFmtId="228" fontId="89" fillId="0" borderId="0">
      <alignment vertical="center"/>
    </xf>
    <xf numFmtId="228" fontId="89" fillId="0" borderId="0"/>
    <xf numFmtId="228" fontId="89" fillId="0" borderId="0"/>
    <xf numFmtId="197" fontId="89" fillId="0" borderId="0"/>
    <xf numFmtId="197" fontId="89" fillId="0" borderId="0">
      <alignment vertical="center"/>
    </xf>
    <xf numFmtId="197" fontId="89" fillId="0" borderId="0"/>
    <xf numFmtId="197" fontId="89" fillId="0" borderId="0">
      <alignment vertical="center"/>
    </xf>
    <xf numFmtId="197" fontId="89" fillId="0" borderId="0"/>
    <xf numFmtId="197" fontId="89" fillId="0" borderId="0">
      <alignment vertical="center"/>
    </xf>
    <xf numFmtId="197" fontId="89" fillId="0" borderId="0"/>
    <xf numFmtId="197" fontId="89" fillId="0" borderId="0">
      <alignment vertical="center"/>
    </xf>
    <xf numFmtId="197" fontId="89" fillId="0" borderId="0"/>
    <xf numFmtId="197" fontId="89" fillId="0" borderId="0">
      <alignment vertical="center"/>
    </xf>
    <xf numFmtId="197" fontId="89" fillId="0" borderId="0"/>
    <xf numFmtId="197" fontId="89" fillId="0" borderId="0">
      <alignment vertical="center"/>
    </xf>
    <xf numFmtId="197" fontId="89" fillId="0" borderId="0"/>
    <xf numFmtId="197" fontId="89" fillId="0" borderId="0"/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/>
    <xf numFmtId="205" fontId="89" fillId="0" borderId="0"/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230" fontId="89" fillId="0" borderId="0">
      <alignment vertical="center"/>
    </xf>
    <xf numFmtId="230" fontId="89" fillId="0" borderId="0"/>
    <xf numFmtId="230" fontId="89" fillId="0" borderId="0"/>
    <xf numFmtId="230" fontId="89" fillId="0" borderId="0">
      <alignment vertical="center"/>
    </xf>
    <xf numFmtId="230" fontId="89" fillId="0" borderId="0"/>
    <xf numFmtId="230" fontId="89" fillId="0" borderId="0"/>
    <xf numFmtId="230" fontId="89" fillId="0" borderId="0">
      <alignment vertical="center"/>
    </xf>
    <xf numFmtId="230" fontId="89" fillId="0" borderId="0"/>
    <xf numFmtId="230" fontId="89" fillId="0" borderId="0">
      <alignment vertical="center"/>
    </xf>
    <xf numFmtId="230" fontId="89" fillId="0" borderId="0"/>
    <xf numFmtId="230" fontId="89" fillId="0" borderId="0">
      <alignment vertical="center"/>
    </xf>
    <xf numFmtId="230" fontId="89" fillId="0" borderId="0"/>
    <xf numFmtId="182" fontId="89" fillId="0" borderId="0"/>
    <xf numFmtId="182" fontId="89" fillId="0" borderId="0"/>
    <xf numFmtId="198" fontId="89" fillId="0" borderId="0"/>
    <xf numFmtId="182" fontId="89" fillId="0" borderId="0">
      <alignment vertical="center"/>
    </xf>
    <xf numFmtId="198" fontId="89" fillId="0" borderId="0"/>
    <xf numFmtId="182" fontId="89" fillId="0" borderId="0">
      <alignment vertical="center"/>
    </xf>
    <xf numFmtId="198" fontId="89" fillId="0" borderId="0"/>
    <xf numFmtId="182" fontId="89" fillId="0" borderId="0">
      <alignment vertical="center"/>
    </xf>
    <xf numFmtId="198" fontId="89" fillId="0" borderId="0"/>
    <xf numFmtId="182" fontId="89" fillId="0" borderId="0"/>
    <xf numFmtId="198" fontId="89" fillId="0" borderId="0"/>
    <xf numFmtId="182" fontId="89" fillId="0" borderId="0">
      <alignment vertical="center"/>
    </xf>
    <xf numFmtId="198" fontId="89" fillId="0" borderId="0"/>
    <xf numFmtId="182" fontId="89" fillId="0" borderId="0"/>
    <xf numFmtId="198" fontId="89" fillId="0" borderId="0"/>
    <xf numFmtId="198" fontId="89" fillId="0" borderId="0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37" borderId="104">
      <alignment vertical="center"/>
    </xf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111" fillId="2" borderId="104">
      <alignment vertical="center"/>
    </xf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111" fillId="2" borderId="104"/>
    <xf numFmtId="0" fontId="111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111" fillId="2" borderId="104">
      <alignment vertical="center"/>
    </xf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>
      <alignment vertical="center"/>
    </xf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111" fillId="2" borderId="104"/>
    <xf numFmtId="0" fontId="94" fillId="2" borderId="104">
      <alignment vertical="center"/>
    </xf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37" borderId="104"/>
    <xf numFmtId="0" fontId="94" fillId="37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94" fillId="37" borderId="104"/>
    <xf numFmtId="0" fontId="112" fillId="2" borderId="104">
      <alignment vertical="center"/>
    </xf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112" fillId="2" borderId="104"/>
    <xf numFmtId="0" fontId="112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112" fillId="2" borderId="104">
      <alignment vertical="center"/>
    </xf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>
      <alignment vertical="center"/>
    </xf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12" fillId="2" borderId="104"/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168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4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>
      <alignment vertical="center"/>
    </xf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94" fillId="2" borderId="104"/>
    <xf numFmtId="0" fontId="89" fillId="0" borderId="0">
      <alignment vertical="top"/>
    </xf>
    <xf numFmtId="0" fontId="117" fillId="0" borderId="0"/>
    <xf numFmtId="0" fontId="101" fillId="0" borderId="107"/>
    <xf numFmtId="242" fontId="90" fillId="0" borderId="0"/>
    <xf numFmtId="0" fontId="155" fillId="0" borderId="0">
      <alignment vertical="center"/>
    </xf>
    <xf numFmtId="0" fontId="147" fillId="56" borderId="112">
      <alignment vertical="center"/>
    </xf>
    <xf numFmtId="0" fontId="147" fillId="69" borderId="112">
      <alignment vertical="center"/>
    </xf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/>
    <xf numFmtId="0" fontId="147" fillId="56" borderId="112"/>
    <xf numFmtId="0" fontId="147" fillId="56" borderId="112"/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/>
    <xf numFmtId="0" fontId="147" fillId="56" borderId="112"/>
    <xf numFmtId="0" fontId="147" fillId="56" borderId="112"/>
    <xf numFmtId="0" fontId="89" fillId="0" borderId="0">
      <alignment vertical="center"/>
    </xf>
    <xf numFmtId="0" fontId="89" fillId="0" borderId="0"/>
    <xf numFmtId="0" fontId="206" fillId="56" borderId="112">
      <alignment vertical="center"/>
    </xf>
    <xf numFmtId="0" fontId="147" fillId="56" borderId="112">
      <alignment vertical="center"/>
    </xf>
    <xf numFmtId="0" fontId="147" fillId="56" borderId="112"/>
    <xf numFmtId="0" fontId="147" fillId="56" borderId="112"/>
    <xf numFmtId="0" fontId="147" fillId="56" borderId="112"/>
    <xf numFmtId="0" fontId="206" fillId="56" borderId="112"/>
    <xf numFmtId="0" fontId="147" fillId="56" borderId="112">
      <alignment vertical="center"/>
    </xf>
    <xf numFmtId="0" fontId="147" fillId="56" borderId="112">
      <alignment vertical="center"/>
    </xf>
    <xf numFmtId="0" fontId="147" fillId="56" borderId="112"/>
    <xf numFmtId="0" fontId="147" fillId="56" borderId="112"/>
    <xf numFmtId="0" fontId="147" fillId="56" borderId="112"/>
    <xf numFmtId="0" fontId="147" fillId="69" borderId="112"/>
    <xf numFmtId="0" fontId="226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/>
    <xf numFmtId="0" fontId="226" fillId="56" borderId="112"/>
    <xf numFmtId="0" fontId="147" fillId="56" borderId="112">
      <alignment vertical="center"/>
    </xf>
    <xf numFmtId="0" fontId="147" fillId="56" borderId="112">
      <alignment vertical="center"/>
    </xf>
    <xf numFmtId="0" fontId="147" fillId="56" borderId="112"/>
    <xf numFmtId="0" fontId="147" fillId="56" borderId="112"/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>
      <alignment vertical="center"/>
    </xf>
    <xf numFmtId="0" fontId="147" fillId="56" borderId="112"/>
    <xf numFmtId="0" fontId="147" fillId="56" borderId="112"/>
    <xf numFmtId="0" fontId="147" fillId="56" borderId="112">
      <alignment vertical="center"/>
    </xf>
    <xf numFmtId="0" fontId="147" fillId="56" borderId="112"/>
    <xf numFmtId="1" fontId="227" fillId="0" borderId="8"/>
    <xf numFmtId="1" fontId="227" fillId="0" borderId="8"/>
    <xf numFmtId="1" fontId="227" fillId="0" borderId="8"/>
    <xf numFmtId="0" fontId="228" fillId="0" borderId="0">
      <alignment horizontal="right"/>
    </xf>
    <xf numFmtId="43" fontId="1" fillId="0" borderId="0"/>
    <xf numFmtId="0" fontId="229" fillId="0" borderId="0"/>
    <xf numFmtId="37" fontId="230" fillId="0" borderId="0"/>
    <xf numFmtId="37" fontId="230" fillId="0" borderId="0"/>
    <xf numFmtId="37" fontId="230" fillId="0" borderId="0"/>
    <xf numFmtId="37" fontId="230" fillId="0" borderId="0"/>
    <xf numFmtId="37" fontId="230" fillId="0" borderId="0"/>
    <xf numFmtId="37" fontId="230" fillId="0" borderId="0"/>
    <xf numFmtId="37" fontId="230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178" fontId="1" fillId="0" borderId="0">
      <alignment vertical="center"/>
    </xf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178" fontId="1" fillId="0" borderId="0">
      <alignment vertical="center"/>
    </xf>
    <xf numFmtId="41" fontId="91" fillId="0" borderId="0">
      <alignment vertical="center"/>
    </xf>
    <xf numFmtId="41" fontId="1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178" fontId="1" fillId="0" borderId="0">
      <alignment vertical="center"/>
    </xf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1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1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1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206" fontId="96" fillId="0" borderId="0"/>
    <xf numFmtId="41" fontId="1" fillId="0" borderId="0"/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96" fillId="0" borderId="0"/>
    <xf numFmtId="41" fontId="96" fillId="0" borderId="0"/>
    <xf numFmtId="41" fontId="1" fillId="0" borderId="0"/>
    <xf numFmtId="41" fontId="91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96" fillId="0" borderId="0"/>
    <xf numFmtId="41" fontId="96" fillId="0" borderId="0"/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9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91" fillId="0" borderId="0">
      <alignment vertical="center"/>
    </xf>
    <xf numFmtId="41" fontId="96" fillId="0" borderId="0"/>
    <xf numFmtId="41" fontId="96" fillId="0" borderId="0"/>
    <xf numFmtId="41" fontId="1" fillId="0" borderId="0"/>
    <xf numFmtId="41" fontId="96" fillId="0" borderId="0"/>
    <xf numFmtId="41" fontId="96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96" fillId="0" borderId="0"/>
    <xf numFmtId="41" fontId="96" fillId="0" borderId="0"/>
    <xf numFmtId="41" fontId="91" fillId="0" borderId="0">
      <alignment vertical="center"/>
    </xf>
    <xf numFmtId="41" fontId="1" fillId="0" borderId="0"/>
    <xf numFmtId="41" fontId="96" fillId="0" borderId="0"/>
    <xf numFmtId="41" fontId="96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38" fontId="193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41" fontId="1" fillId="0" borderId="0">
      <alignment vertical="center"/>
    </xf>
    <xf numFmtId="41" fontId="96" fillId="0" borderId="0"/>
    <xf numFmtId="41" fontId="96" fillId="0" borderId="0"/>
    <xf numFmtId="41" fontId="96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96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96" fillId="0" borderId="0"/>
    <xf numFmtId="41" fontId="91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6" fillId="0" borderId="0"/>
    <xf numFmtId="41" fontId="96" fillId="0" borderId="0"/>
    <xf numFmtId="41" fontId="96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96" fillId="0" borderId="0"/>
    <xf numFmtId="41" fontId="96" fillId="0" borderId="0"/>
    <xf numFmtId="41" fontId="96" fillId="0" borderId="0"/>
    <xf numFmtId="41" fontId="96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6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206" fontId="96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38" fontId="193" fillId="0" borderId="0"/>
    <xf numFmtId="38" fontId="167" fillId="0" borderId="0"/>
    <xf numFmtId="38" fontId="193" fillId="0" borderId="0"/>
    <xf numFmtId="38" fontId="193" fillId="0" borderId="0"/>
    <xf numFmtId="178" fontId="1" fillId="0" borderId="0">
      <alignment vertical="center"/>
    </xf>
    <xf numFmtId="178" fontId="1" fillId="0" borderId="0">
      <alignment vertical="center"/>
    </xf>
    <xf numFmtId="41" fontId="96" fillId="0" borderId="0"/>
    <xf numFmtId="41" fontId="9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6" fillId="0" borderId="0"/>
    <xf numFmtId="41" fontId="9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>
      <alignment vertical="center"/>
    </xf>
    <xf numFmtId="41" fontId="9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6" fillId="0" borderId="0"/>
    <xf numFmtId="41" fontId="9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89" fillId="0" borderId="0"/>
    <xf numFmtId="41" fontId="1" fillId="0" borderId="0">
      <alignment vertical="center"/>
    </xf>
    <xf numFmtId="41" fontId="96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1" fillId="0" borderId="0"/>
    <xf numFmtId="41" fontId="211" fillId="0" borderId="0">
      <protection locked="0"/>
    </xf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38" fontId="91" fillId="0" borderId="0">
      <alignment vertical="center"/>
    </xf>
    <xf numFmtId="41" fontId="1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41" fontId="91" fillId="0" borderId="0">
      <alignment vertical="center"/>
    </xf>
    <xf numFmtId="41" fontId="96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178" fontId="122" fillId="0" borderId="0">
      <alignment vertical="center"/>
    </xf>
    <xf numFmtId="178" fontId="122" fillId="0" borderId="0">
      <alignment vertical="center"/>
    </xf>
    <xf numFmtId="178" fontId="122" fillId="0" borderId="0">
      <alignment vertical="center"/>
    </xf>
    <xf numFmtId="178" fontId="122" fillId="0" borderId="0">
      <alignment vertical="center"/>
    </xf>
    <xf numFmtId="178" fontId="122" fillId="0" borderId="0">
      <alignment vertical="center"/>
    </xf>
    <xf numFmtId="178" fontId="122" fillId="0" borderId="0">
      <alignment vertical="center"/>
    </xf>
    <xf numFmtId="178" fontId="122" fillId="0" borderId="0">
      <alignment vertical="center"/>
    </xf>
    <xf numFmtId="178" fontId="122" fillId="0" borderId="0">
      <alignment vertical="center"/>
    </xf>
    <xf numFmtId="178" fontId="122" fillId="0" borderId="0">
      <alignment vertical="center"/>
    </xf>
    <xf numFmtId="41" fontId="96" fillId="0" borderId="0"/>
    <xf numFmtId="41" fontId="91" fillId="0" borderId="0">
      <alignment vertical="center"/>
    </xf>
    <xf numFmtId="41" fontId="91" fillId="0" borderId="0">
      <alignment vertical="center"/>
    </xf>
    <xf numFmtId="41" fontId="96" fillId="0" borderId="0"/>
    <xf numFmtId="41" fontId="96" fillId="0" borderId="0"/>
    <xf numFmtId="41" fontId="96" fillId="0" borderId="0"/>
    <xf numFmtId="41" fontId="96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96" fillId="0" borderId="0"/>
    <xf numFmtId="41" fontId="96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96" fillId="0" borderId="0"/>
    <xf numFmtId="41" fontId="96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91" fillId="0" borderId="0">
      <alignment vertical="center"/>
    </xf>
    <xf numFmtId="41" fontId="9" fillId="0" borderId="0"/>
    <xf numFmtId="41" fontId="1" fillId="0" borderId="0"/>
    <xf numFmtId="206" fontId="96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9" fillId="0" borderId="0"/>
    <xf numFmtId="41" fontId="9" fillId="0" borderId="0"/>
    <xf numFmtId="41" fontId="9" fillId="0" borderId="0"/>
    <xf numFmtId="41" fontId="89" fillId="0" borderId="0"/>
    <xf numFmtId="41" fontId="1" fillId="0" borderId="0"/>
    <xf numFmtId="206" fontId="96" fillId="0" borderId="0"/>
    <xf numFmtId="41" fontId="91" fillId="0" borderId="0">
      <alignment vertical="center"/>
    </xf>
    <xf numFmtId="41" fontId="9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9" fillId="0" borderId="0"/>
    <xf numFmtId="41" fontId="9" fillId="0" borderId="0"/>
    <xf numFmtId="41" fontId="9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9" fillId="0" borderId="0"/>
    <xf numFmtId="41" fontId="9" fillId="0" borderId="0"/>
    <xf numFmtId="41" fontId="9" fillId="0" borderId="0"/>
    <xf numFmtId="41" fontId="9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9" fillId="0" borderId="0"/>
    <xf numFmtId="41" fontId="9" fillId="0" borderId="0"/>
    <xf numFmtId="41" fontId="9" fillId="0" borderId="0"/>
    <xf numFmtId="41" fontId="9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9" fillId="0" borderId="0"/>
    <xf numFmtId="41" fontId="9" fillId="0" borderId="0"/>
    <xf numFmtId="41" fontId="9" fillId="0" borderId="0"/>
    <xf numFmtId="41" fontId="9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41" fontId="9" fillId="0" borderId="0"/>
    <xf numFmtId="41" fontId="9" fillId="0" borderId="0"/>
    <xf numFmtId="41" fontId="9" fillId="0" borderId="0"/>
    <xf numFmtId="41" fontId="9" fillId="0" borderId="0"/>
    <xf numFmtId="41" fontId="1" fillId="0" borderId="0"/>
    <xf numFmtId="41" fontId="91" fillId="0" borderId="0">
      <alignment vertical="center"/>
    </xf>
    <xf numFmtId="41" fontId="9" fillId="0" borderId="0"/>
    <xf numFmtId="41" fontId="9" fillId="0" borderId="0"/>
    <xf numFmtId="41" fontId="9" fillId="0" borderId="0"/>
    <xf numFmtId="41" fontId="9" fillId="0" borderId="0"/>
    <xf numFmtId="41" fontId="1" fillId="0" borderId="0"/>
    <xf numFmtId="41" fontId="91" fillId="0" borderId="0">
      <alignment vertical="center"/>
    </xf>
    <xf numFmtId="41" fontId="9" fillId="0" borderId="0"/>
    <xf numFmtId="41" fontId="9" fillId="0" borderId="0"/>
    <xf numFmtId="41" fontId="9" fillId="0" borderId="0"/>
    <xf numFmtId="41" fontId="9" fillId="0" borderId="0"/>
    <xf numFmtId="41" fontId="1" fillId="0" borderId="0">
      <alignment vertical="center"/>
    </xf>
    <xf numFmtId="178" fontId="122" fillId="0" borderId="0">
      <alignment vertical="center"/>
    </xf>
    <xf numFmtId="206" fontId="1" fillId="0" borderId="0"/>
    <xf numFmtId="178" fontId="1" fillId="0" borderId="0">
      <alignment vertical="center"/>
    </xf>
    <xf numFmtId="206" fontId="1" fillId="0" borderId="0"/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206" fontId="91" fillId="0" borderId="0">
      <alignment vertical="center"/>
    </xf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41" fontId="1" fillId="0" borderId="0">
      <alignment vertical="center"/>
    </xf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41" fontId="239" fillId="0" borderId="0"/>
    <xf numFmtId="41" fontId="239" fillId="0" borderId="0"/>
    <xf numFmtId="41" fontId="219" fillId="0" borderId="0"/>
    <xf numFmtId="206" fontId="96" fillId="0" borderId="0"/>
    <xf numFmtId="206" fontId="9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41" fontId="1" fillId="0" borderId="0">
      <alignment vertical="center"/>
    </xf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178" fontId="1" fillId="0" borderId="0">
      <alignment vertical="center"/>
    </xf>
    <xf numFmtId="41" fontId="96" fillId="0" borderId="0"/>
    <xf numFmtId="41" fontId="96" fillId="0" borderId="0"/>
    <xf numFmtId="41" fontId="96" fillId="0" borderId="0"/>
    <xf numFmtId="206" fontId="96" fillId="0" borderId="0"/>
    <xf numFmtId="41" fontId="91" fillId="0" borderId="0">
      <alignment vertical="center"/>
    </xf>
    <xf numFmtId="41" fontId="89" fillId="0" borderId="0"/>
    <xf numFmtId="41" fontId="89" fillId="0" borderId="0"/>
    <xf numFmtId="178" fontId="1" fillId="0" borderId="0">
      <alignment vertical="center"/>
    </xf>
    <xf numFmtId="206" fontId="96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91" fillId="0" borderId="0">
      <alignment vertical="center"/>
    </xf>
    <xf numFmtId="41" fontId="89" fillId="0" borderId="0"/>
    <xf numFmtId="41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178" fontId="1" fillId="0" borderId="0">
      <alignment vertical="center"/>
    </xf>
    <xf numFmtId="41" fontId="96" fillId="0" borderId="0"/>
    <xf numFmtId="206" fontId="9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206" fontId="91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41" fontId="1" fillId="0" borderId="0"/>
    <xf numFmtId="206" fontId="9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178" fontId="1" fillId="0" borderId="0">
      <alignment vertical="center"/>
    </xf>
    <xf numFmtId="206" fontId="9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178" fontId="1" fillId="0" borderId="0">
      <alignment vertical="center"/>
    </xf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41" fontId="1" fillId="0" borderId="0"/>
    <xf numFmtId="206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/>
    <xf numFmtId="41" fontId="1" fillId="0" borderId="0">
      <alignment vertical="center"/>
    </xf>
    <xf numFmtId="41" fontId="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41" fontId="1" fillId="0" borderId="0"/>
    <xf numFmtId="206" fontId="9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41" fontId="1" fillId="0" borderId="0"/>
    <xf numFmtId="206" fontId="9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41" fontId="1" fillId="0" borderId="0">
      <alignment vertical="center"/>
    </xf>
    <xf numFmtId="206" fontId="9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41" fontId="1" fillId="0" borderId="0">
      <alignment vertical="center"/>
    </xf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41" fontId="4" fillId="0" borderId="0"/>
    <xf numFmtId="206" fontId="9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41" fontId="1" fillId="0" borderId="0">
      <alignment vertical="center"/>
    </xf>
    <xf numFmtId="206" fontId="91" fillId="0" borderId="0">
      <alignment vertical="center"/>
    </xf>
    <xf numFmtId="206" fontId="89" fillId="0" borderId="0"/>
    <xf numFmtId="206" fontId="89" fillId="0" borderId="0"/>
    <xf numFmtId="206" fontId="89" fillId="0" borderId="0"/>
    <xf numFmtId="206" fontId="89" fillId="0" borderId="0"/>
    <xf numFmtId="41" fontId="1" fillId="0" borderId="0">
      <alignment vertical="center"/>
    </xf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91" fillId="0" borderId="0">
      <alignment vertical="center"/>
    </xf>
    <xf numFmtId="206" fontId="89" fillId="0" borderId="0"/>
    <xf numFmtId="206" fontId="89" fillId="0" borderId="0"/>
    <xf numFmtId="41" fontId="91" fillId="0" borderId="0">
      <alignment vertical="center"/>
    </xf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41" fontId="91" fillId="0" borderId="0">
      <alignment vertical="center"/>
    </xf>
    <xf numFmtId="41" fontId="96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41" fontId="96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96" fillId="0" borderId="0"/>
    <xf numFmtId="41" fontId="96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1" fillId="0" borderId="0"/>
    <xf numFmtId="41" fontId="91" fillId="0" borderId="0">
      <alignment vertical="center"/>
    </xf>
    <xf numFmtId="41" fontId="89" fillId="0" borderId="0"/>
    <xf numFmtId="41" fontId="89" fillId="0" borderId="0"/>
    <xf numFmtId="41" fontId="89" fillId="0" borderId="0"/>
    <xf numFmtId="41" fontId="89" fillId="0" borderId="0"/>
    <xf numFmtId="41" fontId="1" fillId="0" borderId="0">
      <alignment vertical="center"/>
    </xf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>
      <alignment vertical="center"/>
    </xf>
    <xf numFmtId="41" fontId="91" fillId="0" borderId="0">
      <alignment vertical="center"/>
    </xf>
    <xf numFmtId="41" fontId="1" fillId="0" borderId="0"/>
    <xf numFmtId="41" fontId="1" fillId="0" borderId="0"/>
    <xf numFmtId="41" fontId="1" fillId="0" borderId="0"/>
    <xf numFmtId="41" fontId="1" fillId="0" borderId="0"/>
    <xf numFmtId="41" fontId="96" fillId="0" borderId="0"/>
    <xf numFmtId="41" fontId="96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41" fontId="91" fillId="0" borderId="0">
      <alignment vertical="center"/>
    </xf>
    <xf numFmtId="41" fontId="1" fillId="0" borderId="0"/>
    <xf numFmtId="176" fontId="91" fillId="0" borderId="0">
      <alignment vertical="center"/>
    </xf>
    <xf numFmtId="176" fontId="91" fillId="0" borderId="0">
      <alignment vertical="center"/>
    </xf>
    <xf numFmtId="176" fontId="89" fillId="0" borderId="0"/>
    <xf numFmtId="176" fontId="91" fillId="0" borderId="0">
      <alignment vertical="center"/>
    </xf>
    <xf numFmtId="176" fontId="89" fillId="0" borderId="0"/>
    <xf numFmtId="176" fontId="91" fillId="0" borderId="0">
      <alignment vertical="center"/>
    </xf>
    <xf numFmtId="176" fontId="89" fillId="0" borderId="0"/>
    <xf numFmtId="176" fontId="91" fillId="0" borderId="0">
      <alignment vertical="center"/>
    </xf>
    <xf numFmtId="176" fontId="89" fillId="0" borderId="0"/>
    <xf numFmtId="176" fontId="91" fillId="0" borderId="0">
      <alignment vertical="center"/>
    </xf>
    <xf numFmtId="176" fontId="89" fillId="0" borderId="0"/>
    <xf numFmtId="176" fontId="91" fillId="0" borderId="0">
      <alignment vertical="center"/>
    </xf>
    <xf numFmtId="176" fontId="89" fillId="0" borderId="0"/>
    <xf numFmtId="176" fontId="91" fillId="0" borderId="0">
      <alignment vertical="center"/>
    </xf>
    <xf numFmtId="176" fontId="89" fillId="0" borderId="0"/>
    <xf numFmtId="176" fontId="89" fillId="0" borderId="0"/>
    <xf numFmtId="0" fontId="91" fillId="0" borderId="0">
      <alignment vertical="center"/>
    </xf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211" fontId="96" fillId="0" borderId="0"/>
    <xf numFmtId="43" fontId="96" fillId="0" borderId="0"/>
    <xf numFmtId="43" fontId="96" fillId="0" borderId="0"/>
    <xf numFmtId="43" fontId="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89" fillId="0" borderId="0"/>
    <xf numFmtId="43" fontId="89" fillId="0" borderId="0"/>
    <xf numFmtId="43" fontId="4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43" fontId="9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91" fillId="0" borderId="0">
      <alignment vertical="center"/>
    </xf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1" fillId="0" borderId="0"/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/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/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211" fontId="89" fillId="0" borderId="0"/>
    <xf numFmtId="211" fontId="89" fillId="0" borderId="0"/>
    <xf numFmtId="211" fontId="89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1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229" fontId="89" fillId="0" borderId="0"/>
    <xf numFmtId="229" fontId="89" fillId="0" borderId="0"/>
    <xf numFmtId="229" fontId="89" fillId="0" borderId="0"/>
    <xf numFmtId="229" fontId="89" fillId="0" borderId="0"/>
    <xf numFmtId="43" fontId="1" fillId="0" borderId="0"/>
    <xf numFmtId="211" fontId="1" fillId="0" borderId="0">
      <alignment vertical="center"/>
    </xf>
    <xf numFmtId="211" fontId="1" fillId="0" borderId="0">
      <alignment vertical="center"/>
    </xf>
    <xf numFmtId="211" fontId="1" fillId="0" borderId="0">
      <alignment vertical="center"/>
    </xf>
    <xf numFmtId="211" fontId="1" fillId="0" borderId="0">
      <alignment vertical="center"/>
    </xf>
    <xf numFmtId="211" fontId="1" fillId="0" borderId="0">
      <alignment vertical="center"/>
    </xf>
    <xf numFmtId="190" fontId="122" fillId="0" borderId="0">
      <alignment vertical="center"/>
    </xf>
    <xf numFmtId="190" fontId="122" fillId="0" borderId="0">
      <alignment vertical="center"/>
    </xf>
    <xf numFmtId="190" fontId="122" fillId="0" borderId="0">
      <alignment vertical="center"/>
    </xf>
    <xf numFmtId="190" fontId="122" fillId="0" borderId="0">
      <alignment vertical="center"/>
    </xf>
    <xf numFmtId="190" fontId="122" fillId="0" borderId="0">
      <alignment vertical="center"/>
    </xf>
    <xf numFmtId="190" fontId="122" fillId="0" borderId="0">
      <alignment vertical="center"/>
    </xf>
    <xf numFmtId="43" fontId="91" fillId="0" borderId="0">
      <alignment vertical="center"/>
    </xf>
    <xf numFmtId="43" fontId="1" fillId="0" borderId="0"/>
    <xf numFmtId="43" fontId="1" fillId="0" borderId="0"/>
    <xf numFmtId="43" fontId="4" fillId="0" borderId="0"/>
    <xf numFmtId="43" fontId="91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1" fillId="0" borderId="0"/>
    <xf numFmtId="190" fontId="122" fillId="0" borderId="0">
      <alignment vertical="center"/>
    </xf>
    <xf numFmtId="190" fontId="122" fillId="0" borderId="0">
      <alignment vertical="center"/>
    </xf>
    <xf numFmtId="190" fontId="122" fillId="0" borderId="0">
      <alignment vertical="center"/>
    </xf>
    <xf numFmtId="190" fontId="122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192" fontId="89" fillId="0" borderId="0">
      <alignment vertical="center"/>
    </xf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192" fontId="89" fillId="0" borderId="0"/>
    <xf numFmtId="192" fontId="89" fillId="0" borderId="0"/>
    <xf numFmtId="192" fontId="89" fillId="0" borderId="0"/>
    <xf numFmtId="192" fontId="89" fillId="0" borderId="0"/>
    <xf numFmtId="43" fontId="4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/>
    <xf numFmtId="43" fontId="96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9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4" fillId="0" borderId="0"/>
    <xf numFmtId="43" fontId="91" fillId="0" borderId="0">
      <alignment vertical="center"/>
    </xf>
    <xf numFmtId="43" fontId="1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>
      <alignment vertical="center"/>
    </xf>
    <xf numFmtId="43" fontId="9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>
      <alignment vertical="center"/>
    </xf>
    <xf numFmtId="43" fontId="9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9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4" fillId="0" borderId="0"/>
    <xf numFmtId="43" fontId="9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/>
    <xf numFmtId="43" fontId="96" fillId="0" borderId="0"/>
    <xf numFmtId="43" fontId="96" fillId="0" borderId="0"/>
    <xf numFmtId="43" fontId="1" fillId="0" borderId="0">
      <alignment vertical="center"/>
    </xf>
    <xf numFmtId="43" fontId="9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/>
    <xf numFmtId="43" fontId="96" fillId="0" borderId="0"/>
    <xf numFmtId="43" fontId="96" fillId="0" borderId="0"/>
    <xf numFmtId="43" fontId="1" fillId="0" borderId="0"/>
    <xf numFmtId="43" fontId="96" fillId="0" borderId="0"/>
    <xf numFmtId="43" fontId="96" fillId="0" borderId="0"/>
    <xf numFmtId="43" fontId="1" fillId="0" borderId="0">
      <alignment vertical="center"/>
    </xf>
    <xf numFmtId="43" fontId="9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/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91" fillId="0" borderId="0">
      <alignment vertical="center"/>
    </xf>
    <xf numFmtId="43" fontId="191" fillId="0" borderId="0"/>
    <xf numFmtId="43" fontId="1" fillId="0" borderId="0">
      <alignment vertical="center"/>
    </xf>
    <xf numFmtId="43" fontId="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/>
    <xf numFmtId="43" fontId="96" fillId="0" borderId="0"/>
    <xf numFmtId="43" fontId="96" fillId="0" borderId="0"/>
    <xf numFmtId="43" fontId="1" fillId="0" borderId="0"/>
    <xf numFmtId="43" fontId="91" fillId="0" borderId="0">
      <alignment vertical="center"/>
    </xf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/>
    <xf numFmtId="43" fontId="96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1" fillId="0" borderId="0">
      <alignment vertical="center"/>
    </xf>
    <xf numFmtId="43" fontId="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1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211" fontId="96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9" fillId="0" borderId="0"/>
    <xf numFmtId="0" fontId="123" fillId="0" borderId="0">
      <alignment vertical="center"/>
    </xf>
    <xf numFmtId="43" fontId="9" fillId="0" borderId="0"/>
    <xf numFmtId="0" fontId="123" fillId="0" borderId="0">
      <alignment vertical="center"/>
    </xf>
    <xf numFmtId="43" fontId="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0" fontId="91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0" fontId="91" fillId="0" borderId="0">
      <alignment vertical="center"/>
    </xf>
    <xf numFmtId="43" fontId="89" fillId="0" borderId="0"/>
    <xf numFmtId="0" fontId="91" fillId="0" borderId="0">
      <alignment vertical="center"/>
    </xf>
    <xf numFmtId="43" fontId="89" fillId="0" borderId="0"/>
    <xf numFmtId="0" fontId="91" fillId="0" borderId="0">
      <alignment vertical="center"/>
    </xf>
    <xf numFmtId="0" fontId="123" fillId="0" borderId="0">
      <alignment vertical="center"/>
    </xf>
    <xf numFmtId="0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0" fontId="91" fillId="0" borderId="0">
      <alignment vertical="center"/>
    </xf>
    <xf numFmtId="43" fontId="89" fillId="0" borderId="0"/>
    <xf numFmtId="0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0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0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91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219" fontId="122" fillId="0" borderId="0">
      <alignment vertical="center"/>
    </xf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1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1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1" fillId="0" borderId="0">
      <alignment vertical="center"/>
    </xf>
    <xf numFmtId="43" fontId="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1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1" fillId="0" borderId="0"/>
    <xf numFmtId="43" fontId="1" fillId="0" borderId="0"/>
    <xf numFmtId="43" fontId="91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211" fontId="96" fillId="0" borderId="0"/>
    <xf numFmtId="43" fontId="91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1" fillId="0" borderId="0"/>
    <xf numFmtId="43" fontId="1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/>
    <xf numFmtId="43" fontId="96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229" fontId="171" fillId="0" borderId="0"/>
    <xf numFmtId="43" fontId="91" fillId="0" borderId="0"/>
    <xf numFmtId="43" fontId="1" fillId="0" borderId="0"/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243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1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1" fillId="0" borderId="0">
      <alignment vertical="center"/>
    </xf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211" fontId="89" fillId="0" borderId="0"/>
    <xf numFmtId="211" fontId="89" fillId="0" borderId="0"/>
    <xf numFmtId="43" fontId="91" fillId="0" borderId="0">
      <alignment vertical="center"/>
    </xf>
    <xf numFmtId="43" fontId="91" fillId="0" borderId="0">
      <alignment vertical="center"/>
    </xf>
    <xf numFmtId="43" fontId="1" fillId="0" borderId="0"/>
    <xf numFmtId="43" fontId="91" fillId="0" borderId="0">
      <alignment vertical="center"/>
    </xf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211" fontId="96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/>
    <xf numFmtId="43" fontId="96" fillId="0" borderId="0"/>
    <xf numFmtId="43" fontId="89" fillId="0" borderId="0"/>
    <xf numFmtId="43" fontId="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43" fontId="1" fillId="0" borderId="0"/>
    <xf numFmtId="211" fontId="96" fillId="0" borderId="0"/>
    <xf numFmtId="211" fontId="89" fillId="0" borderId="0"/>
    <xf numFmtId="211" fontId="89" fillId="0" borderId="0"/>
    <xf numFmtId="211" fontId="89" fillId="0" borderId="0"/>
    <xf numFmtId="43" fontId="1" fillId="0" borderId="0">
      <alignment vertical="center"/>
    </xf>
    <xf numFmtId="211" fontId="91" fillId="0" borderId="0">
      <alignment vertical="center"/>
    </xf>
    <xf numFmtId="211" fontId="89" fillId="0" borderId="0"/>
    <xf numFmtId="211" fontId="91" fillId="0" borderId="0">
      <alignment vertical="center"/>
    </xf>
    <xf numFmtId="211" fontId="89" fillId="0" borderId="0"/>
    <xf numFmtId="211" fontId="91" fillId="0" borderId="0">
      <alignment vertical="center"/>
    </xf>
    <xf numFmtId="211" fontId="89" fillId="0" borderId="0"/>
    <xf numFmtId="211" fontId="91" fillId="0" borderId="0">
      <alignment vertical="center"/>
    </xf>
    <xf numFmtId="211" fontId="89" fillId="0" borderId="0"/>
    <xf numFmtId="211" fontId="91" fillId="0" borderId="0">
      <alignment vertical="center"/>
    </xf>
    <xf numFmtId="211" fontId="89" fillId="0" borderId="0"/>
    <xf numFmtId="211" fontId="89" fillId="0" borderId="0"/>
    <xf numFmtId="211" fontId="89" fillId="0" borderId="0"/>
    <xf numFmtId="211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43" fontId="1" fillId="0" borderId="0">
      <alignment vertical="center"/>
    </xf>
    <xf numFmtId="211" fontId="91" fillId="0" borderId="0">
      <alignment vertical="center"/>
    </xf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43" fontId="96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43" fontId="4" fillId="0" borderId="0"/>
    <xf numFmtId="43" fontId="96" fillId="0" borderId="0"/>
    <xf numFmtId="211" fontId="89" fillId="0" borderId="0"/>
    <xf numFmtId="211" fontId="89" fillId="0" borderId="0"/>
    <xf numFmtId="211" fontId="89" fillId="0" borderId="0"/>
    <xf numFmtId="43" fontId="1" fillId="0" borderId="0">
      <alignment vertical="center"/>
    </xf>
    <xf numFmtId="211" fontId="89" fillId="0" borderId="0"/>
    <xf numFmtId="211" fontId="89" fillId="0" borderId="0"/>
    <xf numFmtId="211" fontId="89" fillId="0" borderId="0"/>
    <xf numFmtId="211" fontId="89" fillId="0" borderId="0"/>
    <xf numFmtId="211" fontId="91" fillId="0" borderId="0">
      <alignment vertical="center"/>
    </xf>
    <xf numFmtId="211" fontId="89" fillId="0" borderId="0"/>
    <xf numFmtId="211" fontId="89" fillId="0" borderId="0"/>
    <xf numFmtId="211" fontId="91" fillId="0" borderId="0">
      <alignment vertical="center"/>
    </xf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43" fontId="1" fillId="0" borderId="0">
      <alignment vertical="center"/>
    </xf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91" fillId="0" borderId="0">
      <alignment vertical="center"/>
    </xf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4" fillId="0" borderId="0"/>
    <xf numFmtId="43" fontId="9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91" fillId="0" borderId="0">
      <alignment vertical="center"/>
    </xf>
    <xf numFmtId="43" fontId="89" fillId="0" borderId="0"/>
    <xf numFmtId="43" fontId="89" fillId="0" borderId="0"/>
    <xf numFmtId="211" fontId="89" fillId="0" borderId="0"/>
    <xf numFmtId="211" fontId="89" fillId="0" borderId="0"/>
    <xf numFmtId="43" fontId="1" fillId="0" borderId="0"/>
    <xf numFmtId="43" fontId="1" fillId="0" borderId="0">
      <alignment vertical="center"/>
    </xf>
    <xf numFmtId="43" fontId="1" fillId="0" borderId="0">
      <alignment vertical="center"/>
    </xf>
    <xf numFmtId="211" fontId="89" fillId="0" borderId="0"/>
    <xf numFmtId="211" fontId="89" fillId="0" borderId="0"/>
    <xf numFmtId="211" fontId="89" fillId="0" borderId="0"/>
    <xf numFmtId="211" fontId="89" fillId="0" borderId="0"/>
    <xf numFmtId="43" fontId="1" fillId="0" borderId="0"/>
    <xf numFmtId="43" fontId="122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4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1" fillId="0" borderId="0">
      <alignment vertical="center"/>
    </xf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43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43" fontId="91" fillId="0" borderId="0">
      <alignment vertical="center"/>
    </xf>
    <xf numFmtId="43" fontId="1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91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>
      <alignment vertical="center"/>
    </xf>
    <xf numFmtId="43" fontId="1" fillId="0" borderId="0"/>
    <xf numFmtId="43" fontId="91" fillId="0" borderId="0"/>
    <xf numFmtId="43" fontId="91" fillId="0" borderId="0"/>
    <xf numFmtId="43" fontId="91" fillId="0" borderId="0"/>
    <xf numFmtId="43" fontId="91" fillId="0" borderId="0"/>
    <xf numFmtId="43" fontId="91" fillId="0" borderId="0"/>
    <xf numFmtId="43" fontId="1" fillId="0" borderId="0"/>
    <xf numFmtId="43" fontId="1" fillId="0" borderId="0"/>
    <xf numFmtId="43" fontId="1" fillId="0" borderId="0"/>
    <xf numFmtId="43" fontId="4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211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3" fontId="89" fillId="0" borderId="0"/>
    <xf numFmtId="0" fontId="116" fillId="0" borderId="0"/>
    <xf numFmtId="3" fontId="89" fillId="0" borderId="0"/>
    <xf numFmtId="3" fontId="89" fillId="0" borderId="0"/>
    <xf numFmtId="3" fontId="89" fillId="0" borderId="0"/>
    <xf numFmtId="3" fontId="89" fillId="0" borderId="0"/>
    <xf numFmtId="3" fontId="89" fillId="0" borderId="0"/>
    <xf numFmtId="3" fontId="91" fillId="0" borderId="0">
      <alignment vertical="center"/>
    </xf>
    <xf numFmtId="3" fontId="89" fillId="0" borderId="0"/>
    <xf numFmtId="3" fontId="89" fillId="0" borderId="0"/>
    <xf numFmtId="0" fontId="116" fillId="0" borderId="0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0" fontId="118" fillId="26" borderId="103"/>
    <xf numFmtId="231" fontId="89" fillId="0" borderId="0"/>
    <xf numFmtId="0" fontId="229" fillId="0" borderId="0">
      <alignment vertical="center"/>
    </xf>
    <xf numFmtId="0" fontId="229" fillId="0" borderId="0"/>
    <xf numFmtId="0" fontId="229" fillId="0" borderId="0"/>
    <xf numFmtId="244" fontId="244" fillId="0" borderId="0">
      <alignment horizontal="center"/>
    </xf>
    <xf numFmtId="244" fontId="244" fillId="0" borderId="0">
      <alignment horizontal="center"/>
    </xf>
    <xf numFmtId="244" fontId="244" fillId="0" borderId="0">
      <alignment horizontal="center"/>
    </xf>
    <xf numFmtId="8" fontId="89" fillId="0" borderId="13">
      <alignment vertical="center"/>
    </xf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>
      <alignment vertical="center"/>
    </xf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>
      <alignment vertical="center"/>
    </xf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>
      <alignment vertical="center"/>
    </xf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>
      <alignment vertical="center"/>
    </xf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>
      <alignment vertical="center"/>
    </xf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8" fontId="89" fillId="0" borderId="13"/>
    <xf numFmtId="42" fontId="1" fillId="0" borderId="0"/>
    <xf numFmtId="42" fontId="1" fillId="0" borderId="0"/>
    <xf numFmtId="42" fontId="1" fillId="0" borderId="0"/>
    <xf numFmtId="42" fontId="1" fillId="0" borderId="0"/>
    <xf numFmtId="42" fontId="1" fillId="0" borderId="0"/>
    <xf numFmtId="42" fontId="96" fillId="0" borderId="0"/>
    <xf numFmtId="42" fontId="96" fillId="0" borderId="0"/>
    <xf numFmtId="42" fontId="96" fillId="0" borderId="0"/>
    <xf numFmtId="42" fontId="96" fillId="0" borderId="0"/>
    <xf numFmtId="219" fontId="1" fillId="0" borderId="0"/>
    <xf numFmtId="219" fontId="96" fillId="0" borderId="0"/>
    <xf numFmtId="219" fontId="96" fillId="0" borderId="0"/>
    <xf numFmtId="219" fontId="96" fillId="0" borderId="0"/>
    <xf numFmtId="219" fontId="96" fillId="0" borderId="0"/>
    <xf numFmtId="42" fontId="96" fillId="0" borderId="0"/>
    <xf numFmtId="42" fontId="96" fillId="0" borderId="0"/>
    <xf numFmtId="245" fontId="89" fillId="0" borderId="0"/>
    <xf numFmtId="182" fontId="89" fillId="0" borderId="0"/>
    <xf numFmtId="182" fontId="91" fillId="0" borderId="0">
      <alignment vertical="center"/>
    </xf>
    <xf numFmtId="198" fontId="89" fillId="0" borderId="0"/>
    <xf numFmtId="182" fontId="91" fillId="0" borderId="0">
      <alignment vertical="center"/>
    </xf>
    <xf numFmtId="198" fontId="89" fillId="0" borderId="0"/>
    <xf numFmtId="182" fontId="89" fillId="0" borderId="0"/>
    <xf numFmtId="198" fontId="89" fillId="0" borderId="0"/>
    <xf numFmtId="182" fontId="91" fillId="0" borderId="0">
      <alignment vertical="center"/>
    </xf>
    <xf numFmtId="198" fontId="89" fillId="0" borderId="0"/>
    <xf numFmtId="182" fontId="89" fillId="0" borderId="0"/>
    <xf numFmtId="198" fontId="89" fillId="0" borderId="0"/>
    <xf numFmtId="182" fontId="91" fillId="0" borderId="0">
      <alignment vertical="center"/>
    </xf>
    <xf numFmtId="198" fontId="89" fillId="0" borderId="0"/>
    <xf numFmtId="182" fontId="89" fillId="0" borderId="0"/>
    <xf numFmtId="198" fontId="89" fillId="0" borderId="0"/>
    <xf numFmtId="198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4" fontId="171" fillId="0" borderId="0"/>
    <xf numFmtId="234" fontId="96" fillId="0" borderId="0"/>
    <xf numFmtId="234" fontId="96" fillId="0" borderId="0"/>
    <xf numFmtId="234" fontId="96" fillId="0" borderId="0"/>
    <xf numFmtId="234" fontId="96" fillId="0" borderId="0"/>
    <xf numFmtId="164" fontId="171" fillId="0" borderId="0"/>
    <xf numFmtId="164" fontId="171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44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166" fontId="89" fillId="0" borderId="0"/>
    <xf numFmtId="246" fontId="89" fillId="0" borderId="0"/>
    <xf numFmtId="0" fontId="91" fillId="0" borderId="0">
      <alignment vertical="center"/>
    </xf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91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horizontal="left" wrapText="1"/>
    </xf>
    <xf numFmtId="0" fontId="89" fillId="0" borderId="0">
      <alignment wrapText="1"/>
    </xf>
    <xf numFmtId="0" fontId="89" fillId="0" borderId="0">
      <alignment wrapText="1"/>
    </xf>
    <xf numFmtId="0" fontId="89" fillId="0" borderId="0">
      <alignment wrapText="1"/>
    </xf>
    <xf numFmtId="37" fontId="89" fillId="0" borderId="0">
      <protection locked="0"/>
    </xf>
    <xf numFmtId="37" fontId="89" fillId="0" borderId="0">
      <alignment vertical="center"/>
      <protection locked="0"/>
    </xf>
    <xf numFmtId="37" fontId="89" fillId="0" borderId="0">
      <protection locked="0"/>
    </xf>
    <xf numFmtId="37" fontId="89" fillId="0" borderId="0">
      <alignment vertical="center"/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alignment vertical="center"/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14" fontId="91" fillId="0" borderId="0"/>
    <xf numFmtId="14" fontId="91" fillId="0" borderId="0">
      <alignment vertical="center"/>
    </xf>
    <xf numFmtId="14" fontId="91" fillId="0" borderId="0"/>
    <xf numFmtId="14" fontId="91" fillId="0" borderId="0">
      <alignment vertical="center"/>
    </xf>
    <xf numFmtId="14" fontId="91" fillId="0" borderId="0"/>
    <xf numFmtId="14" fontId="91" fillId="0" borderId="0">
      <alignment vertical="center"/>
    </xf>
    <xf numFmtId="14" fontId="91" fillId="0" borderId="0"/>
    <xf numFmtId="14" fontId="91" fillId="0" borderId="0">
      <alignment vertical="center"/>
    </xf>
    <xf numFmtId="14" fontId="91" fillId="0" borderId="0"/>
    <xf numFmtId="14" fontId="91" fillId="0" borderId="0">
      <alignment vertical="center"/>
    </xf>
    <xf numFmtId="14" fontId="91" fillId="0" borderId="0"/>
    <xf numFmtId="14" fontId="91" fillId="0" borderId="0">
      <alignment vertical="center"/>
    </xf>
    <xf numFmtId="14" fontId="91" fillId="0" borderId="0"/>
    <xf numFmtId="14" fontId="91" fillId="0" borderId="0">
      <alignment vertical="center"/>
    </xf>
    <xf numFmtId="14" fontId="91" fillId="0" borderId="0"/>
    <xf numFmtId="14" fontId="91" fillId="0" borderId="0"/>
    <xf numFmtId="37" fontId="89" fillId="0" borderId="0">
      <alignment vertical="center"/>
      <protection locked="0"/>
    </xf>
    <xf numFmtId="165" fontId="89" fillId="0" borderId="0"/>
    <xf numFmtId="243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148" fillId="0" borderId="0">
      <alignment horizontal="left"/>
    </xf>
    <xf numFmtId="0" fontId="16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208" fontId="89" fillId="0" borderId="0">
      <alignment vertical="center"/>
    </xf>
    <xf numFmtId="208" fontId="89" fillId="0" borderId="0">
      <alignment vertical="center"/>
    </xf>
    <xf numFmtId="167" fontId="89" fillId="0" borderId="0"/>
    <xf numFmtId="208" fontId="89" fillId="0" borderId="0">
      <alignment vertical="center"/>
    </xf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167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/>
    <xf numFmtId="205" fontId="89" fillId="0" borderId="0"/>
    <xf numFmtId="205" fontId="89" fillId="0" borderId="0"/>
    <xf numFmtId="205" fontId="89" fillId="0" borderId="0"/>
    <xf numFmtId="205" fontId="89" fillId="0" borderId="0"/>
    <xf numFmtId="205" fontId="89" fillId="0" borderId="0">
      <alignment vertical="center"/>
    </xf>
    <xf numFmtId="205" fontId="89" fillId="0" borderId="0"/>
    <xf numFmtId="208" fontId="89" fillId="0" borderId="0">
      <alignment vertical="center"/>
    </xf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>
      <alignment vertical="center"/>
    </xf>
    <xf numFmtId="167" fontId="89" fillId="0" borderId="0"/>
    <xf numFmtId="208" fontId="89" fillId="0" borderId="0">
      <alignment vertical="center"/>
    </xf>
    <xf numFmtId="167" fontId="89" fillId="0" borderId="0"/>
    <xf numFmtId="208" fontId="89" fillId="0" borderId="0">
      <alignment vertical="center"/>
    </xf>
    <xf numFmtId="167" fontId="89" fillId="0" borderId="0"/>
    <xf numFmtId="208" fontId="89" fillId="0" borderId="0">
      <alignment vertical="center"/>
    </xf>
    <xf numFmtId="167" fontId="89" fillId="0" borderId="0"/>
    <xf numFmtId="167" fontId="89" fillId="0" borderId="0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237" fillId="0" borderId="0">
      <alignment horizontal="right"/>
    </xf>
    <xf numFmtId="247" fontId="89" fillId="0" borderId="0"/>
    <xf numFmtId="248" fontId="118" fillId="0" borderId="0"/>
    <xf numFmtId="0" fontId="1" fillId="0" borderId="0"/>
    <xf numFmtId="249" fontId="211" fillId="0" borderId="0"/>
    <xf numFmtId="249" fontId="211" fillId="0" borderId="0"/>
    <xf numFmtId="249" fontId="211" fillId="0" borderId="0"/>
    <xf numFmtId="249" fontId="211" fillId="0" borderId="0"/>
    <xf numFmtId="249" fontId="211" fillId="0" borderId="0"/>
    <xf numFmtId="249" fontId="1" fillId="0" borderId="0">
      <alignment vertical="center"/>
    </xf>
    <xf numFmtId="241" fontId="211" fillId="0" borderId="0">
      <protection locked="0"/>
    </xf>
    <xf numFmtId="249" fontId="1" fillId="0" borderId="0">
      <alignment vertical="center"/>
    </xf>
    <xf numFmtId="0" fontId="1" fillId="0" borderId="0">
      <alignment vertical="center"/>
      <protection locked="0"/>
    </xf>
    <xf numFmtId="0" fontId="211" fillId="0" borderId="0">
      <protection locked="0"/>
    </xf>
    <xf numFmtId="0" fontId="211" fillId="0" borderId="0">
      <protection locked="0"/>
    </xf>
    <xf numFmtId="0" fontId="211" fillId="0" borderId="0">
      <protection locked="0"/>
    </xf>
    <xf numFmtId="0" fontId="21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249" fontId="1" fillId="0" borderId="0"/>
    <xf numFmtId="241" fontId="211" fillId="0" borderId="0"/>
    <xf numFmtId="224" fontId="89" fillId="0" borderId="0"/>
    <xf numFmtId="224" fontId="89" fillId="0" borderId="0"/>
    <xf numFmtId="0" fontId="155" fillId="0" borderId="0">
      <alignment vertical="center"/>
    </xf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" fillId="0" borderId="0"/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/>
    <xf numFmtId="0" fontId="155" fillId="0" borderId="0"/>
    <xf numFmtId="0" fontId="155" fillId="0" borderId="0">
      <alignment vertical="center"/>
    </xf>
    <xf numFmtId="0" fontId="155" fillId="0" borderId="0"/>
    <xf numFmtId="0" fontId="210" fillId="0" borderId="0">
      <alignment vertical="center"/>
    </xf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210" fillId="0" borderId="0"/>
    <xf numFmtId="0" fontId="155" fillId="0" borderId="0">
      <alignment vertical="center"/>
    </xf>
    <xf numFmtId="0" fontId="155" fillId="0" borderId="0"/>
    <xf numFmtId="0" fontId="155" fillId="0" borderId="0"/>
    <xf numFmtId="0" fontId="155" fillId="0" borderId="0"/>
    <xf numFmtId="0" fontId="186" fillId="0" borderId="0">
      <alignment vertical="center"/>
    </xf>
    <xf numFmtId="0" fontId="155" fillId="0" borderId="0"/>
    <xf numFmtId="0" fontId="155" fillId="0" borderId="0"/>
    <xf numFmtId="0" fontId="155" fillId="0" borderId="0"/>
    <xf numFmtId="0" fontId="186" fillId="0" borderId="0"/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/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/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155" fillId="0" borderId="0">
      <alignment vertical="center"/>
    </xf>
    <xf numFmtId="0" fontId="155" fillId="0" borderId="0"/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alignment vertical="center"/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37" fontId="89" fillId="0" borderId="0">
      <protection locked="0"/>
    </xf>
    <xf numFmtId="37" fontId="89" fillId="0" borderId="0">
      <alignment vertical="center"/>
      <protection locked="0"/>
    </xf>
    <xf numFmtId="37" fontId="89" fillId="0" borderId="0">
      <protection locked="0"/>
    </xf>
    <xf numFmtId="37" fontId="89" fillId="0" borderId="0">
      <alignment vertical="center"/>
      <protection locked="0"/>
    </xf>
    <xf numFmtId="37" fontId="89" fillId="0" borderId="0">
      <protection locked="0"/>
    </xf>
    <xf numFmtId="37" fontId="89" fillId="0" borderId="0">
      <alignment vertical="center"/>
      <protection locked="0"/>
    </xf>
    <xf numFmtId="37" fontId="89" fillId="0" borderId="0">
      <protection locked="0"/>
    </xf>
    <xf numFmtId="37" fontId="89" fillId="0" borderId="0">
      <alignment vertical="center"/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0" fontId="144" fillId="0" borderId="0">
      <alignment vertical="top"/>
      <protection locked="0"/>
    </xf>
    <xf numFmtId="0" fontId="140" fillId="0" borderId="0">
      <alignment vertical="top"/>
      <protection locked="0"/>
    </xf>
    <xf numFmtId="0" fontId="140" fillId="0" borderId="0">
      <alignment vertical="top"/>
      <protection locked="0"/>
    </xf>
    <xf numFmtId="0" fontId="242" fillId="0" borderId="0"/>
    <xf numFmtId="0" fontId="236" fillId="0" borderId="0">
      <alignment vertical="center"/>
    </xf>
    <xf numFmtId="0" fontId="245" fillId="0" borderId="0"/>
    <xf numFmtId="0" fontId="241" fillId="0" borderId="0">
      <alignment vertical="center"/>
    </xf>
    <xf numFmtId="0" fontId="179" fillId="0" borderId="0"/>
    <xf numFmtId="0" fontId="235" fillId="0" borderId="0"/>
    <xf numFmtId="240" fontId="225" fillId="0" borderId="126"/>
    <xf numFmtId="0" fontId="246" fillId="0" borderId="0"/>
    <xf numFmtId="0" fontId="247" fillId="0" borderId="0">
      <alignment horizontal="right"/>
    </xf>
    <xf numFmtId="0" fontId="107" fillId="74" borderId="0">
      <alignment vertical="center"/>
    </xf>
    <xf numFmtId="0" fontId="107" fillId="31" borderId="0"/>
    <xf numFmtId="0" fontId="107" fillId="31" borderId="0"/>
    <xf numFmtId="0" fontId="107" fillId="31" borderId="0"/>
    <xf numFmtId="0" fontId="107" fillId="31" borderId="0"/>
    <xf numFmtId="0" fontId="107" fillId="31" borderId="0"/>
    <xf numFmtId="0" fontId="107" fillId="31" borderId="0"/>
    <xf numFmtId="0" fontId="107" fillId="31" borderId="0"/>
    <xf numFmtId="0" fontId="107" fillId="31" borderId="0"/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/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/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7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77" fillId="31" borderId="0"/>
    <xf numFmtId="0" fontId="107" fillId="31" borderId="0">
      <alignment vertical="center"/>
    </xf>
    <xf numFmtId="0" fontId="107" fillId="31" borderId="0"/>
    <xf numFmtId="0" fontId="107" fillId="31" borderId="0"/>
    <xf numFmtId="0" fontId="107" fillId="31" borderId="0"/>
    <xf numFmtId="0" fontId="107" fillId="74" borderId="0"/>
    <xf numFmtId="0" fontId="178" fillId="31" borderId="0">
      <alignment vertical="center"/>
    </xf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/>
    <xf numFmtId="0" fontId="178" fillId="31" borderId="0"/>
    <xf numFmtId="0" fontId="107" fillId="31" borderId="0">
      <alignment vertical="center"/>
    </xf>
    <xf numFmtId="0" fontId="107" fillId="31" borderId="0"/>
    <xf numFmtId="0" fontId="107" fillId="31" borderId="0"/>
    <xf numFmtId="0" fontId="107" fillId="31" borderId="0"/>
    <xf numFmtId="0" fontId="107" fillId="31" borderId="0">
      <alignment vertical="center"/>
    </xf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107" fillId="31" borderId="0">
      <alignment vertical="center"/>
    </xf>
    <xf numFmtId="0" fontId="107" fillId="31" borderId="0"/>
    <xf numFmtId="0" fontId="50" fillId="2" borderId="0">
      <alignment vertical="center"/>
    </xf>
    <xf numFmtId="0" fontId="50" fillId="2" borderId="0">
      <alignment vertical="center"/>
    </xf>
    <xf numFmtId="38" fontId="50" fillId="2" borderId="0"/>
    <xf numFmtId="0" fontId="50" fillId="2" borderId="0">
      <alignment vertical="center"/>
    </xf>
    <xf numFmtId="38" fontId="50" fillId="2" borderId="0"/>
    <xf numFmtId="38" fontId="50" fillId="2" borderId="0"/>
    <xf numFmtId="38" fontId="50" fillId="2" borderId="0"/>
    <xf numFmtId="38" fontId="50" fillId="2" borderId="0"/>
    <xf numFmtId="38" fontId="50" fillId="2" borderId="0"/>
    <xf numFmtId="38" fontId="50" fillId="2" borderId="0"/>
    <xf numFmtId="38" fontId="50" fillId="2" borderId="0"/>
    <xf numFmtId="38" fontId="50" fillId="2" borderId="0"/>
    <xf numFmtId="0" fontId="216" fillId="0" borderId="0">
      <alignment horizontal="left"/>
    </xf>
    <xf numFmtId="0" fontId="231" fillId="80" borderId="127">
      <alignment vertical="center"/>
    </xf>
    <xf numFmtId="0" fontId="231" fillId="80" borderId="127"/>
    <xf numFmtId="0" fontId="156" fillId="0" borderId="2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156" fillId="0" borderId="11">
      <alignment horizontal="left" vertical="center"/>
    </xf>
    <xf numFmtId="0" fontId="221" fillId="51" borderId="21">
      <alignment vertical="center" wrapText="1"/>
    </xf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>
      <alignment vertical="center"/>
    </xf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221" fillId="79" borderId="123">
      <alignment vertical="center" wrapText="1"/>
    </xf>
    <xf numFmtId="0" fontId="163" fillId="0" borderId="114"/>
    <xf numFmtId="0" fontId="163" fillId="0" borderId="114"/>
    <xf numFmtId="0" fontId="163" fillId="0" borderId="114"/>
    <xf numFmtId="0" fontId="223" fillId="0" borderId="114"/>
    <xf numFmtId="0" fontId="163" fillId="0" borderId="114"/>
    <xf numFmtId="0" fontId="163" fillId="0" borderId="114"/>
    <xf numFmtId="0" fontId="163" fillId="0" borderId="114"/>
    <xf numFmtId="0" fontId="224" fillId="0" borderId="125">
      <alignment vertical="center"/>
    </xf>
    <xf numFmtId="0" fontId="163" fillId="0" borderId="114"/>
    <xf numFmtId="0" fontId="163" fillId="0" borderId="114"/>
    <xf numFmtId="0" fontId="163" fillId="0" borderId="114"/>
    <xf numFmtId="0" fontId="222" fillId="0" borderId="124">
      <alignment vertical="center"/>
    </xf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63" fillId="0" borderId="114"/>
    <xf numFmtId="0" fontId="106" fillId="0" borderId="109">
      <alignment vertical="center"/>
    </xf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213" fillId="0" borderId="109"/>
    <xf numFmtId="0" fontId="106" fillId="0" borderId="109"/>
    <xf numFmtId="0" fontId="106" fillId="0" borderId="109"/>
    <xf numFmtId="0" fontId="106" fillId="0" borderId="109"/>
    <xf numFmtId="0" fontId="248" fillId="0" borderId="125">
      <alignment vertical="center"/>
    </xf>
    <xf numFmtId="0" fontId="106" fillId="0" borderId="109"/>
    <xf numFmtId="0" fontId="106" fillId="0" borderId="109"/>
    <xf numFmtId="0" fontId="106" fillId="0" borderId="109"/>
    <xf numFmtId="0" fontId="249" fillId="0" borderId="124">
      <alignment vertical="center"/>
    </xf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106" fillId="0" borderId="109"/>
    <xf numFmtId="0" fontId="93" fillId="0" borderId="108">
      <alignment vertical="center"/>
    </xf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172" fillId="0" borderId="117">
      <alignment vertical="center"/>
    </xf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172" fillId="0" borderId="117">
      <alignment vertical="center"/>
    </xf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172" fillId="0" borderId="117">
      <alignment vertical="center"/>
    </xf>
    <xf numFmtId="0" fontId="93" fillId="0" borderId="108"/>
    <xf numFmtId="0" fontId="93" fillId="0" borderId="108"/>
    <xf numFmtId="0" fontId="93" fillId="0" borderId="108"/>
    <xf numFmtId="0" fontId="93" fillId="0" borderId="108"/>
    <xf numFmtId="0" fontId="172" fillId="0" borderId="119"/>
    <xf numFmtId="0" fontId="172" fillId="0" borderId="119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172" fillId="0" borderId="119"/>
    <xf numFmtId="0" fontId="176" fillId="0" borderId="118"/>
    <xf numFmtId="0" fontId="159" fillId="0" borderId="108"/>
    <xf numFmtId="0" fontId="93" fillId="0" borderId="108"/>
    <xf numFmtId="0" fontId="93" fillId="0" borderId="108"/>
    <xf numFmtId="0" fontId="93" fillId="0" borderId="108"/>
    <xf numFmtId="0" fontId="154" fillId="0" borderId="117">
      <alignment vertical="center"/>
    </xf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108"/>
    <xf numFmtId="0" fontId="93" fillId="0" borderId="0">
      <alignment vertical="center"/>
    </xf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59" fillId="0" borderId="0"/>
    <xf numFmtId="0" fontId="93" fillId="0" borderId="0"/>
    <xf numFmtId="0" fontId="93" fillId="0" borderId="0"/>
    <xf numFmtId="0" fontId="93" fillId="0" borderId="0"/>
    <xf numFmtId="0" fontId="154" fillId="0" borderId="0">
      <alignment vertical="center"/>
    </xf>
    <xf numFmtId="0" fontId="93" fillId="0" borderId="0"/>
    <xf numFmtId="0" fontId="93" fillId="0" borderId="0"/>
    <xf numFmtId="0" fontId="93" fillId="0" borderId="0"/>
    <xf numFmtId="0" fontId="172" fillId="0" borderId="0">
      <alignment vertical="center"/>
    </xf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>
      <alignment vertical="center"/>
    </xf>
    <xf numFmtId="0" fontId="93" fillId="0" borderId="0"/>
    <xf numFmtId="0" fontId="93" fillId="0" borderId="0"/>
    <xf numFmtId="0" fontId="93" fillId="0" borderId="0"/>
    <xf numFmtId="0" fontId="93" fillId="0" borderId="0">
      <alignment vertical="center"/>
    </xf>
    <xf numFmtId="0" fontId="93" fillId="0" borderId="0"/>
    <xf numFmtId="0" fontId="93" fillId="0" borderId="0"/>
    <xf numFmtId="0" fontId="93" fillId="0" borderId="0"/>
    <xf numFmtId="0" fontId="93" fillId="0" borderId="0">
      <alignment vertical="center"/>
    </xf>
    <xf numFmtId="0" fontId="93" fillId="0" borderId="0"/>
    <xf numFmtId="0" fontId="93" fillId="0" borderId="0">
      <alignment vertical="center"/>
    </xf>
    <xf numFmtId="0" fontId="93" fillId="0" borderId="0"/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alignment vertical="center"/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37" fontId="89" fillId="0" borderId="0">
      <protection locked="0"/>
    </xf>
    <xf numFmtId="0" fontId="216" fillId="0" borderId="0"/>
    <xf numFmtId="0" fontId="250" fillId="0" borderId="0">
      <alignment vertical="top"/>
      <protection locked="0"/>
    </xf>
    <xf numFmtId="0" fontId="250" fillId="0" borderId="0">
      <alignment vertical="top"/>
      <protection locked="0"/>
    </xf>
    <xf numFmtId="0" fontId="251" fillId="0" borderId="0"/>
    <xf numFmtId="206" fontId="90" fillId="0" borderId="0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10" fontId="50" fillId="26" borderId="13"/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54" borderId="104">
      <alignment vertical="center"/>
    </xf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119" fillId="28" borderId="104"/>
    <xf numFmtId="0" fontId="119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119" fillId="28" borderId="104"/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28" borderId="104">
      <alignment vertical="center"/>
    </xf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49" borderId="104"/>
    <xf numFmtId="0" fontId="92" fillId="49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92" fillId="49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113" fillId="28" borderId="104"/>
    <xf numFmtId="0" fontId="113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113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>
      <alignment vertical="center"/>
    </xf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>
      <alignment vertical="center"/>
    </xf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>
      <alignment vertical="center"/>
    </xf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0" fontId="92" fillId="28" borderId="104"/>
    <xf numFmtId="239" fontId="252" fillId="81" borderId="0"/>
    <xf numFmtId="0" fontId="109" fillId="32" borderId="0"/>
    <xf numFmtId="0" fontId="91" fillId="0" borderId="0">
      <alignment horizontal="left"/>
    </xf>
    <xf numFmtId="0" fontId="144" fillId="0" borderId="0">
      <alignment vertical="top"/>
      <protection locked="0"/>
    </xf>
    <xf numFmtId="0" fontId="140" fillId="0" borderId="0">
      <alignment vertical="top"/>
      <protection locked="0"/>
    </xf>
    <xf numFmtId="0" fontId="140" fillId="0" borderId="0">
      <alignment vertical="top"/>
      <protection locked="0"/>
    </xf>
    <xf numFmtId="0" fontId="140" fillId="0" borderId="0">
      <alignment vertical="top"/>
      <protection locked="0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08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167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05" fontId="89" fillId="0" borderId="0">
      <alignment vertical="center"/>
    </xf>
    <xf numFmtId="205" fontId="89" fillId="0" borderId="0"/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/>
    <xf numFmtId="205" fontId="89" fillId="0" borderId="0"/>
    <xf numFmtId="205" fontId="89" fillId="0" borderId="0"/>
    <xf numFmtId="208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167" fontId="89" fillId="0" borderId="0"/>
    <xf numFmtId="0" fontId="101" fillId="0" borderId="107">
      <alignment vertical="center"/>
    </xf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253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254" fillId="0" borderId="107"/>
    <xf numFmtId="0" fontId="101" fillId="0" borderId="107"/>
    <xf numFmtId="0" fontId="101" fillId="0" borderId="107"/>
    <xf numFmtId="0" fontId="101" fillId="0" borderId="107"/>
    <xf numFmtId="0" fontId="255" fillId="0" borderId="107">
      <alignment vertical="center"/>
    </xf>
    <xf numFmtId="0" fontId="101" fillId="0" borderId="107"/>
    <xf numFmtId="0" fontId="101" fillId="0" borderId="107"/>
    <xf numFmtId="0" fontId="101" fillId="0" borderId="107"/>
    <xf numFmtId="0" fontId="101" fillId="0" borderId="107">
      <alignment vertical="center"/>
    </xf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0" fontId="101" fillId="0" borderId="107"/>
    <xf numFmtId="239" fontId="220" fillId="78" borderId="0"/>
    <xf numFmtId="44" fontId="122" fillId="0" borderId="0">
      <alignment horizontal="justify"/>
    </xf>
    <xf numFmtId="250" fontId="89" fillId="0" borderId="0"/>
    <xf numFmtId="251" fontId="89" fillId="0" borderId="0"/>
    <xf numFmtId="38" fontId="256" fillId="0" borderId="0"/>
    <xf numFmtId="225" fontId="89" fillId="0" borderId="0"/>
    <xf numFmtId="0" fontId="174" fillId="0" borderId="120"/>
    <xf numFmtId="237" fontId="89" fillId="0" borderId="0"/>
    <xf numFmtId="252" fontId="89" fillId="0" borderId="0"/>
    <xf numFmtId="180" fontId="89" fillId="0" borderId="0"/>
    <xf numFmtId="253" fontId="89" fillId="0" borderId="0"/>
    <xf numFmtId="0" fontId="238" fillId="0" borderId="0"/>
    <xf numFmtId="0" fontId="182" fillId="0" borderId="0"/>
    <xf numFmtId="0" fontId="182" fillId="0" borderId="0"/>
    <xf numFmtId="4" fontId="257" fillId="0" borderId="128"/>
    <xf numFmtId="4" fontId="257" fillId="0" borderId="128"/>
    <xf numFmtId="4" fontId="257" fillId="0" borderId="128"/>
    <xf numFmtId="4" fontId="257" fillId="0" borderId="128"/>
    <xf numFmtId="4" fontId="257" fillId="0" borderId="128"/>
    <xf numFmtId="0" fontId="128" fillId="51" borderId="0">
      <alignment vertical="center"/>
    </xf>
    <xf numFmtId="0" fontId="128" fillId="79" borderId="0">
      <alignment vertical="center"/>
    </xf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232" fillId="51" borderId="0">
      <alignment vertical="center"/>
    </xf>
    <xf numFmtId="0" fontId="128" fillId="51" borderId="0"/>
    <xf numFmtId="0" fontId="128" fillId="51" borderId="0"/>
    <xf numFmtId="0" fontId="128" fillId="51" borderId="0"/>
    <xf numFmtId="0" fontId="232" fillId="51" borderId="0"/>
    <xf numFmtId="0" fontId="128" fillId="51" borderId="0">
      <alignment vertical="center"/>
    </xf>
    <xf numFmtId="0" fontId="128" fillId="51" borderId="0"/>
    <xf numFmtId="0" fontId="128" fillId="51" borderId="0"/>
    <xf numFmtId="0" fontId="128" fillId="51" borderId="0"/>
    <xf numFmtId="0" fontId="128" fillId="79" borderId="0"/>
    <xf numFmtId="0" fontId="233" fillId="51" borderId="0"/>
    <xf numFmtId="0" fontId="128" fillId="51" borderId="0"/>
    <xf numFmtId="0" fontId="128" fillId="51" borderId="0"/>
    <xf numFmtId="0" fontId="128" fillId="51" borderId="0"/>
    <xf numFmtId="0" fontId="234" fillId="51" borderId="0">
      <alignment vertical="center"/>
    </xf>
    <xf numFmtId="0" fontId="128" fillId="51" borderId="0">
      <alignment vertical="center"/>
    </xf>
    <xf numFmtId="0" fontId="128" fillId="51" borderId="0"/>
    <xf numFmtId="0" fontId="128" fillId="51" borderId="0"/>
    <xf numFmtId="0" fontId="128" fillId="51" borderId="0"/>
    <xf numFmtId="0" fontId="128" fillId="51" borderId="0">
      <alignment vertical="center"/>
    </xf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128" fillId="51" borderId="0"/>
    <xf numFmtId="0" fontId="89" fillId="0" borderId="0"/>
    <xf numFmtId="37" fontId="89" fillId="0" borderId="0"/>
    <xf numFmtId="37" fontId="89" fillId="0" borderId="0"/>
    <xf numFmtId="37" fontId="89" fillId="0" borderId="0"/>
    <xf numFmtId="37" fontId="89" fillId="0" borderId="0"/>
    <xf numFmtId="37" fontId="89" fillId="0" borderId="0"/>
    <xf numFmtId="37" fontId="89" fillId="0" borderId="0"/>
    <xf numFmtId="37" fontId="89" fillId="0" borderId="0"/>
    <xf numFmtId="37" fontId="89" fillId="0" borderId="0"/>
    <xf numFmtId="0" fontId="201" fillId="0" borderId="13">
      <alignment horizontal="center"/>
    </xf>
    <xf numFmtId="0" fontId="201" fillId="0" borderId="13">
      <alignment horizontal="center"/>
    </xf>
    <xf numFmtId="0" fontId="201" fillId="0" borderId="13">
      <alignment horizontal="center"/>
    </xf>
    <xf numFmtId="0" fontId="201" fillId="0" borderId="13">
      <alignment horizontal="center"/>
    </xf>
    <xf numFmtId="0" fontId="201" fillId="0" borderId="13">
      <alignment horizontal="center"/>
    </xf>
    <xf numFmtId="0" fontId="201" fillId="0" borderId="13">
      <alignment horizontal="center"/>
    </xf>
    <xf numFmtId="0" fontId="201" fillId="0" borderId="13">
      <alignment horizontal="center"/>
    </xf>
    <xf numFmtId="0" fontId="201" fillId="0" borderId="13">
      <alignment horizontal="center"/>
    </xf>
    <xf numFmtId="0" fontId="201" fillId="0" borderId="13">
      <alignment horizontal="center"/>
    </xf>
    <xf numFmtId="195" fontId="129" fillId="0" borderId="0"/>
    <xf numFmtId="0" fontId="229" fillId="0" borderId="0"/>
    <xf numFmtId="0" fontId="89" fillId="0" borderId="0"/>
    <xf numFmtId="0" fontId="1" fillId="0" borderId="0"/>
    <xf numFmtId="0" fontId="1" fillId="0" borderId="0"/>
    <xf numFmtId="0" fontId="96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170" fillId="0" borderId="13">
      <alignment horizontal="left" vertical="center"/>
      <protection locked="0"/>
    </xf>
    <xf numFmtId="0" fontId="170" fillId="0" borderId="13">
      <alignment horizontal="left" vertical="center"/>
      <protection locked="0"/>
    </xf>
    <xf numFmtId="0" fontId="170" fillId="0" borderId="13">
      <alignment horizontal="left" vertical="center"/>
      <protection locked="0"/>
    </xf>
    <xf numFmtId="0" fontId="170" fillId="0" borderId="13">
      <alignment horizontal="left" vertical="center"/>
      <protection locked="0"/>
    </xf>
    <xf numFmtId="0" fontId="170" fillId="0" borderId="13">
      <alignment horizontal="left" vertical="center"/>
      <protection locked="0"/>
    </xf>
    <xf numFmtId="0" fontId="170" fillId="0" borderId="13">
      <alignment horizontal="left" vertical="center"/>
      <protection locked="0"/>
    </xf>
    <xf numFmtId="0" fontId="170" fillId="0" borderId="13">
      <alignment horizontal="left" vertical="center"/>
      <protection locked="0"/>
    </xf>
    <xf numFmtId="0" fontId="170" fillId="0" borderId="13">
      <alignment horizontal="left" vertical="center"/>
      <protection locked="0"/>
    </xf>
    <xf numFmtId="0" fontId="170" fillId="0" borderId="13">
      <alignment horizontal="left" vertical="center"/>
      <protection locked="0"/>
    </xf>
    <xf numFmtId="0" fontId="19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22" fillId="0" borderId="0">
      <alignment vertical="center"/>
    </xf>
    <xf numFmtId="0" fontId="9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9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91" fillId="0" borderId="0"/>
    <xf numFmtId="0" fontId="191" fillId="0" borderId="0"/>
    <xf numFmtId="0" fontId="191" fillId="0" borderId="0"/>
    <xf numFmtId="0" fontId="191" fillId="0" borderId="0"/>
    <xf numFmtId="0" fontId="21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19" fillId="0" borderId="0"/>
    <xf numFmtId="0" fontId="219" fillId="0" borderId="0"/>
    <xf numFmtId="0" fontId="219" fillId="0" borderId="0"/>
    <xf numFmtId="0" fontId="219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21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19" fillId="0" borderId="0"/>
    <xf numFmtId="0" fontId="219" fillId="0" borderId="0"/>
    <xf numFmtId="0" fontId="219" fillId="0" borderId="0"/>
    <xf numFmtId="0" fontId="219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4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202" fillId="0" borderId="0"/>
    <xf numFmtId="0" fontId="2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02" fillId="0" borderId="0"/>
    <xf numFmtId="0" fontId="202" fillId="0" borderId="0"/>
    <xf numFmtId="0" fontId="202" fillId="0" borderId="0"/>
    <xf numFmtId="0" fontId="8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202" fillId="0" borderId="0"/>
    <xf numFmtId="0" fontId="1" fillId="0" borderId="0">
      <alignment vertical="center"/>
    </xf>
    <xf numFmtId="0" fontId="1" fillId="0" borderId="0">
      <alignment vertical="center"/>
    </xf>
    <xf numFmtId="0" fontId="202" fillId="0" borderId="0"/>
    <xf numFmtId="0" fontId="202" fillId="0" borderId="0"/>
    <xf numFmtId="0" fontId="202" fillId="0" borderId="0"/>
    <xf numFmtId="0" fontId="202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1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89" fillId="0" borderId="0"/>
    <xf numFmtId="0" fontId="89" fillId="0" borderId="0"/>
    <xf numFmtId="0" fontId="89" fillId="0" borderId="0">
      <alignment vertical="top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protection locked="0"/>
    </xf>
    <xf numFmtId="0" fontId="211" fillId="0" borderId="0">
      <protection locked="0"/>
    </xf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" fillId="0" borderId="0"/>
    <xf numFmtId="0" fontId="9" fillId="0" borderId="0"/>
    <xf numFmtId="0" fontId="9" fillId="0" borderId="0"/>
    <xf numFmtId="0" fontId="89" fillId="0" borderId="0"/>
    <xf numFmtId="0" fontId="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241" fontId="211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1" fillId="0" borderId="0"/>
    <xf numFmtId="0" fontId="89" fillId="0" borderId="0">
      <alignment vertical="center"/>
    </xf>
    <xf numFmtId="0" fontId="89" fillId="0" borderId="0">
      <protection locked="0"/>
    </xf>
    <xf numFmtId="0" fontId="89" fillId="0" borderId="0"/>
    <xf numFmtId="0" fontId="1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91" fillId="0" borderId="0"/>
    <xf numFmtId="0" fontId="89" fillId="0" borderId="0">
      <alignment vertical="center"/>
    </xf>
    <xf numFmtId="0" fontId="191" fillId="0" borderId="0"/>
    <xf numFmtId="0" fontId="91" fillId="0" borderId="0">
      <alignment vertical="center"/>
    </xf>
    <xf numFmtId="0" fontId="91" fillId="0" borderId="0"/>
    <xf numFmtId="0" fontId="91" fillId="0" borderId="0"/>
    <xf numFmtId="0" fontId="191" fillId="0" borderId="0"/>
    <xf numFmtId="0" fontId="191" fillId="0" borderId="0"/>
    <xf numFmtId="0" fontId="191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202" fillId="0" borderId="0"/>
    <xf numFmtId="0" fontId="89" fillId="0" borderId="0"/>
    <xf numFmtId="0" fontId="89" fillId="0" borderId="0"/>
    <xf numFmtId="0" fontId="89" fillId="0" borderId="0"/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protection locked="0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89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>
      <alignment vertical="top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>
      <alignment vertical="top"/>
    </xf>
    <xf numFmtId="0" fontId="89" fillId="0" borderId="0">
      <alignment vertical="top"/>
    </xf>
    <xf numFmtId="0" fontId="89" fillId="0" borderId="0"/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>
      <alignment vertical="top"/>
    </xf>
    <xf numFmtId="0" fontId="89" fillId="0" borderId="0">
      <alignment vertical="top"/>
    </xf>
    <xf numFmtId="0" fontId="1" fillId="0" borderId="0"/>
    <xf numFmtId="0" fontId="96" fillId="0" borderId="0"/>
    <xf numFmtId="0" fontId="1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1" fillId="0" borderId="0"/>
    <xf numFmtId="0" fontId="96" fillId="0" borderId="0"/>
    <xf numFmtId="0" fontId="1" fillId="0" borderId="0">
      <alignment vertical="center"/>
    </xf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center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96" fillId="0" borderId="0">
      <alignment vertical="top"/>
    </xf>
    <xf numFmtId="0" fontId="1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top"/>
    </xf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89" fillId="0" borderId="0"/>
    <xf numFmtId="0" fontId="96" fillId="0" borderId="0"/>
    <xf numFmtId="0" fontId="89" fillId="0" borderId="0"/>
    <xf numFmtId="0" fontId="96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5" fillId="0" borderId="0">
      <alignment vertical="center"/>
    </xf>
    <xf numFmtId="0" fontId="45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93" fillId="0" borderId="0"/>
    <xf numFmtId="0" fontId="193" fillId="0" borderId="0"/>
    <xf numFmtId="0" fontId="193" fillId="0" borderId="0"/>
    <xf numFmtId="0" fontId="193" fillId="0" borderId="0"/>
    <xf numFmtId="0" fontId="1" fillId="0" borderId="0"/>
    <xf numFmtId="0" fontId="96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9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1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93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96" fillId="0" borderId="0"/>
    <xf numFmtId="0" fontId="1" fillId="0" borderId="0"/>
    <xf numFmtId="0" fontId="1" fillId="0" borderId="0">
      <alignment vertical="center"/>
    </xf>
    <xf numFmtId="0" fontId="8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96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89" fillId="0" borderId="0">
      <alignment vertical="top"/>
    </xf>
    <xf numFmtId="0" fontId="96" fillId="0" borderId="0"/>
    <xf numFmtId="0" fontId="89" fillId="0" borderId="0"/>
    <xf numFmtId="0" fontId="89" fillId="0" borderId="0"/>
    <xf numFmtId="0" fontId="89" fillId="0" borderId="0">
      <alignment vertical="top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96" fillId="0" borderId="0"/>
    <xf numFmtId="0" fontId="89" fillId="0" borderId="0">
      <alignment vertical="center"/>
    </xf>
    <xf numFmtId="0" fontId="89" fillId="0" borderId="0"/>
    <xf numFmtId="0" fontId="96" fillId="0" borderId="0"/>
    <xf numFmtId="0" fontId="89" fillId="0" borderId="0">
      <alignment vertical="center"/>
    </xf>
    <xf numFmtId="0" fontId="89" fillId="0" borderId="0"/>
    <xf numFmtId="0" fontId="211" fillId="0" borderId="0">
      <protection locked="0"/>
    </xf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top"/>
    </xf>
    <xf numFmtId="0" fontId="1" fillId="0" borderId="0">
      <alignment vertical="center"/>
    </xf>
    <xf numFmtId="0" fontId="122" fillId="0" borderId="0">
      <alignment vertical="center"/>
    </xf>
    <xf numFmtId="0" fontId="1" fillId="0" borderId="0"/>
    <xf numFmtId="0" fontId="96" fillId="0" borderId="0"/>
    <xf numFmtId="0" fontId="89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/>
    <xf numFmtId="0" fontId="1" fillId="0" borderId="0">
      <alignment vertical="center"/>
    </xf>
    <xf numFmtId="0" fontId="96" fillId="0" borderId="0"/>
    <xf numFmtId="0" fontId="1" fillId="0" borderId="0">
      <alignment vertical="center"/>
    </xf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9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9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25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top"/>
    </xf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9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6" fillId="0" borderId="0"/>
    <xf numFmtId="0" fontId="202" fillId="0" borderId="0"/>
    <xf numFmtId="0" fontId="89" fillId="0" borderId="0"/>
    <xf numFmtId="0" fontId="89" fillId="0" borderId="0"/>
    <xf numFmtId="0" fontId="4" fillId="0" borderId="0">
      <alignment vertical="center"/>
    </xf>
    <xf numFmtId="0" fontId="89" fillId="0" borderId="0"/>
    <xf numFmtId="0" fontId="25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22" fillId="0" borderId="0"/>
    <xf numFmtId="0" fontId="89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202" fillId="0" borderId="0"/>
    <xf numFmtId="0" fontId="89" fillId="0" borderId="0"/>
    <xf numFmtId="0" fontId="89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89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top"/>
    </xf>
    <xf numFmtId="0" fontId="1" fillId="0" borderId="0">
      <alignment vertical="center"/>
    </xf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>
      <alignment vertical="center"/>
    </xf>
    <xf numFmtId="0" fontId="96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9" fillId="0" borderId="0"/>
    <xf numFmtId="0" fontId="89" fillId="0" borderId="0"/>
    <xf numFmtId="0" fontId="1" fillId="0" borderId="0">
      <alignment vertical="center"/>
    </xf>
    <xf numFmtId="0" fontId="89" fillId="0" borderId="0"/>
    <xf numFmtId="0" fontId="89" fillId="0" borderId="0"/>
    <xf numFmtId="0" fontId="1" fillId="0" borderId="0">
      <alignment vertical="center"/>
    </xf>
    <xf numFmtId="0" fontId="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62" fillId="0" borderId="0"/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1" fillId="50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9" fillId="26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89" fillId="50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91" fillId="26" borderId="103"/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91" fillId="26" borderId="103">
      <alignment vertical="center"/>
    </xf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0" fontId="89" fillId="26" borderId="103"/>
    <xf numFmtId="43" fontId="89" fillId="0" borderId="0"/>
    <xf numFmtId="41" fontId="89" fillId="0" borderId="0"/>
    <xf numFmtId="0" fontId="89" fillId="0" borderId="0"/>
    <xf numFmtId="0" fontId="148" fillId="0" borderId="0">
      <alignment horizontal="left"/>
    </xf>
    <xf numFmtId="0" fontId="244" fillId="0" borderId="0"/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37" borderId="105">
      <alignment vertical="center"/>
    </xf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189" fillId="2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97" fillId="37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152" fillId="2" borderId="105"/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4" borderId="105">
      <alignment vertical="center"/>
    </xf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14" fontId="108" fillId="0" borderId="0">
      <alignment horizontal="center" wrapText="1"/>
      <protection locked="0"/>
    </xf>
    <xf numFmtId="0" fontId="116" fillId="0" borderId="0"/>
    <xf numFmtId="197" fontId="91" fillId="0" borderId="0">
      <alignment vertical="center"/>
    </xf>
    <xf numFmtId="197" fontId="89" fillId="0" borderId="0"/>
    <xf numFmtId="197" fontId="89" fillId="0" borderId="0"/>
    <xf numFmtId="197" fontId="89" fillId="0" borderId="0"/>
    <xf numFmtId="197" fontId="89" fillId="0" borderId="0"/>
    <xf numFmtId="197" fontId="89" fillId="0" borderId="0"/>
    <xf numFmtId="197" fontId="89" fillId="0" borderId="0"/>
    <xf numFmtId="197" fontId="89" fillId="0" borderId="0"/>
    <xf numFmtId="186" fontId="89" fillId="0" borderId="0"/>
    <xf numFmtId="186" fontId="89" fillId="0" borderId="0"/>
    <xf numFmtId="186" fontId="89" fillId="0" borderId="0"/>
    <xf numFmtId="186" fontId="89" fillId="0" borderId="0"/>
    <xf numFmtId="186" fontId="89" fillId="0" borderId="0"/>
    <xf numFmtId="186" fontId="89" fillId="0" borderId="0"/>
    <xf numFmtId="186" fontId="89" fillId="0" borderId="0"/>
    <xf numFmtId="186" fontId="89" fillId="0" borderId="0"/>
    <xf numFmtId="10" fontId="89" fillId="0" borderId="0"/>
    <xf numFmtId="10" fontId="89" fillId="0" borderId="0"/>
    <xf numFmtId="10" fontId="89" fillId="0" borderId="0"/>
    <xf numFmtId="10" fontId="89" fillId="0" borderId="0"/>
    <xf numFmtId="10" fontId="89" fillId="0" borderId="0"/>
    <xf numFmtId="10" fontId="89" fillId="0" borderId="0"/>
    <xf numFmtId="10" fontId="89" fillId="0" borderId="0"/>
    <xf numFmtId="10" fontId="89" fillId="0" borderId="0"/>
    <xf numFmtId="10" fontId="89" fillId="0" borderId="0"/>
    <xf numFmtId="9" fontId="1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1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1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1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1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1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1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1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1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171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96" fillId="0" borderId="0"/>
    <xf numFmtId="9" fontId="96" fillId="0" borderId="0"/>
    <xf numFmtId="9" fontId="96" fillId="0" borderId="0"/>
    <xf numFmtId="9" fontId="96" fillId="0" borderId="0"/>
    <xf numFmtId="9" fontId="1" fillId="0" borderId="0">
      <alignment vertical="center"/>
    </xf>
    <xf numFmtId="9" fontId="1" fillId="0" borderId="0">
      <alignment vertical="center"/>
    </xf>
    <xf numFmtId="9" fontId="1" fillId="0" borderId="0">
      <alignment vertical="center"/>
    </xf>
    <xf numFmtId="9" fontId="1" fillId="0" borderId="0">
      <alignment vertical="center"/>
    </xf>
    <xf numFmtId="9" fontId="1" fillId="0" borderId="0">
      <alignment vertical="center"/>
    </xf>
    <xf numFmtId="9" fontId="1" fillId="0" borderId="0">
      <alignment vertical="center"/>
    </xf>
    <xf numFmtId="9" fontId="1" fillId="0" borderId="0">
      <alignment vertical="center"/>
    </xf>
    <xf numFmtId="9" fontId="1" fillId="0" borderId="0">
      <alignment vertical="center"/>
    </xf>
    <xf numFmtId="9" fontId="1" fillId="0" borderId="0">
      <alignment vertical="center"/>
    </xf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89" fillId="0" borderId="0"/>
    <xf numFmtId="9" fontId="91" fillId="0" borderId="0">
      <alignment vertical="center"/>
    </xf>
    <xf numFmtId="9" fontId="89" fillId="0" borderId="0"/>
    <xf numFmtId="9" fontId="89" fillId="0" borderId="0"/>
    <xf numFmtId="9" fontId="1" fillId="0" borderId="0"/>
    <xf numFmtId="9" fontId="89" fillId="0" borderId="0"/>
    <xf numFmtId="9" fontId="191" fillId="0" borderId="0"/>
    <xf numFmtId="9" fontId="91" fillId="0" borderId="0"/>
    <xf numFmtId="9" fontId="91" fillId="0" borderId="0"/>
    <xf numFmtId="9" fontId="91" fillId="0" borderId="0"/>
    <xf numFmtId="9" fontId="91" fillId="0" borderId="0"/>
    <xf numFmtId="9" fontId="91" fillId="0" borderId="0">
      <alignment vertical="center"/>
    </xf>
    <xf numFmtId="9" fontId="91" fillId="0" borderId="0"/>
    <xf numFmtId="9" fontId="91" fillId="0" borderId="0">
      <alignment vertical="center"/>
    </xf>
    <xf numFmtId="9" fontId="91" fillId="0" borderId="0"/>
    <xf numFmtId="9" fontId="91" fillId="0" borderId="0"/>
    <xf numFmtId="9" fontId="1" fillId="0" borderId="0"/>
    <xf numFmtId="9" fontId="256" fillId="0" borderId="129"/>
    <xf numFmtId="0" fontId="186" fillId="0" borderId="0">
      <alignment horizontal="right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08" fontId="89" fillId="0" borderId="0"/>
    <xf numFmtId="208" fontId="89" fillId="0" borderId="0">
      <alignment vertical="center"/>
    </xf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167" fontId="89" fillId="0" borderId="0"/>
    <xf numFmtId="0" fontId="89" fillId="0" borderId="0">
      <alignment vertical="center"/>
    </xf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>
      <alignment vertical="center"/>
    </xf>
    <xf numFmtId="205" fontId="89" fillId="0" borderId="0"/>
    <xf numFmtId="205" fontId="89" fillId="0" borderId="0"/>
    <xf numFmtId="205" fontId="89" fillId="0" borderId="0"/>
    <xf numFmtId="205" fontId="89" fillId="0" borderId="0"/>
    <xf numFmtId="208" fontId="89" fillId="0" borderId="0"/>
    <xf numFmtId="208" fontId="89" fillId="0" borderId="0"/>
    <xf numFmtId="167" fontId="89" fillId="0" borderId="0"/>
    <xf numFmtId="208" fontId="89" fillId="0" borderId="0">
      <alignment vertical="center"/>
    </xf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208" fontId="89" fillId="0" borderId="0"/>
    <xf numFmtId="167" fontId="89" fillId="0" borderId="0"/>
    <xf numFmtId="167" fontId="89" fillId="0" borderId="0"/>
    <xf numFmtId="4" fontId="89" fillId="0" borderId="0">
      <alignment horizontal="right"/>
    </xf>
    <xf numFmtId="0" fontId="256" fillId="0" borderId="0">
      <alignment horizontal="left"/>
    </xf>
    <xf numFmtId="15" fontId="256" fillId="0" borderId="0"/>
    <xf numFmtId="15" fontId="256" fillId="0" borderId="0"/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1" fontId="89" fillId="0" borderId="25">
      <alignment horizontal="center" vertical="center"/>
    </xf>
    <xf numFmtId="206" fontId="90" fillId="0" borderId="0"/>
    <xf numFmtId="206" fontId="90" fillId="0" borderId="0"/>
    <xf numFmtId="0" fontId="107" fillId="31" borderId="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89" fillId="0" borderId="110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97" fillId="2" borderId="105"/>
    <xf numFmtId="0" fontId="89" fillId="0" borderId="0"/>
    <xf numFmtId="0" fontId="217" fillId="0" borderId="13">
      <alignment horizontal="center" vertical="center"/>
      <protection locked="0"/>
    </xf>
    <xf numFmtId="0" fontId="217" fillId="0" borderId="13">
      <alignment horizontal="center" vertical="center"/>
      <protection locked="0"/>
    </xf>
    <xf numFmtId="0" fontId="217" fillId="0" borderId="13">
      <alignment horizontal="center" vertical="center"/>
      <protection locked="0"/>
    </xf>
    <xf numFmtId="0" fontId="217" fillId="0" borderId="13">
      <alignment horizontal="center" vertical="center"/>
      <protection locked="0"/>
    </xf>
    <xf numFmtId="0" fontId="217" fillId="0" borderId="13">
      <alignment horizontal="center" vertical="center"/>
      <protection locked="0"/>
    </xf>
    <xf numFmtId="0" fontId="217" fillId="0" borderId="13">
      <alignment horizontal="center" vertical="center"/>
      <protection locked="0"/>
    </xf>
    <xf numFmtId="0" fontId="217" fillId="0" borderId="13">
      <alignment horizontal="center" vertical="center"/>
      <protection locked="0"/>
    </xf>
    <xf numFmtId="0" fontId="217" fillId="0" borderId="13">
      <alignment horizontal="center" vertical="center"/>
      <protection locked="0"/>
    </xf>
    <xf numFmtId="0" fontId="217" fillId="0" borderId="13">
      <alignment horizontal="center" vertical="center"/>
      <protection locked="0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9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1" fillId="0" borderId="0">
      <alignment vertical="top"/>
    </xf>
    <xf numFmtId="41" fontId="90" fillId="0" borderId="0"/>
    <xf numFmtId="206" fontId="90" fillId="0" borderId="0"/>
    <xf numFmtId="41" fontId="90" fillId="0" borderId="0"/>
    <xf numFmtId="189" fontId="90" fillId="0" borderId="0"/>
    <xf numFmtId="194" fontId="90" fillId="0" borderId="0"/>
    <xf numFmtId="221" fontId="90" fillId="0" borderId="0"/>
    <xf numFmtId="194" fontId="90" fillId="0" borderId="0"/>
    <xf numFmtId="194" fontId="90" fillId="0" borderId="0"/>
    <xf numFmtId="194" fontId="90" fillId="0" borderId="0"/>
    <xf numFmtId="194" fontId="90" fillId="0" borderId="0"/>
    <xf numFmtId="206" fontId="90" fillId="0" borderId="0"/>
    <xf numFmtId="222" fontId="90" fillId="0" borderId="0"/>
    <xf numFmtId="221" fontId="90" fillId="0" borderId="0"/>
    <xf numFmtId="194" fontId="90" fillId="0" borderId="0"/>
    <xf numFmtId="221" fontId="90" fillId="0" borderId="0"/>
    <xf numFmtId="221" fontId="90" fillId="0" borderId="0"/>
    <xf numFmtId="194" fontId="90" fillId="0" borderId="0"/>
    <xf numFmtId="221" fontId="90" fillId="0" borderId="0"/>
    <xf numFmtId="194" fontId="90" fillId="0" borderId="0"/>
    <xf numFmtId="227" fontId="90" fillId="0" borderId="0"/>
    <xf numFmtId="41" fontId="90" fillId="0" borderId="0"/>
    <xf numFmtId="178" fontId="90" fillId="0" borderId="0"/>
    <xf numFmtId="206" fontId="90" fillId="0" borderId="0"/>
    <xf numFmtId="41" fontId="90" fillId="0" borderId="0"/>
    <xf numFmtId="206" fontId="90" fillId="0" borderId="0"/>
    <xf numFmtId="206" fontId="90" fillId="0" borderId="0"/>
    <xf numFmtId="206" fontId="90" fillId="0" borderId="0"/>
    <xf numFmtId="178" fontId="90" fillId="0" borderId="0"/>
    <xf numFmtId="221" fontId="90" fillId="0" borderId="0"/>
    <xf numFmtId="194" fontId="90" fillId="0" borderId="0"/>
    <xf numFmtId="221" fontId="90" fillId="0" borderId="0"/>
    <xf numFmtId="226" fontId="89" fillId="0" borderId="0"/>
    <xf numFmtId="221" fontId="90" fillId="0" borderId="0"/>
    <xf numFmtId="178" fontId="90" fillId="0" borderId="0"/>
    <xf numFmtId="194" fontId="100" fillId="0" borderId="0"/>
    <xf numFmtId="41" fontId="90" fillId="0" borderId="0"/>
    <xf numFmtId="206" fontId="90" fillId="0" borderId="0"/>
    <xf numFmtId="41" fontId="90" fillId="0" borderId="0"/>
    <xf numFmtId="189" fontId="90" fillId="0" borderId="0"/>
    <xf numFmtId="194" fontId="90" fillId="0" borderId="0"/>
    <xf numFmtId="221" fontId="90" fillId="0" borderId="0"/>
    <xf numFmtId="194" fontId="90" fillId="0" borderId="0"/>
    <xf numFmtId="194" fontId="90" fillId="0" borderId="0"/>
    <xf numFmtId="194" fontId="90" fillId="0" borderId="0"/>
    <xf numFmtId="194" fontId="90" fillId="0" borderId="0"/>
    <xf numFmtId="194" fontId="90" fillId="0" borderId="0"/>
    <xf numFmtId="222" fontId="90" fillId="0" borderId="0"/>
    <xf numFmtId="221" fontId="90" fillId="0" borderId="0"/>
    <xf numFmtId="194" fontId="90" fillId="0" borderId="0"/>
    <xf numFmtId="221" fontId="90" fillId="0" borderId="0"/>
    <xf numFmtId="221" fontId="90" fillId="0" borderId="0"/>
    <xf numFmtId="194" fontId="90" fillId="0" borderId="0"/>
    <xf numFmtId="221" fontId="90" fillId="0" borderId="0"/>
    <xf numFmtId="194" fontId="90" fillId="0" borderId="0"/>
    <xf numFmtId="221" fontId="90" fillId="0" borderId="0"/>
    <xf numFmtId="227" fontId="90" fillId="0" borderId="0"/>
    <xf numFmtId="41" fontId="90" fillId="0" borderId="0"/>
    <xf numFmtId="206" fontId="90" fillId="0" borderId="0"/>
    <xf numFmtId="41" fontId="90" fillId="0" borderId="0"/>
    <xf numFmtId="206" fontId="90" fillId="0" borderId="0"/>
    <xf numFmtId="206" fontId="90" fillId="0" borderId="0"/>
    <xf numFmtId="184" fontId="90" fillId="0" borderId="0"/>
    <xf numFmtId="202" fontId="89" fillId="0" borderId="0"/>
    <xf numFmtId="220" fontId="90" fillId="0" borderId="0"/>
    <xf numFmtId="215" fontId="100" fillId="0" borderId="0"/>
    <xf numFmtId="226" fontId="89" fillId="0" borderId="0"/>
    <xf numFmtId="191" fontId="90" fillId="0" borderId="0"/>
    <xf numFmtId="191" fontId="90" fillId="0" borderId="0"/>
    <xf numFmtId="42" fontId="90" fillId="0" borderId="0"/>
    <xf numFmtId="42" fontId="90" fillId="0" borderId="0"/>
    <xf numFmtId="215" fontId="90" fillId="0" borderId="0"/>
    <xf numFmtId="215" fontId="100" fillId="0" borderId="0"/>
    <xf numFmtId="201" fontId="90" fillId="0" borderId="0"/>
    <xf numFmtId="215" fontId="100" fillId="0" borderId="0"/>
    <xf numFmtId="201" fontId="90" fillId="0" borderId="0"/>
    <xf numFmtId="201" fontId="90" fillId="0" borderId="0"/>
    <xf numFmtId="178" fontId="90" fillId="0" borderId="0"/>
    <xf numFmtId="201" fontId="90" fillId="0" borderId="0"/>
    <xf numFmtId="201" fontId="90" fillId="0" borderId="0"/>
    <xf numFmtId="215" fontId="90" fillId="0" borderId="0"/>
    <xf numFmtId="223" fontId="90" fillId="0" borderId="0"/>
    <xf numFmtId="194" fontId="100" fillId="0" borderId="0"/>
    <xf numFmtId="0" fontId="260" fillId="0" borderId="0"/>
    <xf numFmtId="0" fontId="108" fillId="1" borderId="122">
      <alignment vertical="center"/>
    </xf>
    <xf numFmtId="0" fontId="108" fillId="1" borderId="122">
      <alignment vertical="center"/>
    </xf>
    <xf numFmtId="0" fontId="108" fillId="1" borderId="122">
      <alignment vertical="center"/>
    </xf>
    <xf numFmtId="0" fontId="108" fillId="1" borderId="122">
      <alignment vertical="center"/>
    </xf>
    <xf numFmtId="0" fontId="108" fillId="1" borderId="122">
      <alignment vertical="center"/>
    </xf>
    <xf numFmtId="0" fontId="174" fillId="0" borderId="0"/>
    <xf numFmtId="0" fontId="89" fillId="0" borderId="113"/>
    <xf numFmtId="0" fontId="89" fillId="0" borderId="113"/>
    <xf numFmtId="0" fontId="89" fillId="0" borderId="113"/>
    <xf numFmtId="0" fontId="89" fillId="0" borderId="113"/>
    <xf numFmtId="0" fontId="89" fillId="0" borderId="113"/>
    <xf numFmtId="0" fontId="89" fillId="0" borderId="113"/>
    <xf numFmtId="0" fontId="89" fillId="0" borderId="113"/>
    <xf numFmtId="0" fontId="89" fillId="0" borderId="113"/>
    <xf numFmtId="200" fontId="90" fillId="0" borderId="20">
      <alignment horizontal="right" vertical="center"/>
    </xf>
    <xf numFmtId="200" fontId="90" fillId="0" borderId="20">
      <alignment horizontal="right" vertical="center"/>
    </xf>
    <xf numFmtId="200" fontId="90" fillId="0" borderId="20">
      <alignment horizontal="right" vertical="center"/>
    </xf>
    <xf numFmtId="200" fontId="90" fillId="0" borderId="20">
      <alignment horizontal="right" vertical="center"/>
    </xf>
    <xf numFmtId="200" fontId="90" fillId="0" borderId="20">
      <alignment horizontal="right" vertical="center"/>
    </xf>
    <xf numFmtId="200" fontId="90" fillId="0" borderId="20">
      <alignment horizontal="right" vertical="center"/>
    </xf>
    <xf numFmtId="203" fontId="89" fillId="0" borderId="20">
      <alignment horizontal="right" vertical="center"/>
    </xf>
    <xf numFmtId="203" fontId="89" fillId="0" borderId="20">
      <alignment horizontal="right" vertical="center"/>
    </xf>
    <xf numFmtId="203" fontId="89" fillId="0" borderId="20">
      <alignment horizontal="right" vertical="center"/>
    </xf>
    <xf numFmtId="203" fontId="89" fillId="0" borderId="20">
      <alignment horizontal="right" vertical="center"/>
    </xf>
    <xf numFmtId="203" fontId="89" fillId="0" borderId="20">
      <alignment horizontal="right" vertical="center"/>
    </xf>
    <xf numFmtId="203" fontId="89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16" fontId="162" fillId="0" borderId="20">
      <alignment horizontal="right" vertical="center"/>
    </xf>
    <xf numFmtId="238" fontId="89" fillId="0" borderId="20">
      <alignment horizontal="right" vertical="center"/>
    </xf>
    <xf numFmtId="238" fontId="89" fillId="0" borderId="20">
      <alignment horizontal="right" vertical="center"/>
    </xf>
    <xf numFmtId="238" fontId="89" fillId="0" borderId="20">
      <alignment horizontal="right" vertical="center"/>
    </xf>
    <xf numFmtId="238" fontId="89" fillId="0" borderId="20">
      <alignment horizontal="right" vertical="center"/>
    </xf>
    <xf numFmtId="238" fontId="89" fillId="0" borderId="20">
      <alignment horizontal="right" vertical="center"/>
    </xf>
    <xf numFmtId="238" fontId="89" fillId="0" borderId="20">
      <alignment horizontal="right" vertical="center"/>
    </xf>
    <xf numFmtId="212" fontId="187" fillId="0" borderId="20">
      <alignment horizontal="right" vertical="center"/>
    </xf>
    <xf numFmtId="212" fontId="187" fillId="0" borderId="20">
      <alignment horizontal="right" vertical="center"/>
    </xf>
    <xf numFmtId="212" fontId="187" fillId="0" borderId="20">
      <alignment horizontal="right" vertical="center"/>
    </xf>
    <xf numFmtId="212" fontId="187" fillId="0" borderId="20">
      <alignment horizontal="right" vertical="center"/>
    </xf>
    <xf numFmtId="212" fontId="187" fillId="0" borderId="20">
      <alignment horizontal="right" vertical="center"/>
    </xf>
    <xf numFmtId="212" fontId="187" fillId="0" borderId="20">
      <alignment horizontal="right"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3" fontId="89" fillId="0" borderId="13">
      <alignment vertical="center"/>
    </xf>
    <xf numFmtId="49" fontId="91" fillId="0" borderId="0"/>
    <xf numFmtId="49" fontId="91" fillId="0" borderId="0"/>
    <xf numFmtId="49" fontId="91" fillId="0" borderId="0"/>
    <xf numFmtId="49" fontId="91" fillId="0" borderId="0"/>
    <xf numFmtId="49" fontId="91" fillId="0" borderId="0"/>
    <xf numFmtId="49" fontId="91" fillId="0" borderId="0"/>
    <xf numFmtId="49" fontId="91" fillId="0" borderId="0"/>
    <xf numFmtId="49" fontId="91" fillId="0" borderId="0"/>
    <xf numFmtId="49" fontId="91" fillId="0" borderId="0"/>
    <xf numFmtId="230" fontId="89" fillId="0" borderId="0">
      <alignment vertical="center"/>
    </xf>
    <xf numFmtId="230" fontId="89" fillId="0" borderId="0"/>
    <xf numFmtId="230" fontId="89" fillId="0" borderId="0"/>
    <xf numFmtId="230" fontId="89" fillId="0" borderId="0"/>
    <xf numFmtId="230" fontId="89" fillId="0" borderId="0"/>
    <xf numFmtId="230" fontId="89" fillId="0" borderId="0"/>
    <xf numFmtId="230" fontId="89" fillId="0" borderId="0"/>
    <xf numFmtId="23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55" fillId="0" borderId="0"/>
    <xf numFmtId="173" fontId="261" fillId="0" borderId="20">
      <alignment horizontal="center"/>
    </xf>
    <xf numFmtId="173" fontId="261" fillId="0" borderId="20">
      <alignment horizontal="center"/>
    </xf>
    <xf numFmtId="173" fontId="261" fillId="0" borderId="20">
      <alignment horizontal="center"/>
    </xf>
    <xf numFmtId="173" fontId="261" fillId="0" borderId="20">
      <alignment horizontal="center"/>
    </xf>
    <xf numFmtId="173" fontId="261" fillId="0" borderId="20">
      <alignment horizontal="center"/>
    </xf>
    <xf numFmtId="173" fontId="261" fillId="0" borderId="20">
      <alignment horizontal="center"/>
    </xf>
    <xf numFmtId="193" fontId="208" fillId="0" borderId="121">
      <alignment horizontal="right"/>
    </xf>
    <xf numFmtId="196" fontId="208" fillId="0" borderId="121">
      <alignment horizontal="right"/>
    </xf>
    <xf numFmtId="0" fontId="190" fillId="0" borderId="0">
      <alignment horizontal="left" vertical="top"/>
    </xf>
    <xf numFmtId="40" fontId="89" fillId="0" borderId="0"/>
    <xf numFmtId="40" fontId="89" fillId="0" borderId="0"/>
    <xf numFmtId="40" fontId="89" fillId="0" borderId="0"/>
    <xf numFmtId="40" fontId="89" fillId="0" borderId="0"/>
    <xf numFmtId="40" fontId="89" fillId="0" borderId="0"/>
    <xf numFmtId="40" fontId="89" fillId="0" borderId="0"/>
    <xf numFmtId="40" fontId="89" fillId="0" borderId="0"/>
    <xf numFmtId="40" fontId="89" fillId="0" borderId="0"/>
    <xf numFmtId="0" fontId="180" fillId="0" borderId="0">
      <alignment vertical="center"/>
    </xf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>
      <alignment vertical="center"/>
    </xf>
    <xf numFmtId="0" fontId="180" fillId="0" borderId="0"/>
    <xf numFmtId="0" fontId="180" fillId="0" borderId="0"/>
    <xf numFmtId="0" fontId="180" fillId="0" borderId="0"/>
    <xf numFmtId="0" fontId="262" fillId="0" borderId="0">
      <alignment vertical="center"/>
    </xf>
    <xf numFmtId="0" fontId="180" fillId="0" borderId="0"/>
    <xf numFmtId="0" fontId="180" fillId="0" borderId="0"/>
    <xf numFmtId="0" fontId="180" fillId="0" borderId="0"/>
    <xf numFmtId="0" fontId="240" fillId="0" borderId="0">
      <alignment vertical="center"/>
    </xf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63" fillId="0" borderId="114"/>
    <xf numFmtId="0" fontId="106" fillId="0" borderId="109"/>
    <xf numFmtId="0" fontId="93" fillId="0" borderId="108"/>
    <xf numFmtId="0" fontId="93" fillId="0" borderId="0"/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>
      <alignment vertical="center"/>
    </xf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0" fontId="7" fillId="0" borderId="106"/>
    <xf numFmtId="4" fontId="89" fillId="0" borderId="130">
      <alignment vertical="center"/>
    </xf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86" fillId="0" borderId="106"/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6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15">
      <alignment vertical="center"/>
    </xf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0" fontId="12" fillId="0" borderId="106"/>
    <xf numFmtId="38" fontId="256" fillId="0" borderId="0"/>
    <xf numFmtId="40" fontId="256" fillId="0" borderId="0"/>
    <xf numFmtId="255" fontId="256" fillId="0" borderId="0"/>
    <xf numFmtId="256" fontId="256" fillId="0" borderId="0"/>
    <xf numFmtId="0" fontId="263" fillId="0" borderId="0"/>
    <xf numFmtId="0" fontId="147" fillId="56" borderId="112"/>
    <xf numFmtId="0" fontId="192" fillId="82" borderId="131"/>
    <xf numFmtId="210" fontId="264" fillId="0" borderId="0"/>
    <xf numFmtId="257" fontId="264" fillId="0" borderId="13"/>
    <xf numFmtId="257" fontId="264" fillId="0" borderId="13"/>
    <xf numFmtId="257" fontId="264" fillId="0" borderId="13"/>
    <xf numFmtId="257" fontId="264" fillId="0" borderId="13"/>
    <xf numFmtId="257" fontId="264" fillId="0" borderId="13"/>
    <xf numFmtId="257" fontId="264" fillId="0" borderId="13"/>
    <xf numFmtId="257" fontId="264" fillId="0" borderId="13"/>
    <xf numFmtId="257" fontId="264" fillId="0" borderId="13"/>
    <xf numFmtId="257" fontId="264" fillId="0" borderId="13"/>
    <xf numFmtId="0" fontId="265" fillId="0" borderId="0"/>
    <xf numFmtId="0" fontId="265" fillId="0" borderId="0"/>
    <xf numFmtId="0" fontId="266" fillId="83" borderId="13">
      <alignment horizontal="left" vertical="center"/>
    </xf>
    <xf numFmtId="0" fontId="266" fillId="83" borderId="13">
      <alignment horizontal="left" vertical="center"/>
    </xf>
    <xf numFmtId="0" fontId="266" fillId="83" borderId="13">
      <alignment horizontal="left" vertical="center"/>
    </xf>
    <xf numFmtId="0" fontId="266" fillId="83" borderId="13">
      <alignment horizontal="left" vertical="center"/>
    </xf>
    <xf numFmtId="0" fontId="266" fillId="83" borderId="13">
      <alignment horizontal="left" vertical="center"/>
    </xf>
    <xf numFmtId="0" fontId="266" fillId="83" borderId="13">
      <alignment horizontal="left" vertical="center"/>
    </xf>
    <xf numFmtId="0" fontId="266" fillId="83" borderId="13">
      <alignment horizontal="left" vertical="center"/>
    </xf>
    <xf numFmtId="0" fontId="266" fillId="83" borderId="13">
      <alignment horizontal="left" vertical="center"/>
    </xf>
    <xf numFmtId="0" fontId="266" fillId="83" borderId="13">
      <alignment horizontal="left" vertical="center"/>
    </xf>
    <xf numFmtId="5" fontId="267" fillId="0" borderId="18">
      <alignment horizontal="left" vertical="top"/>
    </xf>
    <xf numFmtId="5" fontId="267" fillId="0" borderId="18">
      <alignment horizontal="left" vertical="top"/>
    </xf>
    <xf numFmtId="5" fontId="268" fillId="0" borderId="25">
      <alignment horizontal="left" vertical="top"/>
    </xf>
    <xf numFmtId="5" fontId="268" fillId="0" borderId="25">
      <alignment horizontal="left" vertical="top"/>
    </xf>
    <xf numFmtId="5" fontId="268" fillId="0" borderId="25">
      <alignment horizontal="left" vertical="top"/>
    </xf>
    <xf numFmtId="0" fontId="269" fillId="0" borderId="25">
      <alignment horizontal="left" vertical="center"/>
    </xf>
    <xf numFmtId="0" fontId="269" fillId="0" borderId="25">
      <alignment horizontal="left" vertical="center"/>
    </xf>
    <xf numFmtId="0" fontId="269" fillId="0" borderId="25">
      <alignment horizontal="left" vertical="center"/>
    </xf>
    <xf numFmtId="0" fontId="270" fillId="0" borderId="0">
      <alignment horizontal="right"/>
    </xf>
    <xf numFmtId="258" fontId="89" fillId="0" borderId="0"/>
    <xf numFmtId="259" fontId="89" fillId="0" borderId="0"/>
    <xf numFmtId="0" fontId="181" fillId="0" borderId="0">
      <alignment vertical="center"/>
    </xf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271" fillId="0" borderId="0"/>
    <xf numFmtId="0" fontId="181" fillId="0" borderId="0"/>
    <xf numFmtId="0" fontId="181" fillId="0" borderId="0"/>
    <xf numFmtId="0" fontId="181" fillId="0" borderId="0"/>
    <xf numFmtId="0" fontId="181" fillId="0" borderId="0">
      <alignment vertical="center"/>
    </xf>
    <xf numFmtId="0" fontId="181" fillId="0" borderId="0"/>
    <xf numFmtId="0" fontId="181" fillId="0" borderId="0"/>
    <xf numFmtId="0" fontId="181" fillId="0" borderId="0"/>
    <xf numFmtId="0" fontId="272" fillId="0" borderId="0">
      <alignment vertical="center"/>
    </xf>
    <xf numFmtId="0" fontId="181" fillId="0" borderId="0"/>
    <xf numFmtId="0" fontId="181" fillId="0" borderId="0"/>
    <xf numFmtId="0" fontId="181" fillId="0" borderId="0"/>
    <xf numFmtId="0" fontId="272" fillId="0" borderId="0"/>
    <xf numFmtId="0" fontId="181" fillId="0" borderId="0">
      <alignment vertical="center"/>
    </xf>
    <xf numFmtId="0" fontId="181" fillId="0" borderId="0"/>
    <xf numFmtId="0" fontId="181" fillId="0" borderId="0"/>
    <xf numFmtId="0" fontId="181" fillId="0" borderId="0"/>
    <xf numFmtId="0" fontId="181" fillId="0" borderId="0">
      <alignment vertical="center"/>
    </xf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181" fillId="0" borderId="0"/>
    <xf numFmtId="0" fontId="231" fillId="0" borderId="132"/>
    <xf numFmtId="204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179" fontId="89" fillId="0" borderId="0"/>
    <xf numFmtId="9" fontId="273" fillId="0" borderId="0"/>
    <xf numFmtId="178" fontId="274" fillId="0" borderId="0"/>
    <xf numFmtId="190" fontId="274" fillId="0" borderId="0"/>
    <xf numFmtId="172" fontId="218" fillId="0" borderId="0"/>
    <xf numFmtId="170" fontId="274" fillId="0" borderId="0"/>
    <xf numFmtId="0" fontId="274" fillId="0" borderId="0"/>
    <xf numFmtId="0" fontId="121" fillId="0" borderId="0">
      <alignment vertical="top"/>
      <protection locked="0"/>
    </xf>
    <xf numFmtId="0" fontId="197" fillId="0" borderId="0">
      <alignment vertical="top"/>
      <protection locked="0"/>
    </xf>
    <xf numFmtId="0" fontId="144" fillId="0" borderId="0">
      <alignment vertical="top"/>
      <protection locked="0"/>
    </xf>
    <xf numFmtId="206" fontId="275" fillId="0" borderId="0"/>
    <xf numFmtId="211" fontId="275" fillId="0" borderId="0"/>
    <xf numFmtId="42" fontId="203" fillId="0" borderId="0"/>
    <xf numFmtId="44" fontId="203" fillId="0" borderId="0"/>
    <xf numFmtId="9" fontId="89" fillId="0" borderId="0"/>
    <xf numFmtId="0" fontId="89" fillId="0" borderId="0"/>
    <xf numFmtId="6" fontId="89" fillId="0" borderId="0"/>
    <xf numFmtId="8" fontId="89" fillId="0" borderId="0"/>
    <xf numFmtId="5" fontId="89" fillId="0" borderId="0"/>
    <xf numFmtId="7" fontId="89" fillId="0" borderId="0"/>
    <xf numFmtId="0" fontId="89" fillId="0" borderId="0"/>
    <xf numFmtId="0" fontId="276" fillId="0" borderId="0"/>
    <xf numFmtId="0" fontId="276" fillId="0" borderId="0"/>
    <xf numFmtId="0" fontId="122" fillId="0" borderId="0">
      <alignment vertical="center"/>
    </xf>
    <xf numFmtId="40" fontId="89" fillId="0" borderId="0"/>
    <xf numFmtId="38" fontId="89" fillId="0" borderId="0"/>
    <xf numFmtId="0" fontId="89" fillId="0" borderId="0"/>
    <xf numFmtId="0" fontId="89" fillId="0" borderId="0"/>
    <xf numFmtId="9" fontId="277" fillId="0" borderId="0"/>
    <xf numFmtId="0" fontId="89" fillId="0" borderId="0"/>
    <xf numFmtId="0" fontId="277" fillId="0" borderId="0"/>
    <xf numFmtId="0" fontId="277" fillId="0" borderId="0"/>
    <xf numFmtId="0" fontId="89" fillId="0" borderId="0"/>
    <xf numFmtId="233" fontId="91" fillId="0" borderId="0">
      <alignment vertical="center"/>
    </xf>
    <xf numFmtId="0" fontId="89" fillId="0" borderId="0"/>
    <xf numFmtId="0" fontId="89" fillId="0" borderId="0">
      <alignment vertical="top"/>
      <protection locked="0"/>
    </xf>
    <xf numFmtId="0" fontId="89" fillId="0" borderId="0">
      <alignment vertical="top"/>
      <protection locked="0"/>
    </xf>
    <xf numFmtId="0" fontId="89" fillId="0" borderId="0">
      <alignment vertical="top"/>
      <protection locked="0"/>
    </xf>
    <xf numFmtId="0" fontId="89" fillId="0" borderId="0">
      <alignment vertical="top"/>
      <protection locked="0"/>
    </xf>
    <xf numFmtId="0" fontId="89" fillId="0" borderId="0">
      <alignment vertical="top"/>
      <protection locked="0"/>
    </xf>
    <xf numFmtId="0" fontId="89" fillId="0" borderId="0">
      <alignment vertical="top"/>
      <protection locked="0"/>
    </xf>
    <xf numFmtId="0" fontId="89" fillId="0" borderId="0">
      <alignment vertical="top"/>
      <protection locked="0"/>
    </xf>
    <xf numFmtId="0" fontId="89" fillId="0" borderId="0">
      <alignment vertical="top"/>
      <protection locked="0"/>
    </xf>
    <xf numFmtId="0" fontId="182" fillId="0" borderId="0"/>
    <xf numFmtId="206" fontId="196" fillId="0" borderId="0"/>
    <xf numFmtId="211" fontId="196" fillId="0" borderId="0"/>
    <xf numFmtId="0" fontId="278" fillId="0" borderId="0"/>
    <xf numFmtId="190" fontId="195" fillId="0" borderId="0"/>
    <xf numFmtId="38" fontId="279" fillId="0" borderId="0">
      <alignment vertical="center"/>
    </xf>
    <xf numFmtId="178" fontId="195" fillId="0" borderId="0"/>
    <xf numFmtId="211" fontId="89" fillId="0" borderId="0"/>
    <xf numFmtId="206" fontId="89" fillId="0" borderId="0"/>
    <xf numFmtId="0" fontId="139" fillId="0" borderId="0"/>
    <xf numFmtId="0" fontId="89" fillId="0" borderId="0"/>
    <xf numFmtId="0" fontId="279" fillId="0" borderId="0">
      <alignment vertical="center"/>
    </xf>
    <xf numFmtId="0" fontId="195" fillId="0" borderId="0"/>
    <xf numFmtId="0" fontId="89" fillId="0" borderId="0"/>
    <xf numFmtId="0" fontId="89" fillId="0" borderId="0"/>
    <xf numFmtId="260" fontId="89" fillId="0" borderId="0"/>
    <xf numFmtId="261" fontId="89" fillId="0" borderId="0"/>
    <xf numFmtId="0" fontId="135" fillId="0" borderId="0">
      <alignment vertical="top"/>
      <protection locked="0"/>
    </xf>
    <xf numFmtId="0" fontId="280" fillId="0" borderId="0">
      <alignment vertical="top"/>
      <protection locked="0"/>
    </xf>
    <xf numFmtId="0" fontId="140" fillId="0" borderId="0">
      <alignment vertical="top"/>
      <protection locked="0"/>
    </xf>
    <xf numFmtId="0" fontId="281" fillId="0" borderId="0">
      <alignment vertical="top"/>
      <protection locked="0"/>
    </xf>
    <xf numFmtId="262" fontId="196" fillId="0" borderId="0"/>
    <xf numFmtId="188" fontId="212" fillId="0" borderId="0"/>
    <xf numFmtId="263" fontId="196" fillId="0" borderId="0"/>
    <xf numFmtId="44" fontId="195" fillId="0" borderId="0"/>
    <xf numFmtId="42" fontId="195" fillId="0" borderId="0"/>
  </cellStyleXfs>
  <cellXfs count="3367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7235" applyProtection="1"/>
    <xf numFmtId="219" applyNumberFormat="1" fontId="2" applyFont="1" fillId="2" applyFill="1" borderId="0" applyBorder="1" xfId="1601" applyProtection="1" applyAlignment="1">
      <alignment horizontal="center" textRotation="15"/>
    </xf>
    <xf numFmtId="219" applyNumberFormat="1" fontId="3" applyFont="1" fillId="0" applyFill="1" borderId="0" applyBorder="1" xfId="1601" applyProtection="1" applyAlignment="1">
      <alignment horizontal="center"/>
    </xf>
    <xf numFmtId="0" applyNumberFormat="1" fontId="4" applyFont="1" fillId="0" applyFill="1" borderId="0" applyBorder="1" xfId="17235" applyProtection="1"/>
    <xf numFmtId="219" applyNumberFormat="1" fontId="5" applyFont="1" fillId="0" applyFill="1" borderId="0" applyBorder="1" xfId="1601" applyProtection="1" applyAlignment="1">
      <alignment horizontal="center"/>
    </xf>
    <xf numFmtId="219" applyNumberFormat="1" fontId="6" applyFont="1" fillId="0" applyFill="1" borderId="0" applyBorder="1" xfId="1601" applyProtection="1" applyAlignment="1">
      <alignment horizontal="center"/>
    </xf>
    <xf numFmtId="219" applyNumberFormat="1" fontId="7" applyFont="1" fillId="0" applyFill="1" borderId="0" applyBorder="1" xfId="1601" applyProtection="1" applyAlignment="1">
      <alignment horizontal="center"/>
    </xf>
    <xf numFmtId="219" applyNumberFormat="1" fontId="8" applyFont="1" fillId="0" applyFill="1" borderId="0" applyBorder="1" xfId="1601" applyProtection="1"/>
    <xf numFmtId="219" applyNumberFormat="1" fontId="9" applyFont="1" fillId="0" applyFill="1" borderId="0" applyBorder="1" xfId="1601" applyProtection="1"/>
    <xf numFmtId="219" applyNumberFormat="1" fontId="0" applyFont="1" fillId="0" applyFill="1" borderId="0" applyBorder="1" xfId="1601" applyProtection="1"/>
    <xf numFmtId="0" applyNumberFormat="1" fontId="4" applyFont="1" fillId="0" applyFill="1" borderId="0" applyBorder="1" xfId="2312" applyProtection="1"/>
    <xf numFmtId="0" applyNumberFormat="1" fontId="7" applyFont="1" fillId="0" applyFill="1" borderId="0" applyBorder="1" xfId="17235" applyProtection="1" applyAlignment="1">
      <alignment horizontal="left"/>
    </xf>
    <xf numFmtId="0" applyNumberFormat="1" fontId="9" applyFont="1" fillId="0" applyFill="1" borderId="0" applyBorder="1" xfId="17235" applyProtection="1"/>
    <xf numFmtId="0" applyNumberFormat="1" fontId="7" applyFont="1" fillId="0" applyFill="1" borderId="0" applyBorder="1" xfId="17235" applyProtection="1" applyAlignment="1">
      <alignment horizontal="center"/>
    </xf>
    <xf numFmtId="0" applyNumberFormat="1" fontId="10" applyFont="1" fillId="0" applyFill="1" borderId="0" applyBorder="1" xfId="17235" applyProtection="1"/>
    <xf numFmtId="219" applyNumberFormat="1" fontId="11" applyFont="1" fillId="3" applyFill="1" borderId="4" applyBorder="1" xfId="1601" applyProtection="1" applyAlignment="1">
      <alignment horizontal="center"/>
    </xf>
    <xf numFmtId="0" applyNumberFormat="1" fontId="12" applyFont="1" fillId="0" applyFill="1" borderId="0" applyBorder="1" xfId="17235" applyProtection="1"/>
    <xf numFmtId="0" applyNumberFormat="1" fontId="13" applyFont="1" fillId="0" applyFill="1" borderId="7" applyBorder="1" xfId="17235" applyProtection="1" applyAlignment="1">
      <alignment horizontal="center"/>
    </xf>
    <xf numFmtId="4" applyNumberFormat="1" fontId="13" applyFont="1" fillId="0" applyFill="1" borderId="8" applyBorder="1" xfId="17235" applyProtection="1" applyAlignment="1">
      <alignment horizontal="center"/>
    </xf>
    <xf numFmtId="219" applyNumberFormat="1" fontId="11" applyFont="1" fillId="0" applyFill="1" borderId="9" applyBorder="1" xfId="1601" applyProtection="1" applyAlignment="1">
      <alignment horizontal="center"/>
    </xf>
    <xf numFmtId="0" applyNumberFormat="1" fontId="13" applyFont="1" fillId="0" applyFill="1" borderId="10" applyBorder="1" xfId="17235" applyProtection="1" applyAlignment="1">
      <alignment horizontal="center"/>
    </xf>
    <xf numFmtId="0" applyNumberFormat="1" fontId="13" applyFont="1" fillId="0" applyFill="1" borderId="11" applyBorder="1" xfId="17235" applyProtection="1" applyAlignment="1">
      <alignment horizontal="center"/>
    </xf>
    <xf numFmtId="0" applyNumberFormat="1" fontId="13" applyFont="1" fillId="0" applyFill="1" borderId="12" applyBorder="1" xfId="17235" applyProtection="1" applyAlignment="1">
      <alignment horizontal="center"/>
    </xf>
    <xf numFmtId="219" applyNumberFormat="1" fontId="4" applyFont="1" fillId="0" applyFill="1" borderId="14" applyBorder="1" xfId="1601" applyProtection="1"/>
    <xf numFmtId="219" applyNumberFormat="1" fontId="0" applyFont="1" fillId="0" applyFill="1" borderId="0" applyBorder="1" xfId="17235" applyProtection="1"/>
    <xf numFmtId="0" applyNumberFormat="1" fontId="13" applyFont="1" fillId="0" applyFill="1" borderId="15" applyBorder="1" xfId="17235" applyProtection="1" applyAlignment="1">
      <alignment horizontal="center"/>
    </xf>
    <xf numFmtId="0" applyNumberFormat="1" fontId="13" applyFont="1" fillId="0" applyFill="1" borderId="16" applyBorder="1" xfId="17235" applyProtection="1" applyAlignment="1">
      <alignment horizontal="center"/>
    </xf>
    <xf numFmtId="0" applyNumberFormat="1" fontId="13" applyFont="1" fillId="0" applyFill="1" borderId="17" applyBorder="1" xfId="17235" applyProtection="1" applyAlignment="1">
      <alignment horizontal="center"/>
    </xf>
    <xf numFmtId="4" applyNumberFormat="1" fontId="14" applyFont="1" fillId="0" applyFill="1" borderId="18" applyBorder="1" xfId="17235" applyProtection="1" applyAlignment="1">
      <alignment horizontal="left"/>
    </xf>
    <xf numFmtId="219" applyNumberFormat="1" fontId="4" applyFont="1" fillId="0" applyFill="1" borderId="19" applyBorder="1" xfId="1601" applyProtection="1"/>
    <xf numFmtId="0" applyNumberFormat="1" fontId="11" applyFont="1" fillId="4" applyFill="1" borderId="3" applyBorder="1" xfId="17235" applyProtection="1"/>
    <xf numFmtId="219" applyNumberFormat="1" fontId="11" applyFont="1" fillId="4" applyFill="1" borderId="4" applyBorder="1" xfId="1601" applyProtection="1"/>
    <xf numFmtId="0" applyNumberFormat="1" fontId="4" applyFont="1" fillId="4" applyFill="1" borderId="0" applyBorder="1" xfId="17235" applyProtection="1" applyAlignment="1">
      <alignment horizontal="center"/>
    </xf>
    <xf numFmtId="0" applyNumberFormat="1" fontId="4" applyFont="1" fillId="4" applyFill="1" borderId="0" applyBorder="1" xfId="17235" applyProtection="1"/>
    <xf numFmtId="219" applyNumberFormat="1" fontId="4" applyFont="1" fillId="4" applyFill="1" borderId="0" applyBorder="1" xfId="1601" applyProtection="1"/>
    <xf numFmtId="219" applyNumberFormat="1" fontId="1" applyFont="1" fillId="0" applyFill="1" borderId="0" applyBorder="1" xfId="17235" applyProtection="1"/>
    <xf numFmtId="0" applyNumberFormat="1" fontId="4" applyFont="1" fillId="4" applyFill="1" borderId="12" applyBorder="1" xfId="17235" applyProtection="1"/>
    <xf numFmtId="219" applyNumberFormat="1" fontId="4" applyFont="1" fillId="4" applyFill="1" borderId="13" applyBorder="1" xfId="1601" applyProtection="1"/>
    <xf numFmtId="219" applyNumberFormat="1" fontId="9" applyFont="1" fillId="4" applyFill="1" borderId="0" applyBorder="1" xfId="1601" applyProtection="1"/>
    <xf numFmtId="219" applyNumberFormat="1" fontId="11" applyFont="1" fillId="4" applyFill="1" borderId="12" applyBorder="1" xfId="7145" applyProtection="1"/>
    <xf numFmtId="43" applyNumberFormat="1" fontId="9" applyFont="1" fillId="4" applyFill="1" borderId="0" applyBorder="1" xfId="1601" applyProtection="1"/>
    <xf numFmtId="0" applyNumberFormat="1" fontId="11" applyFont="1" fillId="4" applyFill="1" borderId="12" applyBorder="1" xfId="17235" applyProtection="1"/>
    <xf numFmtId="219" applyNumberFormat="1" fontId="11" applyFont="1" fillId="4" applyFill="1" borderId="13" applyBorder="1" xfId="1601" applyProtection="1"/>
    <xf numFmtId="219" applyNumberFormat="1" fontId="7" applyFont="1" fillId="4" applyFill="1" borderId="0" applyBorder="1" xfId="1601" applyProtection="1"/>
    <xf numFmtId="0" applyNumberFormat="1" fontId="15" applyFont="1" fillId="0" applyFill="1" borderId="0" applyBorder="1" xfId="17235" applyProtection="1" applyAlignment="1">
      <alignment horizontal="left"/>
    </xf>
    <xf numFmtId="0" applyNumberFormat="1" fontId="15" applyFont="1" fillId="0" applyFill="1" borderId="0" applyBorder="1" xfId="17235" applyProtection="1"/>
    <xf numFmtId="219" applyNumberFormat="1" fontId="12" applyFont="1" fillId="0" applyFill="1" borderId="0" applyBorder="1" xfId="1601" applyProtection="1" applyAlignment="1">
      <alignment horizontal="center"/>
    </xf>
    <xf numFmtId="219" applyNumberFormat="1" fontId="9" applyFont="1" fillId="0" applyFill="1" borderId="0" applyBorder="1" xfId="1601" applyProtection="1" applyAlignment="1">
      <alignment horizontal="center"/>
    </xf>
    <xf numFmtId="0" applyNumberFormat="1" fontId="16" applyFont="1" fillId="0" applyFill="1" borderId="0" applyBorder="1" xfId="17235" applyProtection="1" applyAlignment="1">
      <alignment horizontal="left"/>
    </xf>
    <xf numFmtId="0" applyNumberFormat="1" fontId="12" applyFont="1" fillId="0" applyFill="1" borderId="0" applyBorder="1" xfId="2312" applyProtection="1"/>
    <xf numFmtId="219" applyNumberFormat="1" fontId="17" applyFont="1" fillId="0" applyFill="1" borderId="0" applyBorder="1" xfId="1601" applyProtection="1" applyAlignment="1">
      <alignment horizontal="center"/>
    </xf>
    <xf numFmtId="0" applyNumberFormat="1" fontId="1" applyFont="1" fillId="0" applyFill="1" borderId="0" applyBorder="1" xfId="2312" applyProtection="1"/>
    <xf numFmtId="219" applyNumberFormat="1" fontId="12" applyFont="1" fillId="0" applyFill="1" borderId="0" applyBorder="1" xfId="7145" applyProtection="1"/>
    <xf numFmtId="219" applyNumberFormat="1" fontId="0" applyFont="1" fillId="0" applyFill="1" borderId="0" applyBorder="1" xfId="7145" applyProtection="1"/>
    <xf numFmtId="219" applyNumberFormat="1" fontId="1" applyFont="1" fillId="5" applyFill="1" borderId="0" applyBorder="1" xfId="2312" applyProtection="1"/>
    <xf numFmtId="219" applyNumberFormat="1" fontId="1" applyFont="1" fillId="0" applyFill="1" borderId="0" applyBorder="1" xfId="2312" applyProtection="1"/>
    <xf numFmtId="0" applyNumberFormat="1" fontId="12" applyFont="1" fillId="0" applyFill="1" borderId="0" applyBorder="1" xfId="2312" applyProtection="1" applyAlignment="1">
      <alignment horizontal="left"/>
    </xf>
    <xf numFmtId="219" applyNumberFormat="1" fontId="12" applyFont="1" fillId="0" applyFill="1" borderId="0" applyBorder="1" xfId="2312" applyProtection="1"/>
    <xf numFmtId="219" applyNumberFormat="1" fontId="12" applyFont="1" fillId="0" applyFill="1" borderId="0" applyBorder="1" xfId="1601" applyProtection="1"/>
    <xf numFmtId="178" applyNumberFormat="1" fontId="12" applyFont="1" fillId="0" applyFill="1" borderId="0" applyBorder="1" xfId="1549" applyProtection="1"/>
    <xf numFmtId="178" applyNumberFormat="1" fontId="0" applyFont="1" fillId="0" applyFill="1" borderId="0" applyBorder="1" xfId="1549" applyProtection="1"/>
    <xf numFmtId="43" applyNumberFormat="1" fontId="9" applyFont="1" fillId="4" applyFill="1" borderId="0" applyBorder="1" xfId="7145" applyProtection="1"/>
    <xf numFmtId="0" applyNumberFormat="1" fontId="0" applyFont="1" fillId="0" applyFill="1" borderId="0" applyBorder="1" xfId="17235" applyProtection="1"/>
    <xf numFmtId="15" applyNumberFormat="1" fontId="8" applyFont="1" fillId="0" applyFill="1" borderId="0" applyBorder="1" xfId="17235" applyProtection="1" applyAlignment="1">
      <alignment horizontal="left"/>
    </xf>
    <xf numFmtId="0" applyNumberFormat="1" fontId="19" applyFont="1" fillId="6" applyFill="1" borderId="7" applyBorder="1" xfId="17235" applyProtection="1" applyAlignment="1">
      <alignment horizontal="center" vertical="center"/>
    </xf>
    <xf numFmtId="4" applyNumberFormat="1" fontId="19" applyFont="1" fillId="6" applyFill="1" borderId="8" applyBorder="1" xfId="17235" applyProtection="1" applyAlignment="1">
      <alignment horizontal="center" vertical="center"/>
    </xf>
    <xf numFmtId="219" applyNumberFormat="1" fontId="20" applyFont="1" fillId="6" applyFill="1" borderId="8" applyBorder="1" xfId="1601" applyProtection="1" applyAlignment="1">
      <alignment horizontal="center" vertical="center"/>
    </xf>
    <xf numFmtId="0" applyNumberFormat="1" fontId="19" applyFont="1" fillId="0" applyFill="1" borderId="10" applyBorder="1" xfId="17235" applyProtection="1" applyAlignment="1">
      <alignment horizontal="center"/>
    </xf>
    <xf numFmtId="0" applyNumberFormat="1" fontId="19" applyFont="1" fillId="0" applyFill="1" borderId="11" applyBorder="1" xfId="17235" applyProtection="1" applyAlignment="1">
      <alignment horizontal="center"/>
    </xf>
    <xf numFmtId="0" applyNumberFormat="1" fontId="19" applyFont="1" fillId="0" applyFill="1" borderId="12" applyBorder="1" xfId="17235" applyProtection="1" applyAlignment="1">
      <alignment horizontal="center"/>
    </xf>
    <xf numFmtId="4" applyNumberFormat="1" fontId="21" applyFont="1" fillId="0" applyFill="1" borderId="13" applyBorder="1" xfId="17235" applyProtection="1" applyAlignment="1">
      <alignment horizontal="left"/>
    </xf>
    <xf numFmtId="219" applyNumberFormat="1" fontId="22" applyFont="1" fillId="0" applyFill="1" borderId="13" applyBorder="1" xfId="1601" applyProtection="1"/>
    <xf numFmtId="0" applyNumberFormat="1" fontId="19" applyFont="1" fillId="0" applyFill="1" borderId="15" applyBorder="1" xfId="17235" applyProtection="1" applyAlignment="1">
      <alignment horizontal="center"/>
    </xf>
    <xf numFmtId="0" applyNumberFormat="1" fontId="19" applyFont="1" fillId="0" applyFill="1" borderId="16" applyBorder="1" xfId="17235" applyProtection="1" applyAlignment="1">
      <alignment horizontal="center"/>
    </xf>
    <xf numFmtId="0" applyNumberFormat="1" fontId="19" applyFont="1" fillId="0" applyFill="1" borderId="17" applyBorder="1" xfId="17235" applyProtection="1" applyAlignment="1">
      <alignment horizontal="center"/>
    </xf>
    <xf numFmtId="219" applyNumberFormat="1" fontId="22" applyFont="1" fillId="0" applyFill="1" borderId="18" applyBorder="1" xfId="1601" applyProtection="1"/>
    <xf numFmtId="0" applyNumberFormat="1" fontId="20" applyFont="1" fillId="4" applyFill="1" borderId="3" applyBorder="1" xfId="17235" applyProtection="1"/>
    <xf numFmtId="219" applyNumberFormat="1" fontId="20" applyFont="1" fillId="4" applyFill="1" borderId="21" applyBorder="1" xfId="1601" applyProtection="1"/>
    <xf numFmtId="0" applyNumberFormat="1" fontId="9" applyFont="1" fillId="4" applyFill="1" borderId="0" applyBorder="1" xfId="17235" applyProtection="1" applyAlignment="1">
      <alignment horizontal="center"/>
    </xf>
    <xf numFmtId="0" applyNumberFormat="1" fontId="9" applyFont="1" fillId="4" applyFill="1" borderId="0" applyBorder="1" xfId="17235" applyProtection="1"/>
    <xf numFmtId="0" applyNumberFormat="1" fontId="22" applyFont="1" fillId="4" applyFill="1" borderId="20" applyBorder="1" xfId="17235" applyProtection="1"/>
    <xf numFmtId="219" applyNumberFormat="1" fontId="20" applyFont="1" fillId="4" applyFill="1" borderId="12" applyBorder="1" xfId="1601" applyProtection="1"/>
    <xf numFmtId="219" applyNumberFormat="1" fontId="20" applyFont="1" fillId="4" applyFill="1" borderId="12" applyBorder="1" xfId="7145" applyProtection="1"/>
    <xf numFmtId="0" applyNumberFormat="1" fontId="20" applyFont="1" fillId="4" applyFill="1" borderId="20" applyBorder="1" xfId="17235" applyProtection="1"/>
    <xf numFmtId="0" applyNumberFormat="1" fontId="13" applyFont="1" fillId="0" applyFill="1" borderId="0" applyBorder="1" xfId="17235" applyProtection="1" applyAlignment="1">
      <alignment horizontal="left"/>
    </xf>
    <xf numFmtId="0" applyNumberFormat="1" fontId="14" applyFont="1" fillId="0" applyFill="1" borderId="0" applyBorder="1" xfId="17235" applyProtection="1"/>
    <xf numFmtId="0" applyNumberFormat="1" fontId="14" applyFont="1" fillId="0" applyFill="1" borderId="0" applyBorder="1" xfId="17235" applyProtection="1" applyAlignment="1">
      <alignment horizontal="left"/>
    </xf>
    <xf numFmtId="0" applyNumberFormat="1" fontId="9" applyFont="1" fillId="0" applyFill="1" borderId="0" applyBorder="1" xfId="2312" applyProtection="1"/>
    <xf numFmtId="0" applyNumberFormat="1" fontId="23" applyFont="1" fillId="0" applyFill="1" borderId="0" applyBorder="1" xfId="2312" applyProtection="1"/>
    <xf numFmtId="219" applyNumberFormat="1" fontId="20" applyFont="1" fillId="6" applyFill="1" borderId="8" applyBorder="1" xfId="1601" applyProtection="1" applyAlignment="1">
      <alignment horizontal="center" vertical="center" wrapText="1"/>
    </xf>
    <xf numFmtId="219" applyNumberFormat="1" fontId="20" applyFont="1" fillId="6" applyFill="1" borderId="9" applyBorder="1" xfId="1601" applyProtection="1" applyAlignment="1">
      <alignment horizontal="center" vertical="center"/>
    </xf>
    <xf numFmtId="0" applyNumberFormat="1" fontId="12" applyFont="1" fillId="0" applyFill="1" borderId="0" applyBorder="1" xfId="17235" applyProtection="1" applyAlignment="1">
      <alignment vertical="center"/>
    </xf>
    <xf numFmtId="219" applyNumberFormat="1" fontId="12" applyFont="1" fillId="0" applyFill="1" borderId="0" applyBorder="1" xfId="1601" applyProtection="1" applyAlignment="1">
      <alignment vertical="center"/>
    </xf>
    <xf numFmtId="0" applyNumberFormat="1" fontId="23" applyFont="1" fillId="0" applyFill="1" borderId="0" applyBorder="1" xfId="2312" applyProtection="1" applyAlignment="1">
      <alignment vertical="center"/>
    </xf>
    <xf numFmtId="219" applyNumberFormat="1" fontId="22" applyFont="1" fillId="0" applyFill="1" borderId="14" applyBorder="1" xfId="1601" applyProtection="1"/>
    <xf numFmtId="219" applyNumberFormat="1" fontId="23" applyFont="1" fillId="0" applyFill="1" borderId="0" applyBorder="1" xfId="2312" applyProtection="1"/>
    <xf numFmtId="0" applyNumberFormat="1" fontId="0" applyFont="1" fillId="0" applyFill="1" borderId="0" applyBorder="1" xfId="2312" applyProtection="1"/>
    <xf numFmtId="43" applyNumberFormat="1" fontId="20" applyFont="1" fillId="4" applyFill="1" borderId="21" applyBorder="1" xfId="1601" applyProtection="1"/>
    <xf numFmtId="219" applyNumberFormat="1" fontId="11" applyFont="1" fillId="0" applyFill="1" borderId="0" applyBorder="1" xfId="1601" applyProtection="1"/>
    <xf numFmtId="219" applyNumberFormat="1" fontId="11" applyFont="1" fillId="0" applyFill="1" borderId="0" applyBorder="1" xfId="1601" applyProtection="1" applyAlignment="1">
      <alignment horizontal="center"/>
    </xf>
    <xf numFmtId="219" applyNumberFormat="1" fontId="12" applyFont="1" fillId="0" applyFill="1" borderId="0" applyBorder="1" xfId="7145" applyProtection="1"/>
    <xf numFmtId="219" applyNumberFormat="1" fontId="12" applyFont="1" fillId="0" applyFill="1" borderId="0" applyBorder="1" xfId="7145" applyProtection="1" applyAlignment="1">
      <alignment vertical="center"/>
    </xf>
    <xf numFmtId="219" applyNumberFormat="1" fontId="20" applyFont="1" fillId="0" applyFill="1" borderId="0" applyBorder="1" xfId="7145" applyProtection="1"/>
    <xf numFmtId="0" applyNumberFormat="1" fontId="6" applyFont="1" fillId="0" applyFill="1" borderId="0" applyBorder="1" xfId="1802" applyProtection="1"/>
    <xf numFmtId="0" applyNumberFormat="1" fontId="6" applyFont="1" fillId="0" applyFill="1" borderId="0" applyBorder="1" xfId="1802" applyProtection="1" applyAlignment="1">
      <alignment horizontal="center"/>
    </xf>
    <xf numFmtId="0" applyNumberFormat="1" fontId="24" applyFont="1" fillId="0" applyFill="1" borderId="0" applyBorder="1" xfId="1802" applyProtection="1"/>
    <xf numFmtId="0" applyNumberFormat="1" fontId="8" applyFont="1" fillId="0" applyFill="1" borderId="0" applyBorder="1" xfId="1802" applyProtection="1" applyAlignment="1">
      <alignment horizontal="center"/>
    </xf>
    <xf numFmtId="0" applyNumberFormat="1" fontId="6" applyFont="1" fillId="0" applyFill="1" borderId="22" applyBorder="1" xfId="1802" applyProtection="1" applyAlignment="1">
      <alignment horizontal="center" vertical="center"/>
    </xf>
    <xf numFmtId="0" applyNumberFormat="1" fontId="6" applyFont="1" fillId="0" applyFill="1" borderId="23" applyBorder="1" xfId="1802" applyProtection="1" applyAlignment="1">
      <alignment horizontal="center" vertical="center"/>
    </xf>
    <xf numFmtId="0" applyNumberFormat="1" fontId="8" applyFont="1" fillId="7" applyFill="1" borderId="8" applyBorder="1" xfId="1802" applyProtection="1" applyAlignment="1">
      <alignment horizontal="center" vertical="center"/>
    </xf>
    <xf numFmtId="0" applyNumberFormat="1" fontId="8" applyFont="1" fillId="7" applyFill="1" borderId="8" applyBorder="1" xfId="1802" applyProtection="1" applyAlignment="1">
      <alignment horizontal="left" vertical="center"/>
    </xf>
    <xf numFmtId="254" applyNumberFormat="1" fontId="8" applyFont="1" fillId="7" applyFill="1" borderId="8" applyBorder="1" xfId="1802" applyProtection="1" applyAlignment="1">
      <alignment horizontal="center" vertical="center"/>
    </xf>
    <xf numFmtId="0" applyNumberFormat="1" fontId="8" applyFont="1" fillId="7" applyFill="1" borderId="13" applyBorder="1" xfId="1802" applyProtection="1" applyAlignment="1">
      <alignment horizontal="center" vertical="center"/>
    </xf>
    <xf numFmtId="0" applyNumberFormat="1" fontId="8" applyFont="1" fillId="7" applyFill="1" borderId="13" applyBorder="1" xfId="1802" applyProtection="1" applyAlignment="1">
      <alignment horizontal="left" vertical="center"/>
    </xf>
    <xf numFmtId="254" applyNumberFormat="1" fontId="8" applyFont="1" fillId="7" applyFill="1" borderId="13" applyBorder="1" xfId="1802" applyProtection="1" applyAlignment="1">
      <alignment horizontal="center" vertical="center"/>
    </xf>
    <xf numFmtId="0" applyNumberFormat="1" fontId="8" applyFont="1" fillId="7" applyFill="1" borderId="13" applyBorder="1" xfId="952" applyProtection="1" applyAlignment="1">
      <alignment horizontal="center"/>
    </xf>
    <xf numFmtId="0" applyNumberFormat="1" fontId="8" applyFont="1" fillId="7" applyFill="1" borderId="24" applyBorder="1" xfId="2284" applyProtection="1" applyAlignment="1">
      <alignment horizontal="center"/>
    </xf>
    <xf numFmtId="0" applyNumberFormat="1" fontId="8" applyFont="1" fillId="8" applyFill="1" borderId="13" applyBorder="1" xfId="1802" applyProtection="1" applyAlignment="1">
      <alignment horizontal="center" vertical="center"/>
    </xf>
    <xf numFmtId="0" applyNumberFormat="1" fontId="8" applyFont="1" fillId="8" applyFill="1" borderId="13" applyBorder="1" xfId="1802" applyProtection="1" applyAlignment="1">
      <alignment horizontal="left" vertical="center"/>
    </xf>
    <xf numFmtId="254" applyNumberFormat="1" fontId="8" applyFont="1" fillId="8" applyFill="1" borderId="13" applyBorder="1" xfId="1802" applyProtection="1" applyAlignment="1">
      <alignment horizontal="center" vertical="center"/>
    </xf>
    <xf numFmtId="0" applyNumberFormat="1" fontId="8" applyFont="1" fillId="8" applyFill="1" borderId="13" applyBorder="1" xfId="952" applyProtection="1" applyAlignment="1">
      <alignment horizontal="center"/>
    </xf>
    <xf numFmtId="219" applyNumberFormat="1" fontId="8" applyFont="1" fillId="7" applyFill="1" borderId="8" applyBorder="1" xfId="7145" applyProtection="1" applyAlignment="1">
      <alignment horizontal="center" vertical="center"/>
    </xf>
    <xf numFmtId="219" applyNumberFormat="1" fontId="8" applyFont="1" fillId="7" applyFill="1" borderId="13" applyBorder="1" xfId="7145" applyProtection="1" applyAlignment="1">
      <alignment horizontal="center" vertical="center"/>
    </xf>
    <xf numFmtId="219" applyNumberFormat="1" fontId="8" applyFont="1" fillId="7" applyFill="1" borderId="13" applyBorder="1" xfId="7145" applyProtection="1"/>
    <xf numFmtId="219" applyNumberFormat="1" fontId="8" applyFont="1" fillId="8" applyFill="1" borderId="13" applyBorder="1" xfId="7145" applyProtection="1"/>
    <xf numFmtId="0" applyNumberFormat="1" fontId="8" applyFont="1" fillId="7" applyFill="1" borderId="0" applyBorder="1" xfId="1802" applyProtection="1" applyAlignment="1">
      <alignment horizontal="left"/>
    </xf>
    <xf numFmtId="0" applyNumberFormat="1" fontId="8" applyFont="1" fillId="9" applyFill="1" borderId="13" applyBorder="1" xfId="1802" applyProtection="1" applyAlignment="1">
      <alignment horizontal="center" vertical="center"/>
    </xf>
    <xf numFmtId="0" applyNumberFormat="1" fontId="8" applyFont="1" fillId="9" applyFill="1" borderId="13" applyBorder="1" xfId="1802" applyProtection="1" applyAlignment="1">
      <alignment horizontal="left" vertical="center"/>
    </xf>
    <xf numFmtId="254" applyNumberFormat="1" fontId="8" applyFont="1" fillId="9" applyFill="1" borderId="13" applyBorder="1" xfId="1802" applyProtection="1" applyAlignment="1">
      <alignment horizontal="center" vertical="center"/>
    </xf>
    <xf numFmtId="0" applyNumberFormat="1" fontId="8" applyFont="1" fillId="9" applyFill="1" borderId="13" applyBorder="1" xfId="952" applyProtection="1" applyAlignment="1">
      <alignment horizontal="center"/>
    </xf>
    <xf numFmtId="0" applyNumberFormat="1" fontId="26" applyFont="1" fillId="8" applyFill="1" borderId="8" applyBorder="1" xfId="1802" applyProtection="1" applyAlignment="1">
      <alignment horizontal="center" vertical="center" textRotation="255"/>
    </xf>
    <xf numFmtId="219" applyNumberFormat="1" fontId="8" applyFont="1" fillId="9" applyFill="1" borderId="13" applyBorder="1" xfId="7145" applyProtection="1"/>
    <xf numFmtId="0" applyNumberFormat="1" fontId="8" applyFont="1" fillId="10" applyFill="1" borderId="13" applyBorder="1" xfId="1802" applyProtection="1" applyAlignment="1">
      <alignment horizontal="center" vertical="center"/>
    </xf>
    <xf numFmtId="0" applyNumberFormat="1" fontId="8" applyFont="1" fillId="10" applyFill="1" borderId="13" applyBorder="1" xfId="1802" applyProtection="1" applyAlignment="1">
      <alignment horizontal="left" vertical="center"/>
    </xf>
    <xf numFmtId="254" applyNumberFormat="1" fontId="8" applyFont="1" fillId="10" applyFill="1" borderId="13" applyBorder="1" xfId="1802" applyProtection="1" applyAlignment="1">
      <alignment horizontal="center" vertical="center"/>
    </xf>
    <xf numFmtId="0" applyNumberFormat="1" fontId="8" applyFont="1" fillId="10" applyFill="1" borderId="13" applyBorder="1" xfId="952" applyProtection="1" applyAlignment="1">
      <alignment horizontal="center"/>
    </xf>
    <xf numFmtId="219" applyNumberFormat="1" fontId="8" applyFont="1" fillId="10" applyFill="1" borderId="13" applyBorder="1" xfId="7145" applyProtection="1"/>
    <xf numFmtId="0" applyNumberFormat="1" fontId="26" applyFont="1" fillId="10" applyFill="1" borderId="8" applyBorder="1" xfId="1802" applyProtection="1" applyAlignment="1">
      <alignment horizontal="center" vertical="center" textRotation="255"/>
    </xf>
    <xf numFmtId="219" applyNumberFormat="1" fontId="29" applyFont="1" fillId="9" applyFill="1" borderId="13" applyBorder="1" xfId="7145" applyProtection="1"/>
    <xf numFmtId="0" applyNumberFormat="1" fontId="26" applyFont="1" fillId="10" applyFill="1" borderId="25" applyBorder="1" xfId="1802" applyProtection="1" applyAlignment="1">
      <alignment vertical="center" textRotation="255"/>
    </xf>
    <xf numFmtId="0" applyNumberFormat="1" fontId="31" applyFont="1" fillId="11" applyFill="1" borderId="13" applyBorder="1" xfId="1802" applyProtection="1" applyAlignment="1">
      <alignment horizontal="center" vertical="center"/>
    </xf>
    <xf numFmtId="0" applyNumberFormat="1" fontId="31" applyFont="1" fillId="11" applyFill="1" borderId="13" applyBorder="1" xfId="1802" applyProtection="1" applyAlignment="1">
      <alignment horizontal="center" vertical="center"/>
    </xf>
    <xf numFmtId="0" applyNumberFormat="1" fontId="31" applyFont="1" fillId="11" applyFill="1" borderId="13" applyBorder="1" xfId="952" applyProtection="1" applyAlignment="1">
      <alignment horizontal="center"/>
    </xf>
    <xf numFmtId="0" applyNumberFormat="1" fontId="8" applyFont="1" fillId="0" applyFill="1" borderId="13" applyBorder="1" xfId="1802" applyProtection="1" applyAlignment="1">
      <alignment horizontal="center" vertical="center"/>
    </xf>
    <xf numFmtId="0" applyNumberFormat="1" fontId="8" applyFont="1" fillId="0" applyFill="1" borderId="13" applyBorder="1" xfId="1802" applyProtection="1" applyAlignment="1">
      <alignment horizontal="left" vertical="center"/>
    </xf>
    <xf numFmtId="254" applyNumberFormat="1" fontId="8" applyFont="1" fillId="0" applyFill="1" borderId="13" applyBorder="1" xfId="1802" applyProtection="1" applyAlignment="1">
      <alignment horizontal="center" vertical="center"/>
    </xf>
    <xf numFmtId="0" applyNumberFormat="1" fontId="8" applyFont="1" fillId="0" applyFill="1" borderId="13" applyBorder="1" xfId="952" applyProtection="1" applyAlignment="1">
      <alignment horizontal="center"/>
    </xf>
    <xf numFmtId="219" applyNumberFormat="1" fontId="31" applyFont="1" fillId="11" applyFill="1" borderId="13" applyBorder="1" xfId="7145" applyProtection="1"/>
    <xf numFmtId="0" applyNumberFormat="1" fontId="32" applyFont="1" fillId="11" applyFill="1" borderId="8" applyBorder="1" xfId="1802" applyProtection="1" applyAlignment="1">
      <alignment horizontal="center" vertical="center" textRotation="255"/>
    </xf>
    <xf numFmtId="219" applyNumberFormat="1" fontId="8" applyFont="1" fillId="0" applyFill="1" borderId="13" applyBorder="1" xfId="7145" applyProtection="1"/>
    <xf numFmtId="0" applyNumberFormat="1" fontId="26" applyFont="1" fillId="0" applyFill="1" borderId="25" applyBorder="1" xfId="1802" applyProtection="1" applyAlignment="1">
      <alignment horizontal="center" vertical="center" textRotation="255"/>
    </xf>
    <xf numFmtId="0" applyNumberFormat="1" fontId="26" applyFont="1" fillId="0" applyFill="1" borderId="25" applyBorder="1" xfId="1802" applyProtection="1" applyAlignment="1">
      <alignment vertical="center" textRotation="255"/>
    </xf>
    <xf numFmtId="0" applyNumberFormat="1" fontId="8" applyFont="1" fillId="0" applyFill="1" borderId="0" applyBorder="1" xfId="1802" applyProtection="1"/>
    <xf numFmtId="219" applyNumberFormat="1" fontId="29" applyFont="1" fillId="0" applyFill="1" borderId="24" applyBorder="1" xfId="7145" applyProtection="1" applyAlignment="1">
      <alignment horizontal="left" vertical="center"/>
    </xf>
    <xf numFmtId="254" applyNumberFormat="1" fontId="29" applyFont="1" fillId="0" applyFill="1" borderId="18" applyBorder="1" xfId="2284" applyProtection="1" applyAlignment="1">
      <alignment horizontal="center" vertical="center"/>
    </xf>
    <xf numFmtId="0" applyNumberFormat="1" fontId="33" applyFont="1" fillId="0" applyFill="1" borderId="13" applyBorder="1" xfId="1802" applyProtection="1" applyAlignment="1">
      <alignment horizontal="left"/>
    </xf>
    <xf numFmtId="254" applyNumberFormat="1" fontId="33" applyFont="1" fillId="0" applyFill="1" borderId="13" applyBorder="1" xfId="1802" applyProtection="1" applyAlignment="1">
      <alignment horizontal="left"/>
    </xf>
    <xf numFmtId="254" applyNumberFormat="1" fontId="33" applyFont="1" fillId="0" applyFill="1" borderId="13" applyBorder="1" xfId="1802" applyProtection="1" applyAlignment="1">
      <alignment horizontal="center"/>
    </xf>
    <xf numFmtId="254" applyNumberFormat="1" fontId="8" applyFont="1" fillId="0" applyFill="1" borderId="0" applyBorder="1" xfId="1802" applyProtection="1" applyAlignment="1">
      <alignment horizontal="center"/>
    </xf>
    <xf numFmtId="0" applyNumberFormat="1" fontId="34" applyFont="1" fillId="0" applyFill="1" borderId="0" applyBorder="1" xfId="1802" applyProtection="1"/>
    <xf numFmtId="219" applyNumberFormat="1" fontId="33" applyFont="1" fillId="0" applyFill="1" borderId="13" applyBorder="1" xfId="7145" applyProtection="1" applyAlignment="1">
      <alignment horizontal="left"/>
    </xf>
    <xf numFmtId="219" applyNumberFormat="1" fontId="8" applyFont="1" fillId="0" applyFill="1" borderId="13" applyBorder="1" xfId="7145" applyProtection="1" applyAlignment="1">
      <alignment horizontal="left"/>
    </xf>
    <xf numFmtId="0" applyNumberFormat="1" fontId="38" applyFont="1" fillId="0" applyFill="1" borderId="0" applyBorder="1" xfId="20255" applyProtection="1" applyAlignment="1">
      <alignment vertical="center"/>
    </xf>
    <xf numFmtId="0" applyNumberFormat="1" fontId="38" applyFont="1" fillId="0" applyFill="1" borderId="0" applyBorder="1" xfId="20255" applyProtection="1" applyAlignment="1">
      <alignment vertical="center"/>
    </xf>
    <xf numFmtId="43" applyNumberFormat="1" fontId="0" applyFont="1" fillId="0" applyFill="1" borderId="0" applyBorder="1" xfId="7145" applyProtection="1" applyAlignment="1">
      <alignment vertical="center"/>
    </xf>
    <xf numFmtId="0" applyNumberFormat="1" fontId="36" applyFont="1" fillId="0" applyFill="1" borderId="13" applyBorder="1" xfId="20255" applyProtection="1" applyAlignment="1">
      <alignment horizontal="center" vertical="center" wrapText="1"/>
    </xf>
    <xf numFmtId="0" applyNumberFormat="1" fontId="38" applyFont="1" fillId="0" applyFill="1" borderId="13" applyBorder="1" xfId="20255" applyProtection="1" applyAlignment="1">
      <alignment horizontal="center" vertical="center"/>
    </xf>
    <xf numFmtId="0" applyNumberFormat="1" fontId="38" applyFont="1" fillId="0" applyFill="1" borderId="13" applyBorder="1" xfId="20255" applyProtection="1" applyAlignment="1">
      <alignment vertical="center"/>
    </xf>
    <xf numFmtId="41" applyNumberFormat="1" fontId="38" applyFont="1" fillId="0" applyFill="1" borderId="13" applyBorder="1" xfId="20255" applyProtection="1" applyAlignment="1">
      <alignment vertical="center"/>
    </xf>
    <xf numFmtId="41" applyNumberFormat="1" fontId="39" applyFont="1" fillId="0" applyFill="1" borderId="13" applyBorder="1" xfId="20255" applyProtection="1" applyAlignment="1">
      <alignment vertical="center"/>
    </xf>
    <xf numFmtId="41" applyNumberFormat="1" fontId="38" applyFont="1" fillId="0" applyFill="1" borderId="13" applyBorder="1" xfId="399" applyProtection="1" applyAlignment="1">
      <alignment vertical="center"/>
    </xf>
    <xf numFmtId="41" applyNumberFormat="1" fontId="40" applyFont="1" fillId="0" applyFill="1" borderId="13" applyBorder="1" xfId="20255" applyProtection="1" applyAlignment="1">
      <alignment vertical="center"/>
    </xf>
    <xf numFmtId="0" applyNumberFormat="1" fontId="38" applyFont="1" fillId="0" applyFill="1" borderId="20" applyBorder="1" xfId="20255" applyProtection="1" applyAlignment="1">
      <alignment vertical="center"/>
    </xf>
    <xf numFmtId="219" applyNumberFormat="1" fontId="38" applyFont="1" fillId="0" applyFill="1" borderId="13" applyBorder="1" xfId="7145" applyProtection="1" applyAlignment="1">
      <alignment horizontal="left" vertical="center"/>
    </xf>
    <xf numFmtId="41" applyNumberFormat="1" fontId="38" applyFont="1" fillId="0" applyFill="1" borderId="12" applyBorder="1" xfId="20255" applyProtection="1" applyAlignment="1">
      <alignment vertical="center"/>
    </xf>
    <xf numFmtId="0" applyNumberFormat="1" fontId="38" applyFont="1" fillId="0" applyFill="1" borderId="12" applyBorder="1" xfId="20255" applyProtection="1" applyAlignment="1">
      <alignment vertical="center"/>
    </xf>
    <xf numFmtId="219" applyNumberFormat="1" fontId="38" applyFont="1" fillId="0" applyFill="1" borderId="12" applyBorder="1" xfId="7145" applyProtection="1" applyAlignment="1">
      <alignment horizontal="left" vertical="center"/>
    </xf>
    <xf numFmtId="41" applyNumberFormat="1" fontId="36" applyFont="1" fillId="0" applyFill="1" borderId="13" applyBorder="1" xfId="20255" applyProtection="1" applyAlignment="1">
      <alignment vertical="center"/>
    </xf>
    <xf numFmtId="41" applyNumberFormat="1" fontId="38" applyFont="1" fillId="0" applyFill="1" borderId="0" applyBorder="1" xfId="20255" applyProtection="1" applyAlignment="1">
      <alignment vertical="center"/>
    </xf>
    <xf numFmtId="0" applyNumberFormat="1" fontId="12" applyFont="1" fillId="0" applyFill="1" borderId="0" applyBorder="1" xfId="2287" applyProtection="1" applyAlignment="1">
      <alignment vertical="center"/>
    </xf>
    <xf numFmtId="0" applyNumberFormat="1" fontId="0" applyFont="1" fillId="0" applyFill="1" borderId="0" applyBorder="1" xfId="0" applyProtection="1"/>
    <xf numFmtId="0" applyNumberFormat="1" fontId="12" applyFont="1" fillId="0" applyFill="1" borderId="13" applyBorder="1" xfId="2287" applyProtection="1" applyAlignment="1">
      <alignment vertical="center"/>
    </xf>
    <xf numFmtId="0" applyNumberFormat="1" fontId="0" applyFont="1" fillId="0" applyFill="1" borderId="13" applyBorder="1" xfId="2287" applyProtection="1" applyAlignment="1">
      <alignment vertical="center"/>
    </xf>
    <xf numFmtId="0" applyNumberFormat="1" fontId="41" applyFont="1" fillId="5" applyFill="1" borderId="13" applyBorder="1" xfId="2287" applyProtection="1" applyAlignment="1">
      <alignment vertical="center"/>
    </xf>
    <xf numFmtId="0" applyNumberFormat="1" fontId="42" applyFont="1" fillId="12" applyFill="1" borderId="13" applyBorder="1" xfId="2287" applyProtection="1" applyAlignment="1">
      <alignment vertical="center"/>
    </xf>
    <xf numFmtId="0" applyNumberFormat="1" fontId="42" applyFont="1" fillId="0" applyFill="1" borderId="13" applyBorder="1" xfId="2287" applyProtection="1" applyAlignment="1">
      <alignment vertical="center"/>
    </xf>
    <xf numFmtId="0" applyNumberFormat="1" fontId="0" applyFont="1" fillId="0" applyFill="1" borderId="0" applyBorder="1" xfId="2287" applyProtection="1" applyAlignment="1">
      <alignment vertical="center"/>
    </xf>
    <xf numFmtId="0" applyNumberFormat="1" fontId="11" applyFont="1" fillId="0" applyFill="1" borderId="13" applyBorder="1" xfId="2287" applyProtection="1" applyAlignment="1">
      <alignment vertical="center"/>
    </xf>
    <xf numFmtId="0" applyNumberFormat="1" fontId="1" applyFont="1" fillId="0" applyFill="1" borderId="0" applyBorder="1" xfId="0" applyProtection="1"/>
    <xf numFmtId="0" applyNumberFormat="1" fontId="42" applyFont="1" fillId="5" applyFill="1" borderId="13" applyBorder="1" xfId="2287" applyProtection="1" applyAlignment="1">
      <alignment vertical="center"/>
    </xf>
    <xf numFmtId="219" applyNumberFormat="1" fontId="38" applyFont="1" fillId="0" applyFill="1" borderId="0" applyBorder="1" xfId="7145" applyProtection="1" applyAlignment="1">
      <alignment vertical="center"/>
    </xf>
    <xf numFmtId="219" applyNumberFormat="1" fontId="0" applyFont="1" fillId="0" applyFill="1" borderId="0" applyBorder="1" xfId="7145" applyProtection="1" applyAlignment="1">
      <alignment vertical="center"/>
    </xf>
    <xf numFmtId="0" applyNumberFormat="1" fontId="36" applyFont="1" fillId="0" applyFill="1" borderId="13" applyBorder="1" xfId="20255" applyProtection="1" applyAlignment="1">
      <alignment horizontal="center" vertical="center"/>
    </xf>
    <xf numFmtId="219" applyNumberFormat="1" fontId="36" applyFont="1" fillId="0" applyFill="1" borderId="13" applyBorder="1" xfId="7145" applyProtection="1" applyAlignment="1">
      <alignment horizontal="center" vertical="center"/>
    </xf>
    <xf numFmtId="219" applyNumberFormat="1" fontId="38" applyFont="1" fillId="0" applyFill="1" borderId="13" applyBorder="1" xfId="7145" applyProtection="1" applyAlignment="1">
      <alignment vertical="center"/>
    </xf>
    <xf numFmtId="0" applyNumberFormat="1" fontId="43" applyFont="1" fillId="0" applyFill="1" borderId="0" applyBorder="1" xfId="2287" applyProtection="1" applyAlignment="1">
      <alignment vertical="center"/>
    </xf>
    <xf numFmtId="0" applyNumberFormat="1" fontId="39" applyFont="1" fillId="5" applyFill="1" borderId="13" applyBorder="1" xfId="20255" applyProtection="1" applyAlignment="1">
      <alignment horizontal="center" vertical="center"/>
    </xf>
    <xf numFmtId="0" applyNumberFormat="1" fontId="44" applyFont="1" fillId="0" applyFill="1" borderId="0" applyBorder="1" xfId="2287" applyProtection="1" applyAlignment="1">
      <alignment vertical="center"/>
    </xf>
    <xf numFmtId="0" applyNumberFormat="1" fontId="15" applyFont="1" fillId="0" applyFill="1" borderId="0" applyBorder="1" xfId="2287" applyProtection="1" applyAlignment="1">
      <alignment vertical="center"/>
    </xf>
    <xf numFmtId="219" applyNumberFormat="1" fontId="36" applyFont="1" fillId="0" applyFill="1" borderId="13" applyBorder="1" xfId="7145" applyProtection="1" applyAlignment="1">
      <alignment vertical="center"/>
    </xf>
    <xf numFmtId="219" applyNumberFormat="1" fontId="0" applyFont="1" fillId="0" applyFill="1" borderId="0" applyBorder="1" xfId="2287" applyProtection="1" applyAlignment="1">
      <alignment vertical="center"/>
    </xf>
    <xf numFmtId="41" applyNumberFormat="1" fontId="0" applyFont="1" fillId="0" applyFill="1" borderId="0" applyBorder="1" xfId="2287" applyProtection="1" applyAlignment="1">
      <alignment vertical="center"/>
    </xf>
    <xf numFmtId="0" applyNumberFormat="1" fontId="45" applyFont="1" fillId="0" applyFill="1" borderId="0" applyBorder="1" xfId="2287" applyProtection="1" applyAlignment="1">
      <alignment horizontal="center" vertical="center"/>
    </xf>
    <xf numFmtId="0" applyNumberFormat="1" fontId="45" applyFont="1" fillId="13" applyFill="1" borderId="0" applyBorder="1" xfId="0" applyProtection="1"/>
    <xf numFmtId="0" applyNumberFormat="1" fontId="45" applyFont="1" fillId="0" applyFill="1" borderId="0" applyBorder="1" xfId="0" applyProtection="1"/>
    <xf numFmtId="0" applyNumberFormat="1" fontId="45" applyFont="1" fillId="14" applyFill="1" borderId="0" applyBorder="1" xfId="0" applyProtection="1"/>
    <xf numFmtId="0" applyNumberFormat="1" fontId="6" applyFont="1" fillId="0" applyFill="1" borderId="0" applyBorder="1" xfId="437" applyProtection="1" applyAlignment="1">
      <alignment horizontal="left" vertical="center"/>
      <protection hidden="1"/>
    </xf>
    <xf numFmtId="0" applyNumberFormat="1" fontId="8" applyFont="1" fillId="0" applyFill="1" borderId="0" applyBorder="1" xfId="952" applyProtection="1" applyAlignment="1">
      <alignment horizontal="center" vertical="center"/>
    </xf>
    <xf numFmtId="0" applyNumberFormat="1" fontId="8" applyFont="1" fillId="0" applyFill="1" borderId="0" applyBorder="1" xfId="952" applyProtection="1" applyAlignment="1">
      <alignment horizontal="left" vertical="center"/>
    </xf>
    <xf numFmtId="219" applyNumberFormat="1" fontId="8" applyFont="1" fillId="0" applyFill="1" borderId="0" applyBorder="1" xfId="7145" applyProtection="1" applyAlignment="1">
      <alignment vertical="center"/>
    </xf>
    <xf numFmtId="0" applyNumberFormat="1" fontId="8" applyFont="1" fillId="0" applyFill="1" borderId="0" applyBorder="1" xfId="952" applyProtection="1" applyAlignment="1">
      <alignment horizontal="center" vertical="center"/>
    </xf>
    <xf numFmtId="0" applyNumberFormat="1" fontId="8" applyFont="1" fillId="0" applyFill="1" borderId="0" applyBorder="1" xfId="952" applyProtection="1" applyAlignment="1">
      <alignment horizontal="left" vertical="center"/>
    </xf>
    <xf numFmtId="219" applyNumberFormat="1" fontId="8" applyFont="1" fillId="0" applyFill="1" borderId="0" applyBorder="1" xfId="7145" applyProtection="1" applyAlignment="1">
      <alignment vertical="center"/>
    </xf>
    <xf numFmtId="219" applyNumberFormat="1" fontId="46" applyFont="1" fillId="0" applyFill="1" borderId="0" applyBorder="1" xfId="7145" applyProtection="1" applyAlignment="1">
      <alignment horizontal="left" vertical="center"/>
    </xf>
    <xf numFmtId="0" applyNumberFormat="1" fontId="47" applyFont="1" fillId="8" applyFill="1" borderId="26" applyBorder="1" xfId="1183" applyProtection="1" applyAlignment="1">
      <alignment horizontal="center" vertical="center" wrapText="1"/>
      <protection hidden="1"/>
    </xf>
    <xf numFmtId="0" applyNumberFormat="1" fontId="47" applyFont="1" fillId="8" applyFill="1" borderId="27" applyBorder="1" xfId="1183" applyProtection="1" applyAlignment="1">
      <alignment horizontal="center" vertical="center" wrapText="1"/>
      <protection hidden="1"/>
    </xf>
    <xf numFmtId="49" applyNumberFormat="1" fontId="47" applyFont="1" fillId="8" applyFill="1" borderId="27" applyBorder="1" xfId="1183" applyProtection="1" applyAlignment="1">
      <alignment horizontal="center" vertical="center" wrapText="1"/>
      <protection hidden="1"/>
    </xf>
    <xf numFmtId="219" applyNumberFormat="1" fontId="47" applyFont="1" fillId="8" applyFill="1" borderId="27" applyBorder="1" xfId="7145" applyProtection="1" applyAlignment="1">
      <alignment horizontal="center" vertical="center" wrapText="1"/>
      <protection hidden="1"/>
    </xf>
    <xf numFmtId="219" applyNumberFormat="1" fontId="48" applyFont="1" fillId="8" applyFill="1" borderId="27" applyBorder="1" xfId="7145" applyProtection="1" applyAlignment="1">
      <alignment horizontal="center" vertical="center" wrapText="1"/>
      <protection hidden="1"/>
    </xf>
    <xf numFmtId="0" applyNumberFormat="1" fontId="29" applyFont="1" fillId="13" applyFill="1" borderId="28" applyBorder="1" xfId="952" applyProtection="1" applyAlignment="1">
      <alignment horizontal="center" vertical="center"/>
    </xf>
    <xf numFmtId="0" applyNumberFormat="1" fontId="29" applyFont="1" fillId="13" applyFill="1" borderId="13" applyBorder="1" xfId="2284" applyProtection="1" applyAlignment="1">
      <alignment horizontal="center" vertical="center"/>
    </xf>
    <xf numFmtId="0" applyNumberFormat="1" fontId="29" applyFont="1" fillId="13" applyFill="1" borderId="13" applyBorder="1" xfId="2284" applyProtection="1" applyAlignment="1">
      <alignment vertical="center"/>
    </xf>
    <xf numFmtId="0" applyNumberFormat="1" fontId="29" applyFont="1" fillId="13" applyFill="1" borderId="29" applyBorder="1" xfId="2284" applyProtection="1" applyAlignment="1">
      <alignment horizontal="left" vertical="center"/>
    </xf>
    <xf numFmtId="0" applyNumberFormat="1" fontId="29" applyFont="1" fillId="13" applyFill="1" borderId="24" applyBorder="1" xfId="2284" applyProtection="1" applyAlignment="1">
      <alignment horizontal="left" vertical="center"/>
    </xf>
    <xf numFmtId="219" applyNumberFormat="1" fontId="29" applyFont="1" fillId="13" applyFill="1" borderId="24" applyBorder="1" xfId="7145" applyProtection="1" applyAlignment="1">
      <alignment horizontal="left" vertical="center"/>
    </xf>
    <xf numFmtId="219" applyNumberFormat="1" fontId="29" applyFont="1" fillId="13" applyFill="1" borderId="0" applyBorder="1" xfId="7145" applyProtection="1" applyAlignment="1">
      <alignment horizontal="left" vertical="center"/>
    </xf>
    <xf numFmtId="0" applyNumberFormat="1" fontId="29" applyFont="1" fillId="0" applyFill="1" borderId="28" applyBorder="1" xfId="952" applyProtection="1" applyAlignment="1">
      <alignment horizontal="center" vertical="center"/>
    </xf>
    <xf numFmtId="0" applyNumberFormat="1" fontId="29" applyFont="1" fillId="0" applyFill="1" borderId="13" applyBorder="1" xfId="2284" applyProtection="1" applyAlignment="1">
      <alignment horizontal="center" vertical="center"/>
    </xf>
    <xf numFmtId="0" applyNumberFormat="1" fontId="29" applyFont="1" fillId="0" applyFill="1" borderId="13" applyBorder="1" xfId="2284" applyProtection="1" applyAlignment="1">
      <alignment vertical="center"/>
    </xf>
    <xf numFmtId="0" applyNumberFormat="1" fontId="29" applyFont="1" fillId="0" applyFill="1" borderId="29" applyBorder="1" xfId="2284" applyProtection="1" applyAlignment="1">
      <alignment horizontal="left" vertical="center"/>
    </xf>
    <xf numFmtId="0" applyNumberFormat="1" fontId="29" applyFont="1" fillId="0" applyFill="1" borderId="24" applyBorder="1" xfId="2284" applyProtection="1" applyAlignment="1">
      <alignment horizontal="left" vertical="center"/>
    </xf>
    <xf numFmtId="219" applyNumberFormat="1" fontId="29" applyFont="1" fillId="0" applyFill="1" borderId="30" applyBorder="1" xfId="7145" applyProtection="1" applyAlignment="1">
      <alignment horizontal="left" vertical="center"/>
    </xf>
    <xf numFmtId="219" applyNumberFormat="1" fontId="29" applyFont="1" fillId="0" applyFill="1" borderId="13" applyBorder="1" xfId="7145" applyProtection="1" applyAlignment="1">
      <alignment horizontal="left" vertical="center"/>
    </xf>
    <xf numFmtId="219" applyNumberFormat="1" fontId="6" applyFont="1" fillId="4" applyFill="1" borderId="32" applyBorder="1" xfId="7145" applyProtection="1" applyAlignment="1">
      <alignment vertical="center"/>
    </xf>
    <xf numFmtId="0" applyNumberFormat="1" fontId="6" applyFont="1" fillId="4" applyFill="1" borderId="0" applyBorder="1" xfId="952" applyProtection="1" applyAlignment="1">
      <alignment horizontal="center" vertical="center"/>
    </xf>
    <xf numFmtId="0" applyNumberFormat="1" fontId="6" applyFont="1" fillId="4" applyFill="1" borderId="0" applyBorder="1" xfId="952" applyProtection="1" applyAlignment="1">
      <alignment horizontal="center" vertical="center"/>
    </xf>
    <xf numFmtId="219" applyNumberFormat="1" fontId="6" applyFont="1" fillId="4" applyFill="1" borderId="0" applyBorder="1" xfId="7145" applyProtection="1" applyAlignment="1">
      <alignment vertical="center"/>
    </xf>
    <xf numFmtId="0" applyNumberFormat="1" fontId="49" applyFont="1" fillId="0" applyFill="1" borderId="28" applyBorder="1" xfId="952" applyProtection="1" applyAlignment="1">
      <alignment horizontal="center" vertical="center"/>
    </xf>
    <xf numFmtId="0" applyNumberFormat="1" fontId="49" applyFont="1" fillId="0" applyFill="1" borderId="13" applyBorder="1" xfId="2284" applyProtection="1" applyAlignment="1">
      <alignment horizontal="center" vertical="center"/>
    </xf>
    <xf numFmtId="0" applyNumberFormat="1" fontId="49" applyFont="1" fillId="0" applyFill="1" borderId="13" applyBorder="1" xfId="2284" applyProtection="1" applyAlignment="1">
      <alignment horizontal="left" vertical="center"/>
    </xf>
    <xf numFmtId="0" applyNumberFormat="1" fontId="49" applyFont="1" fillId="0" applyFill="1" borderId="29" applyBorder="1" xfId="2284" applyProtection="1" applyAlignment="1">
      <alignment horizontal="left" vertical="center"/>
    </xf>
    <xf numFmtId="0" applyNumberFormat="1" fontId="49" applyFont="1" fillId="0" applyFill="1" borderId="24" applyBorder="1" xfId="2284" applyProtection="1" applyAlignment="1">
      <alignment horizontal="left" vertical="center"/>
    </xf>
    <xf numFmtId="219" applyNumberFormat="1" fontId="49" applyFont="1" fillId="0" applyFill="1" borderId="30" applyBorder="1" xfId="7145" applyProtection="1" applyAlignment="1">
      <alignment horizontal="left" vertical="center"/>
    </xf>
    <xf numFmtId="219" applyNumberFormat="1" fontId="49" applyFont="1" fillId="0" applyFill="1" borderId="13" applyBorder="1" xfId="7145" applyProtection="1" applyAlignment="1">
      <alignment horizontal="left" vertical="center"/>
    </xf>
    <xf numFmtId="0" applyNumberFormat="1" fontId="49" applyFont="1" fillId="0" applyFill="1" borderId="18" applyBorder="1" xfId="2284" applyProtection="1" applyAlignment="1">
      <alignment horizontal="center" vertical="center"/>
    </xf>
    <xf numFmtId="0" applyNumberFormat="1" fontId="49" applyFont="1" fillId="0" applyFill="1" borderId="18" applyBorder="1" xfId="2284" applyProtection="1" applyAlignment="1">
      <alignment horizontal="left" vertical="center"/>
    </xf>
    <xf numFmtId="0" applyNumberFormat="1" fontId="49" applyFont="1" fillId="0" applyFill="1" borderId="24" applyBorder="1" xfId="2284" applyProtection="1" applyAlignment="1">
      <alignment horizontal="center" vertical="center"/>
    </xf>
    <xf numFmtId="0" applyNumberFormat="1" fontId="49" applyFont="1" fillId="0" applyFill="1" borderId="24" applyBorder="1" xfId="2284" applyProtection="1" applyAlignment="1">
      <alignment vertical="center"/>
    </xf>
    <xf numFmtId="219" applyNumberFormat="1" fontId="31" applyFont="1" fillId="5" applyFill="1" borderId="30" applyBorder="1" xfId="7145" applyProtection="1" applyAlignment="1">
      <alignment horizontal="left" vertical="center"/>
    </xf>
    <xf numFmtId="0" applyNumberFormat="1" fontId="29" applyFont="1" fillId="14" applyFill="1" borderId="13" applyBorder="1" xfId="2284" applyProtection="1" applyAlignment="1">
      <alignment horizontal="center" vertical="center"/>
    </xf>
    <xf numFmtId="0" applyNumberFormat="1" fontId="29" applyFont="1" fillId="14" applyFill="1" borderId="24" applyBorder="1" xfId="2284" applyProtection="1" applyAlignment="1">
      <alignment horizontal="left" vertical="center"/>
    </xf>
    <xf numFmtId="0" applyNumberFormat="1" fontId="29" applyFont="1" fillId="14" applyFill="1" borderId="24" applyBorder="1" xfId="2284" applyProtection="1" applyAlignment="1">
      <alignment horizontal="center" vertical="center"/>
    </xf>
    <xf numFmtId="0" applyNumberFormat="1" fontId="29" applyFont="1" fillId="14" applyFill="1" borderId="29" applyBorder="1" xfId="2284" applyProtection="1" applyAlignment="1">
      <alignment horizontal="left" vertical="center"/>
    </xf>
    <xf numFmtId="0" applyNumberFormat="1" fontId="29" applyFont="1" fillId="14" applyFill="1" borderId="18" applyBorder="1" xfId="2284" applyProtection="1" applyAlignment="1">
      <alignment horizontal="left" vertical="center"/>
    </xf>
    <xf numFmtId="219" applyNumberFormat="1" fontId="29" applyFont="1" fillId="14" applyFill="1" borderId="30" applyBorder="1" xfId="7145" applyProtection="1" applyAlignment="1">
      <alignment horizontal="left" vertical="center"/>
    </xf>
    <xf numFmtId="219" applyNumberFormat="1" fontId="29" applyFont="1" fillId="14" applyFill="1" borderId="13" applyBorder="1" xfId="7145" applyProtection="1" applyAlignment="1">
      <alignment horizontal="left" vertical="center"/>
    </xf>
    <xf numFmtId="0" applyNumberFormat="1" fontId="29" applyFont="1" fillId="14" applyFill="1" borderId="33" applyBorder="1" xfId="2284" applyProtection="1" applyAlignment="1">
      <alignment horizontal="left" vertical="center"/>
    </xf>
    <xf numFmtId="0" applyNumberFormat="1" fontId="29" applyFont="1" fillId="14" applyFill="1" borderId="33" applyBorder="1" xfId="2284" applyProtection="1" applyAlignment="1">
      <alignment horizontal="center" vertical="center"/>
    </xf>
    <xf numFmtId="0" applyNumberFormat="1" fontId="29" applyFont="1" fillId="14" applyFill="1" borderId="34" applyBorder="1" xfId="2284" applyProtection="1" applyAlignment="1">
      <alignment horizontal="left" vertical="center"/>
    </xf>
    <xf numFmtId="219" applyNumberFormat="1" fontId="29" applyFont="1" fillId="14" applyFill="1" borderId="35" applyBorder="1" xfId="7145" applyProtection="1" applyAlignment="1">
      <alignment horizontal="left" vertical="center"/>
    </xf>
    <xf numFmtId="219" applyNumberFormat="1" fontId="29" applyFont="1" fillId="14" applyFill="1" borderId="18" applyBorder="1" xfId="7145" applyProtection="1" applyAlignment="1">
      <alignment horizontal="left" vertical="center"/>
    </xf>
    <xf numFmtId="0" applyNumberFormat="1" fontId="6" applyFont="1" fillId="0" applyFill="1" borderId="0" applyBorder="1" xfId="2284" applyProtection="1" applyAlignment="1">
      <alignment vertical="center"/>
    </xf>
    <xf numFmtId="0" applyNumberFormat="1" fontId="6" applyFont="1" fillId="0" applyFill="1" borderId="0" applyBorder="1" xfId="952" applyProtection="1" applyAlignment="1">
      <alignment vertical="center"/>
    </xf>
    <xf numFmtId="0" applyNumberFormat="1" fontId="6" applyFont="1" fillId="0" applyFill="1" borderId="0" applyBorder="1" xfId="952" applyProtection="1" applyAlignment="1">
      <alignment horizontal="center" vertical="center"/>
    </xf>
    <xf numFmtId="0" applyNumberFormat="1" fontId="8" applyFont="1" fillId="4" applyFill="1" borderId="0" applyBorder="1" xfId="952" applyProtection="1" applyAlignment="1">
      <alignment horizontal="center" vertical="center"/>
    </xf>
    <xf numFmtId="0" applyNumberFormat="1" fontId="6" applyFont="1" fillId="0" applyFill="1" borderId="0" applyBorder="1" xfId="952" applyProtection="1" applyAlignment="1">
      <alignment horizontal="center" vertical="center"/>
    </xf>
    <xf numFmtId="219" applyNumberFormat="1" fontId="6" applyFont="1" fillId="0" applyFill="1" borderId="0" applyBorder="1" xfId="7145" applyProtection="1" applyAlignment="1">
      <alignment vertical="center"/>
    </xf>
    <xf numFmtId="0" applyNumberFormat="1" fontId="8" applyFont="1" fillId="0" applyFill="1" borderId="0" applyBorder="1" xfId="952" applyProtection="1" applyAlignment="1">
      <alignment vertical="center"/>
    </xf>
    <xf numFmtId="0" applyNumberFormat="1" fontId="6" applyFont="1" fillId="0" applyFill="1" borderId="0" applyBorder="1" xfId="2284" applyProtection="1" applyAlignment="1">
      <alignment horizontal="center" vertical="center"/>
    </xf>
    <xf numFmtId="0" applyNumberFormat="1" fontId="8" applyFont="1" fillId="0" applyFill="1" borderId="0" applyBorder="1" xfId="2284" applyProtection="1" applyAlignment="1">
      <alignment vertical="center"/>
    </xf>
    <xf numFmtId="219" applyNumberFormat="1" fontId="6" applyFont="1" fillId="0" applyFill="1" borderId="0" applyBorder="1" xfId="7145" applyProtection="1" applyAlignment="1">
      <alignment horizontal="center" vertical="center"/>
    </xf>
    <xf numFmtId="0" applyNumberFormat="1" fontId="6" applyFont="1" fillId="4" applyFill="1" borderId="0" applyBorder="1" xfId="952" applyProtection="1" applyAlignment="1">
      <alignment vertical="center"/>
    </xf>
    <xf numFmtId="0" applyNumberFormat="1" fontId="8" applyFont="1" fillId="4" applyFill="1" borderId="0" applyBorder="1" xfId="952" applyProtection="1" applyAlignment="1">
      <alignment horizontal="left" vertical="center"/>
    </xf>
    <xf numFmtId="0" applyNumberFormat="1" fontId="6" applyFont="1" fillId="0" applyFill="1" borderId="0" applyBorder="1" xfId="952" applyProtection="1" applyAlignment="1">
      <alignment horizontal="left" vertical="center"/>
    </xf>
    <xf numFmtId="219" applyNumberFormat="1" fontId="6" applyFont="1" fillId="0" applyFill="1" borderId="0" applyBorder="1" xfId="7145" applyProtection="1" applyAlignment="1">
      <alignment vertical="center"/>
    </xf>
    <xf numFmtId="0" applyNumberFormat="1" fontId="8" applyFont="1" fillId="0" applyFill="1" borderId="0" applyBorder="1" xfId="2284" applyProtection="1" applyAlignment="1">
      <alignment horizontal="center" vertical="center"/>
    </xf>
    <xf numFmtId="0" applyNumberFormat="1" fontId="6" applyFont="1" fillId="0" applyFill="1" borderId="0" applyBorder="1" xfId="952" applyProtection="1" applyAlignment="1">
      <alignment horizontal="center" vertical="center"/>
    </xf>
    <xf numFmtId="219" applyNumberFormat="1" fontId="6" applyFont="1" fillId="0" applyFill="1" borderId="0" applyBorder="1" xfId="7145" applyProtection="1" applyAlignment="1">
      <alignment vertical="center"/>
    </xf>
    <xf numFmtId="219" applyNumberFormat="1" fontId="6" applyFont="1" fillId="0" applyFill="1" borderId="0" applyBorder="1" xfId="7145" applyProtection="1" applyAlignment="1">
      <alignment horizontal="center" vertical="center"/>
    </xf>
    <xf numFmtId="0" applyNumberFormat="1" fontId="8" applyFont="1" fillId="0" applyFill="1" borderId="0" applyBorder="1" xfId="952" applyProtection="1" applyAlignment="1">
      <alignment vertical="center"/>
    </xf>
    <xf numFmtId="0" applyNumberFormat="1" fontId="8" applyFont="1" fillId="0" applyFill="1" borderId="0" applyBorder="1" xfId="2284" applyProtection="1" applyAlignment="1">
      <alignment vertical="center"/>
    </xf>
    <xf numFmtId="0" applyNumberFormat="1" fontId="47" applyFont="1" fillId="8" applyFill="1" borderId="27" applyBorder="1" xfId="2256" applyProtection="1" applyAlignment="1">
      <alignment horizontal="center" vertical="center" wrapText="1"/>
    </xf>
    <xf numFmtId="0" applyNumberFormat="1" fontId="47" applyFont="1" fillId="10" applyFill="1" borderId="27" applyBorder="1" xfId="1145" applyProtection="1" applyAlignment="1">
      <alignment horizontal="center" vertical="center" wrapText="1"/>
      <protection hidden="1"/>
    </xf>
    <xf numFmtId="41" applyNumberFormat="1" fontId="47" applyFont="1" fillId="8" applyFill="1" borderId="27" applyBorder="1" xfId="2256" applyProtection="1" applyAlignment="1">
      <alignment horizontal="center" vertical="center" wrapText="1"/>
    </xf>
    <xf numFmtId="0" applyNumberFormat="1" fontId="47" applyFont="1" fillId="10" applyFill="1" borderId="27" applyBorder="1" xfId="19674" applyProtection="1" applyAlignment="1">
      <alignment horizontal="center" vertical="center" wrapText="1"/>
    </xf>
    <xf numFmtId="0" applyNumberFormat="1" fontId="47" applyFont="1" fillId="10" applyFill="1" borderId="36" applyBorder="1" xfId="19674" applyProtection="1" applyAlignment="1">
      <alignment horizontal="center" vertical="center" wrapText="1"/>
    </xf>
    <xf numFmtId="219" applyNumberFormat="1" fontId="29" applyFont="1" fillId="13" applyFill="1" borderId="13" applyBorder="1" xfId="20106" applyProtection="1" applyAlignment="1">
      <alignment vertical="center"/>
    </xf>
    <xf numFmtId="219" applyNumberFormat="1" fontId="29" applyFont="1" fillId="13" applyFill="1" borderId="13" applyBorder="1" xfId="7145" applyProtection="1" applyAlignment="1">
      <alignment horizontal="center" vertical="center"/>
    </xf>
    <xf numFmtId="219" applyNumberFormat="1" fontId="50" applyFont="1" fillId="13" applyFill="1" borderId="13" applyBorder="1" xfId="20106" applyProtection="1" applyAlignment="1">
      <alignment vertical="center"/>
      <protection hidden="1"/>
    </xf>
    <xf numFmtId="219" applyNumberFormat="1" fontId="29" applyFont="1" fillId="13" applyFill="1" borderId="13" applyBorder="1" xfId="20106" applyProtection="1" applyAlignment="1">
      <alignment vertical="center"/>
      <protection hidden="1"/>
    </xf>
    <xf numFmtId="219" applyNumberFormat="1" fontId="51" applyFont="1" fillId="13" applyFill="1" borderId="18" applyBorder="1" xfId="20106" applyProtection="1" applyAlignment="1">
      <alignment vertical="center"/>
      <protection hidden="1"/>
    </xf>
    <xf numFmtId="219" applyNumberFormat="1" fontId="29" applyFont="1" fillId="13" applyFill="1" borderId="18" applyBorder="1" xfId="20106" applyProtection="1" applyAlignment="1">
      <alignment vertical="center"/>
      <protection hidden="1"/>
    </xf>
    <xf numFmtId="219" applyNumberFormat="1" fontId="29" applyFont="1" fillId="0" applyFill="1" borderId="13" applyBorder="1" xfId="20106" applyProtection="1" applyAlignment="1">
      <alignment vertical="center"/>
    </xf>
    <xf numFmtId="219" applyNumberFormat="1" fontId="29" applyFont="1" fillId="0" applyFill="1" borderId="18" applyBorder="1" xfId="7145" applyProtection="1" applyAlignment="1">
      <alignment vertical="center"/>
    </xf>
    <xf numFmtId="219" applyNumberFormat="1" fontId="50" applyFont="1" fillId="0" applyFill="1" borderId="13" applyBorder="1" xfId="20106" applyProtection="1" applyAlignment="1">
      <alignment vertical="center"/>
      <protection hidden="1"/>
    </xf>
    <xf numFmtId="219" applyNumberFormat="1" fontId="29" applyFont="1" fillId="0" applyFill="1" borderId="13" applyBorder="1" xfId="20106" applyProtection="1" applyAlignment="1">
      <alignment vertical="center"/>
      <protection hidden="1"/>
    </xf>
    <xf numFmtId="219" applyNumberFormat="1" fontId="6" applyFont="1" fillId="4" applyFill="1" borderId="0" applyBorder="1" xfId="7145" applyProtection="1" applyAlignment="1">
      <alignment vertical="center"/>
    </xf>
    <xf numFmtId="219" applyNumberFormat="1" fontId="49" applyFont="1" fillId="0" applyFill="1" borderId="13" applyBorder="1" xfId="20106" applyProtection="1" applyAlignment="1">
      <alignment vertical="center"/>
    </xf>
    <xf numFmtId="219" applyNumberFormat="1" fontId="49" applyFont="1" fillId="0" applyFill="1" borderId="18" applyBorder="1" xfId="7145" applyProtection="1" applyAlignment="1">
      <alignment vertical="center"/>
    </xf>
    <xf numFmtId="219" applyNumberFormat="1" fontId="49" applyFont="1" fillId="0" applyFill="1" borderId="13" applyBorder="1" xfId="7145" applyProtection="1" applyAlignment="1">
      <alignment vertical="center"/>
      <protection hidden="1"/>
    </xf>
    <xf numFmtId="219" applyNumberFormat="1" fontId="52" applyFont="1" fillId="0" applyFill="1" borderId="18" applyBorder="1" xfId="7145" applyProtection="1" applyAlignment="1">
      <alignment vertical="center"/>
      <protection hidden="1"/>
    </xf>
    <xf numFmtId="219" applyNumberFormat="1" fontId="49" applyFont="1" fillId="0" applyFill="1" borderId="18" applyBorder="1" xfId="7145" applyProtection="1" applyAlignment="1">
      <alignment vertical="center"/>
      <protection hidden="1"/>
    </xf>
    <xf numFmtId="219" applyNumberFormat="1" fontId="49" applyFont="1" fillId="0" applyFill="1" borderId="13" applyBorder="1" xfId="20106" applyProtection="1" applyAlignment="1">
      <alignment vertical="center"/>
      <protection hidden="1"/>
    </xf>
    <xf numFmtId="219" applyNumberFormat="1" fontId="49" applyFont="1" fillId="0" applyFill="1" borderId="13" applyBorder="1" xfId="7145" applyProtection="1" applyAlignment="1">
      <alignment vertical="center"/>
    </xf>
    <xf numFmtId="219" applyNumberFormat="1" fontId="49" applyFont="1" fillId="0" applyFill="1" borderId="24" applyBorder="1" xfId="7145" applyProtection="1" applyAlignment="1">
      <alignment vertical="center"/>
      <protection hidden="1"/>
    </xf>
    <xf numFmtId="219" applyNumberFormat="1" fontId="29" applyFont="1" fillId="14" applyFill="1" borderId="13" applyBorder="1" xfId="20106" applyProtection="1" applyAlignment="1">
      <alignment vertical="center"/>
    </xf>
    <xf numFmtId="219" applyNumberFormat="1" fontId="29" applyFont="1" fillId="14" applyFill="1" borderId="13" applyBorder="1" xfId="7145" applyProtection="1" applyAlignment="1">
      <alignment vertical="center"/>
    </xf>
    <xf numFmtId="219" applyNumberFormat="1" fontId="50" applyFont="1" fillId="14" applyFill="1" borderId="13" applyBorder="1" xfId="20106" applyProtection="1" applyAlignment="1">
      <alignment vertical="center"/>
      <protection hidden="1"/>
    </xf>
    <xf numFmtId="219" applyNumberFormat="1" fontId="29" applyFont="1" fillId="14" applyFill="1" borderId="13" applyBorder="1" xfId="7145" applyProtection="1" applyAlignment="1">
      <alignment vertical="center"/>
      <protection hidden="1"/>
    </xf>
    <xf numFmtId="41" applyNumberFormat="1" fontId="8" applyFont="1" fillId="0" applyFill="1" borderId="0" applyBorder="1" xfId="952" applyProtection="1" applyAlignment="1">
      <alignment vertical="center"/>
    </xf>
    <xf numFmtId="219" applyNumberFormat="1" fontId="29" applyFont="1" fillId="0" applyFill="1" borderId="0" applyBorder="1" xfId="7145" applyProtection="1" applyAlignment="1">
      <alignment horizontal="left" vertical="center"/>
    </xf>
    <xf numFmtId="41" applyNumberFormat="1" fontId="6" applyFont="1" fillId="0" applyFill="1" borderId="0" applyBorder="1" xfId="952" applyProtection="1" applyAlignment="1">
      <alignment vertical="center"/>
    </xf>
    <xf numFmtId="219" applyNumberFormat="1" fontId="8" applyFont="1" fillId="0" applyFill="1" borderId="0" applyBorder="1" xfId="2284" applyProtection="1" applyAlignment="1">
      <alignment vertical="center"/>
    </xf>
    <xf numFmtId="219" applyNumberFormat="1" fontId="6" applyFont="1" fillId="0" applyFill="1" borderId="0" applyBorder="1" xfId="2284" applyProtection="1" applyAlignment="1">
      <alignment vertical="center"/>
    </xf>
    <xf numFmtId="219" applyNumberFormat="1" fontId="6" applyFont="1" fillId="0" applyFill="1" borderId="0" applyBorder="1" xfId="2284" applyProtection="1" applyAlignment="1">
      <alignment vertical="center"/>
    </xf>
    <xf numFmtId="0" applyNumberFormat="1" fontId="29" applyFont="1" fillId="0" applyFill="1" borderId="0" applyBorder="1" xfId="952" applyProtection="1" applyAlignment="1">
      <alignment horizontal="center" vertical="center"/>
    </xf>
    <xf numFmtId="0" applyNumberFormat="1" fontId="29" applyFont="1" fillId="0" applyFill="1" borderId="0" applyBorder="1" xfId="2284" applyProtection="1" applyAlignment="1">
      <alignment horizontal="center" vertical="center"/>
    </xf>
    <xf numFmtId="0" applyNumberFormat="1" fontId="29" applyFont="1" fillId="0" applyFill="1" borderId="0" applyBorder="1" xfId="952" applyProtection="1" applyAlignment="1">
      <alignment horizontal="center" vertical="center"/>
    </xf>
    <xf numFmtId="9" applyNumberFormat="1" fontId="47" applyFont="1" fillId="8" applyFill="1" borderId="27" applyBorder="1" xfId="1084" applyProtection="1" applyAlignment="1">
      <alignment horizontal="center" vertical="center" wrapText="1"/>
    </xf>
    <xf numFmtId="41" applyNumberFormat="1" fontId="47" applyFont="1" fillId="8" applyFill="1" borderId="27" applyBorder="1" xfId="7450" applyProtection="1" applyAlignment="1">
      <alignment horizontal="center" vertical="center" wrapText="1"/>
      <protection hidden="1"/>
    </xf>
    <xf numFmtId="41" applyNumberFormat="1" fontId="53" applyFont="1" fillId="8" applyFill="1" borderId="27" applyBorder="1" xfId="7450" applyProtection="1" applyAlignment="1">
      <alignment horizontal="center" vertical="center" wrapText="1"/>
      <protection hidden="1"/>
    </xf>
    <xf numFmtId="41" applyNumberFormat="1" fontId="53" applyFont="1" fillId="8" applyFill="1" borderId="37" applyBorder="1" xfId="7450" applyProtection="1" applyAlignment="1">
      <alignment horizontal="center" vertical="center" wrapText="1"/>
      <protection hidden="1"/>
    </xf>
    <xf numFmtId="41" applyNumberFormat="1" fontId="29" applyFont="1" fillId="13" applyFill="1" borderId="13" applyBorder="1" xfId="1150" applyProtection="1" applyAlignment="1">
      <alignment vertical="center"/>
      <protection hidden="1"/>
    </xf>
    <xf numFmtId="41" applyNumberFormat="1" fontId="29" applyFont="1" fillId="13" applyFill="1" borderId="13" applyBorder="1" xfId="952" applyProtection="1" applyAlignment="1">
      <alignment vertical="center"/>
    </xf>
    <xf numFmtId="254" applyNumberFormat="1" fontId="29" applyFont="1" fillId="13" applyFill="1" borderId="18" applyBorder="1" xfId="2284" applyProtection="1" applyAlignment="1">
      <alignment horizontal="center" vertical="center"/>
    </xf>
    <xf numFmtId="254" applyNumberFormat="1" fontId="29" applyFont="1" fillId="13" applyFill="1" borderId="38" applyBorder="1" xfId="2284" applyProtection="1" applyAlignment="1">
      <alignment horizontal="center" vertical="center"/>
    </xf>
    <xf numFmtId="0" applyNumberFormat="1" fontId="51" applyFont="1" fillId="13" applyFill="1" borderId="0" applyBorder="1" xfId="952" applyProtection="1" applyAlignment="1">
      <alignment vertical="center"/>
    </xf>
    <xf numFmtId="41" applyNumberFormat="1" fontId="29" applyFont="1" fillId="0" applyFill="1" borderId="13" applyBorder="1" xfId="1150" applyProtection="1" applyAlignment="1">
      <alignment vertical="center"/>
      <protection hidden="1"/>
    </xf>
    <xf numFmtId="41" applyNumberFormat="1" fontId="29" applyFont="1" fillId="0" applyFill="1" borderId="13" applyBorder="1" xfId="952" applyProtection="1" applyAlignment="1">
      <alignment vertical="center"/>
    </xf>
    <xf numFmtId="254" applyNumberFormat="1" fontId="29" applyFont="1" fillId="0" applyFill="1" borderId="38" applyBorder="1" xfId="2284" applyProtection="1" applyAlignment="1">
      <alignment horizontal="center" vertical="center"/>
    </xf>
    <xf numFmtId="0" applyNumberFormat="1" fontId="15" applyFont="1" fillId="5" applyFill="1" borderId="0" applyBorder="1" xfId="0" applyProtection="1"/>
    <xf numFmtId="41" applyNumberFormat="1" fontId="29" applyFont="1" fillId="0" applyFill="1" borderId="32" applyBorder="1" xfId="952" applyProtection="1" applyAlignment="1">
      <alignment horizontal="center" vertical="center"/>
    </xf>
    <xf numFmtId="41" applyNumberFormat="1" fontId="29" applyFont="1" fillId="0" applyFill="1" borderId="39" applyBorder="1" xfId="952" applyProtection="1" applyAlignment="1">
      <alignment horizontal="center" vertical="center"/>
    </xf>
    <xf numFmtId="41" applyNumberFormat="1" fontId="29" applyFont="1" fillId="0" applyFill="1" borderId="0" applyBorder="1" xfId="952" applyProtection="1" applyAlignment="1">
      <alignment horizontal="center" vertical="center"/>
    </xf>
    <xf numFmtId="41" applyNumberFormat="1" fontId="49" applyFont="1" fillId="0" applyFill="1" borderId="13" applyBorder="1" xfId="1150" applyProtection="1" applyAlignment="1">
      <alignment vertical="center"/>
      <protection hidden="1"/>
    </xf>
    <xf numFmtId="41" applyNumberFormat="1" fontId="49" applyFont="1" fillId="0" applyFill="1" borderId="13" applyBorder="1" xfId="952" applyProtection="1" applyAlignment="1">
      <alignment vertical="center"/>
    </xf>
    <xf numFmtId="254" applyNumberFormat="1" fontId="49" applyFont="1" fillId="0" applyFill="1" borderId="18" applyBorder="1" xfId="2284" applyProtection="1" applyAlignment="1">
      <alignment horizontal="center" vertical="center"/>
    </xf>
    <xf numFmtId="254" applyNumberFormat="1" fontId="49" applyFont="1" fillId="0" applyFill="1" borderId="38" applyBorder="1" xfId="2284" applyProtection="1" applyAlignment="1">
      <alignment horizontal="center" vertical="center"/>
    </xf>
    <xf numFmtId="254" applyNumberFormat="1" fontId="49" applyFont="1" fillId="0" applyFill="1" borderId="13" applyBorder="1" xfId="2284" applyProtection="1" applyAlignment="1">
      <alignment horizontal="center" vertical="center"/>
    </xf>
    <xf numFmtId="254" applyNumberFormat="1" fontId="49" applyFont="1" fillId="0" applyFill="1" borderId="40" applyBorder="1" xfId="2284" applyProtection="1" applyAlignment="1">
      <alignment horizontal="center" vertical="center"/>
    </xf>
    <xf numFmtId="0" applyNumberFormat="1" fontId="31" applyFont="1" fillId="5" applyFill="1" borderId="0" applyBorder="1" xfId="952" applyProtection="1" applyAlignment="1">
      <alignment vertical="center"/>
    </xf>
    <xf numFmtId="41" applyNumberFormat="1" fontId="29" applyFont="1" fillId="14" applyFill="1" borderId="13" applyBorder="1" xfId="1150" applyProtection="1" applyAlignment="1">
      <alignment vertical="center"/>
      <protection hidden="1"/>
    </xf>
    <xf numFmtId="41" applyNumberFormat="1" fontId="29" applyFont="1" fillId="14" applyFill="1" borderId="13" applyBorder="1" xfId="952" applyProtection="1" applyAlignment="1">
      <alignment vertical="center"/>
    </xf>
    <xf numFmtId="254" applyNumberFormat="1" fontId="29" applyFont="1" fillId="14" applyFill="1" borderId="13" applyBorder="1" xfId="2284" applyProtection="1" applyAlignment="1">
      <alignment horizontal="center" vertical="center"/>
    </xf>
    <xf numFmtId="254" applyNumberFormat="1" fontId="29" applyFont="1" fillId="14" applyFill="1" borderId="40" applyBorder="1" xfId="2284" applyProtection="1" applyAlignment="1">
      <alignment horizontal="center" vertical="center"/>
    </xf>
    <xf numFmtId="254" applyNumberFormat="1" fontId="29" applyFont="1" fillId="14" applyFill="1" borderId="18" applyBorder="1" xfId="2284" applyProtection="1" applyAlignment="1">
      <alignment horizontal="center" vertical="center"/>
    </xf>
    <xf numFmtId="254" applyNumberFormat="1" fontId="29" applyFont="1" fillId="14" applyFill="1" borderId="38" applyBorder="1" xfId="2284" applyProtection="1" applyAlignment="1">
      <alignment horizontal="center" vertical="center"/>
    </xf>
    <xf numFmtId="0" applyNumberFormat="1" fontId="29" applyFont="1" fillId="0" applyFill="1" borderId="0" applyBorder="1" xfId="2284" applyProtection="1" applyAlignment="1">
      <alignment vertical="center"/>
    </xf>
    <xf numFmtId="41" applyNumberFormat="1" fontId="8" applyFont="1" fillId="0" applyFill="1" borderId="0" applyBorder="1" xfId="952" applyProtection="1" applyAlignment="1">
      <alignment horizontal="center" vertical="center"/>
    </xf>
    <xf numFmtId="0" applyNumberFormat="1" fontId="29" applyFont="1" fillId="0" applyFill="1" borderId="0" applyBorder="1" xfId="952" applyProtection="1" applyAlignment="1">
      <alignment vertical="center"/>
    </xf>
    <xf numFmtId="0" applyNumberFormat="1" fontId="45" applyFont="1" fillId="0" applyFill="1" borderId="0" applyBorder="1" xfId="0" applyProtection="1"/>
    <xf numFmtId="0" applyNumberFormat="1" fontId="6" applyFont="1" fillId="4" applyFill="1" borderId="0" applyBorder="1" xfId="437" applyProtection="1" applyAlignment="1">
      <alignment horizontal="left" vertical="center"/>
      <protection hidden="1"/>
    </xf>
    <xf numFmtId="0" applyNumberFormat="1" fontId="8" applyFont="1" fillId="4" applyFill="1" borderId="0" applyBorder="1" xfId="952" applyProtection="1" applyAlignment="1">
      <alignment horizontal="center" vertical="center"/>
    </xf>
    <xf numFmtId="0" applyNumberFormat="1" fontId="8" applyFont="1" fillId="4" applyFill="1" borderId="0" applyBorder="1" xfId="952" applyProtection="1" applyAlignment="1">
      <alignment horizontal="left" vertical="center"/>
    </xf>
    <xf numFmtId="219" applyNumberFormat="1" fontId="8" applyFont="1" fillId="4" applyFill="1" borderId="0" applyBorder="1" xfId="7145" applyProtection="1" applyAlignment="1">
      <alignment vertical="center"/>
    </xf>
    <xf numFmtId="219" applyNumberFormat="1" fontId="8" applyFont="1" fillId="0" applyFill="1" borderId="0" applyBorder="1" xfId="7145" applyProtection="1" applyAlignment="1">
      <alignment vertical="center"/>
    </xf>
    <xf numFmtId="219" applyNumberFormat="1" fontId="46" applyFont="1" fillId="15" applyFill="1" borderId="0" applyBorder="1" xfId="7145" applyProtection="1" applyAlignment="1">
      <alignment horizontal="left" vertical="center"/>
    </xf>
    <xf numFmtId="0" applyNumberFormat="1" fontId="29" applyFont="1" fillId="0" applyFill="1" borderId="18" applyBorder="1" xfId="2284" applyProtection="1" applyAlignment="1">
      <alignment horizontal="center" vertical="center"/>
    </xf>
    <xf numFmtId="0" applyNumberFormat="1" fontId="29" applyFont="1" fillId="0" applyFill="1" borderId="18" applyBorder="1" xfId="2284" applyProtection="1" applyAlignment="1">
      <alignment horizontal="left" vertical="center"/>
    </xf>
    <xf numFmtId="0" applyNumberFormat="1" fontId="49" applyFont="1" fillId="0" applyFill="1" borderId="31" applyBorder="1" xfId="952" applyProtection="1" applyAlignment="1">
      <alignment horizontal="center" vertical="center"/>
    </xf>
    <xf numFmtId="0" applyNumberFormat="1" fontId="49" applyFont="1" fillId="0" applyFill="1" borderId="32" applyBorder="1" xfId="2284" applyProtection="1" applyAlignment="1">
      <alignment horizontal="center" vertical="center"/>
    </xf>
    <xf numFmtId="0" applyNumberFormat="1" fontId="52" applyFont="1" fillId="0" applyFill="1" borderId="32" applyBorder="1" xfId="2284" applyProtection="1" applyAlignment="1">
      <alignment horizontal="center" vertical="center"/>
    </xf>
    <xf numFmtId="0" applyNumberFormat="1" fontId="49" applyFont="1" fillId="0" applyFill="1" borderId="32" applyBorder="1" xfId="2284" applyProtection="1" applyAlignment="1">
      <alignment horizontal="left" vertical="center"/>
    </xf>
    <xf numFmtId="219" applyNumberFormat="1" fontId="52" applyFont="1" fillId="0" applyFill="1" borderId="41" applyBorder="1" xfId="7145" applyProtection="1" applyAlignment="1">
      <alignment horizontal="left" vertical="center"/>
    </xf>
    <xf numFmtId="0" applyNumberFormat="1" fontId="49" applyFont="1" fillId="0" applyFill="1" borderId="18" applyBorder="1" xfId="952" applyProtection="1" applyAlignment="1">
      <alignment horizontal="left" vertical="center"/>
    </xf>
    <xf numFmtId="0" applyNumberFormat="1" fontId="49" applyFont="1" fillId="0" applyFill="1" borderId="18" applyBorder="1" xfId="952" applyProtection="1" applyAlignment="1">
      <alignment horizontal="center" vertical="center"/>
    </xf>
    <xf numFmtId="0" applyNumberFormat="1" fontId="51" applyFont="1" fillId="0" applyFill="1" borderId="28" applyBorder="1" xfId="952" applyProtection="1" applyAlignment="1">
      <alignment horizontal="center" vertical="center"/>
    </xf>
    <xf numFmtId="0" applyNumberFormat="1" fontId="54" applyFont="1" fillId="0" applyFill="1" borderId="13" applyBorder="1" xfId="2284" applyProtection="1" applyAlignment="1">
      <alignment horizontal="center" vertical="center"/>
    </xf>
    <xf numFmtId="0" applyNumberFormat="1" fontId="54" applyFont="1" fillId="0" applyFill="1" borderId="24" applyBorder="1" xfId="952" applyProtection="1" applyAlignment="1">
      <alignment horizontal="left" vertical="center"/>
    </xf>
    <xf numFmtId="0" applyNumberFormat="1" fontId="51" applyFont="1" fillId="0" applyFill="1" borderId="24" applyBorder="1" xfId="2284" applyProtection="1" applyAlignment="1">
      <alignment horizontal="center" vertical="center"/>
    </xf>
    <xf numFmtId="0" applyNumberFormat="1" fontId="51" applyFont="1" fillId="0" applyFill="1" borderId="18" applyBorder="1" xfId="2284" applyProtection="1" applyAlignment="1">
      <alignment horizontal="left" vertical="center"/>
    </xf>
    <xf numFmtId="219" applyNumberFormat="1" fontId="51" applyFont="1" fillId="0" applyFill="1" borderId="30" applyBorder="1" xfId="7145" applyProtection="1" applyAlignment="1">
      <alignment horizontal="left" vertical="center"/>
    </xf>
    <xf numFmtId="219" applyNumberFormat="1" fontId="51" applyFont="1" fillId="0" applyFill="1" borderId="13" applyBorder="1" xfId="7145" applyProtection="1" applyAlignment="1">
      <alignment horizontal="left" vertical="center"/>
    </xf>
    <xf numFmtId="0" applyNumberFormat="1" fontId="49" applyFont="1" fillId="0" applyFill="1" borderId="42" applyBorder="1" xfId="2284" applyProtection="1" applyAlignment="1">
      <alignment horizontal="left" vertical="center"/>
    </xf>
    <xf numFmtId="0" applyNumberFormat="1" fontId="49" applyFont="1" fillId="0" applyFill="1" borderId="42" applyBorder="1" xfId="2284" applyProtection="1" applyAlignment="1">
      <alignment horizontal="center" vertical="center"/>
    </xf>
    <xf numFmtId="0" applyNumberFormat="1" fontId="49" applyFont="1" fillId="16" applyFill="1" borderId="13" applyBorder="1" xfId="2284" applyProtection="1" applyAlignment="1">
      <alignment horizontal="center" vertical="center"/>
    </xf>
    <xf numFmtId="0" applyNumberFormat="1" fontId="49" applyFont="1" fillId="16" applyFill="1" borderId="24" applyBorder="1" xfId="2284" applyProtection="1" applyAlignment="1">
      <alignment horizontal="left" vertical="center"/>
    </xf>
    <xf numFmtId="0" applyNumberFormat="1" fontId="49" applyFont="1" fillId="16" applyFill="1" borderId="24" applyBorder="1" xfId="2284" applyProtection="1" applyAlignment="1">
      <alignment horizontal="center" vertical="center"/>
    </xf>
    <xf numFmtId="0" applyNumberFormat="1" fontId="49" applyFont="1" fillId="16" applyFill="1" borderId="18" applyBorder="1" xfId="2284" applyProtection="1" applyAlignment="1">
      <alignment horizontal="left" vertical="center"/>
    </xf>
    <xf numFmtId="219" applyNumberFormat="1" fontId="49" applyFont="1" fillId="16" applyFill="1" borderId="30" applyBorder="1" xfId="7145" applyProtection="1" applyAlignment="1">
      <alignment horizontal="left" vertical="center"/>
    </xf>
    <xf numFmtId="219" applyNumberFormat="1" fontId="49" applyFont="1" fillId="16" applyFill="1" borderId="13" applyBorder="1" xfId="7145" applyProtection="1" applyAlignment="1">
      <alignment horizontal="left" vertical="center"/>
    </xf>
    <xf numFmtId="0" applyNumberFormat="1" fontId="29" applyFont="1" fillId="13" applyFill="1" borderId="18" applyBorder="1" xfId="2284" applyProtection="1" applyAlignment="1">
      <alignment horizontal="center" vertical="center"/>
    </xf>
    <xf numFmtId="0" applyNumberFormat="1" fontId="29" applyFont="1" fillId="13" applyFill="1" borderId="18" applyBorder="1" xfId="2284" applyProtection="1" applyAlignment="1">
      <alignment horizontal="left" vertical="center"/>
    </xf>
    <xf numFmtId="219" applyNumberFormat="1" fontId="29" applyFont="1" fillId="13" applyFill="1" borderId="43" applyBorder="1" xfId="7145" applyProtection="1" applyAlignment="1">
      <alignment horizontal="left" vertical="center"/>
    </xf>
    <xf numFmtId="219" applyNumberFormat="1" fontId="29" applyFont="1" fillId="13" applyFill="1" borderId="18" applyBorder="1" xfId="7145" applyProtection="1" applyAlignment="1">
      <alignment horizontal="left" vertical="center"/>
    </xf>
    <xf numFmtId="219" applyNumberFormat="1" fontId="6" applyFont="1" fillId="0" applyFill="1" borderId="32" applyBorder="1" xfId="7145" applyProtection="1" applyAlignment="1">
      <alignment vertical="center"/>
    </xf>
    <xf numFmtId="0" applyNumberFormat="1" fontId="8" applyFont="1" fillId="0" applyFill="1" borderId="0" applyBorder="1" xfId="952" applyProtection="1" applyAlignment="1">
      <alignment vertical="center"/>
    </xf>
    <xf numFmtId="219" applyNumberFormat="1" fontId="6" applyFont="1" fillId="0" applyFill="1" borderId="0" applyBorder="1" xfId="7145" applyProtection="1" applyAlignment="1">
      <alignment horizontal="center" vertical="center"/>
    </xf>
    <xf numFmtId="0" applyNumberFormat="1" fontId="6" applyFont="1" fillId="0" applyFill="1" borderId="0" applyBorder="1" xfId="952" applyProtection="1" applyAlignment="1">
      <alignment vertical="center"/>
    </xf>
    <xf numFmtId="0" applyNumberFormat="1" fontId="6" applyFont="1" fillId="4" applyFill="1" borderId="0" applyBorder="1" xfId="952" applyProtection="1" applyAlignment="1">
      <alignment horizontal="left" vertical="center"/>
    </xf>
    <xf numFmtId="219" applyNumberFormat="1" fontId="8" applyFont="1" fillId="4" applyFill="1" borderId="0" applyBorder="1" xfId="7145" applyProtection="1" applyAlignment="1">
      <alignment vertical="center"/>
    </xf>
    <xf numFmtId="0" applyNumberFormat="1" fontId="8" applyFont="1" fillId="4" applyFill="1" borderId="0" applyBorder="1" xfId="952" applyProtection="1" applyAlignment="1">
      <alignment vertical="center"/>
    </xf>
    <xf numFmtId="0" applyNumberFormat="1" fontId="8" applyFont="1" fillId="0" applyFill="1" borderId="0" applyBorder="1" xfId="2284" applyProtection="1" applyAlignment="1">
      <alignment vertical="center"/>
    </xf>
    <xf numFmtId="219" applyNumberFormat="1" fontId="53" applyFont="1" fillId="0" applyFill="1" borderId="0" applyBorder="1" xfId="7145" applyProtection="1" applyAlignment="1">
      <alignment vertical="center"/>
    </xf>
    <xf numFmtId="219" applyNumberFormat="1" fontId="29" applyFont="1" fillId="0" applyFill="1" borderId="13" applyBorder="1" xfId="7145" applyProtection="1" applyAlignment="1">
      <alignment vertical="center"/>
    </xf>
    <xf numFmtId="219" applyNumberFormat="1" fontId="29" applyFont="1" fillId="0" applyFill="1" borderId="13" applyBorder="1" xfId="7145" applyProtection="1" applyAlignment="1">
      <alignment vertical="center"/>
      <protection hidden="1"/>
    </xf>
    <xf numFmtId="41" applyNumberFormat="1" fontId="29" applyFont="1" fillId="0" applyFill="1" borderId="44" applyBorder="1" xfId="10314" applyProtection="1"/>
    <xf numFmtId="219" applyNumberFormat="1" fontId="29" applyFont="1" fillId="0" applyFill="1" borderId="18" applyBorder="1" xfId="7145" applyProtection="1" applyAlignment="1">
      <alignment vertical="center"/>
      <protection hidden="1"/>
    </xf>
    <xf numFmtId="219" applyNumberFormat="1" fontId="49" applyFont="1" fillId="0" applyFill="1" borderId="18" applyBorder="1" xfId="20106" applyProtection="1" applyAlignment="1">
      <alignment vertical="center"/>
      <protection hidden="1"/>
    </xf>
    <xf numFmtId="219" applyNumberFormat="1" fontId="54" applyFont="1" fillId="0" applyFill="1" borderId="13" applyBorder="1" xfId="20106" applyProtection="1" applyAlignment="1">
      <alignment vertical="center"/>
    </xf>
    <xf numFmtId="219" applyNumberFormat="1" fontId="54" applyFont="1" fillId="0" applyFill="1" borderId="18" applyBorder="1" xfId="20106" applyProtection="1" applyAlignment="1">
      <alignment vertical="center"/>
    </xf>
    <xf numFmtId="219" applyNumberFormat="1" fontId="54" applyFont="1" fillId="0" applyFill="1" borderId="13" applyBorder="1" xfId="20106" applyProtection="1" applyAlignment="1">
      <alignment vertical="center"/>
      <protection hidden="1"/>
    </xf>
    <xf numFmtId="219" applyNumberFormat="1" fontId="49" applyFont="1" fillId="5" applyFill="1" borderId="13" applyBorder="1" xfId="20106" applyProtection="1" applyAlignment="1">
      <alignment vertical="center"/>
      <protection hidden="1"/>
    </xf>
    <xf numFmtId="219" applyNumberFormat="1" fontId="49" applyFont="1" fillId="16" applyFill="1" borderId="13" applyBorder="1" xfId="7145" applyProtection="1" applyAlignment="1">
      <alignment vertical="center"/>
    </xf>
    <xf numFmtId="219" applyNumberFormat="1" fontId="49" applyFont="1" fillId="16" applyFill="1" borderId="18" applyBorder="1" xfId="7145" applyProtection="1" applyAlignment="1">
      <alignment vertical="center"/>
    </xf>
    <xf numFmtId="219" applyNumberFormat="1" fontId="29" applyFont="1" fillId="16" applyFill="1" borderId="13" applyBorder="1" xfId="20106" applyProtection="1" applyAlignment="1">
      <alignment vertical="center"/>
      <protection hidden="1"/>
    </xf>
    <xf numFmtId="219" applyNumberFormat="1" fontId="49" applyFont="1" fillId="16" applyFill="1" borderId="13" applyBorder="1" xfId="20106" applyProtection="1" applyAlignment="1">
      <alignment vertical="center"/>
      <protection hidden="1"/>
    </xf>
    <xf numFmtId="219" applyNumberFormat="1" fontId="49" applyFont="1" fillId="16" applyFill="1" borderId="18" applyBorder="1" xfId="20106" applyProtection="1" applyAlignment="1">
      <alignment vertical="center"/>
      <protection hidden="1"/>
    </xf>
    <xf numFmtId="219" applyNumberFormat="1" fontId="29" applyFont="1" fillId="13" applyFill="1" borderId="13" applyBorder="1" xfId="7145" applyProtection="1" applyAlignment="1">
      <alignment vertical="center"/>
    </xf>
    <xf numFmtId="219" applyNumberFormat="1" fontId="29" applyFont="1" fillId="13" applyFill="1" borderId="18" applyBorder="1" xfId="7145" applyProtection="1" applyAlignment="1">
      <alignment vertical="center"/>
    </xf>
    <xf numFmtId="219" applyNumberFormat="1" fontId="29" applyFont="1" fillId="13" applyFill="1" borderId="18" applyBorder="1" xfId="7145" applyProtection="1" applyAlignment="1">
      <alignment vertical="center"/>
      <protection hidden="1"/>
    </xf>
    <xf numFmtId="41" applyNumberFormat="1" fontId="6" applyFont="1" fillId="4" applyFill="1" borderId="0" applyBorder="1" xfId="952" applyProtection="1" applyAlignment="1">
      <alignment vertical="center"/>
    </xf>
    <xf numFmtId="219" applyNumberFormat="1" fontId="29" applyFont="1" fillId="0" applyFill="1" borderId="13" applyBorder="1" xfId="7145" applyProtection="1" applyAlignment="1">
      <alignment vertical="center"/>
    </xf>
    <xf numFmtId="254" applyNumberFormat="1" fontId="49" applyFont="1" fillId="0" applyFill="1" borderId="32" applyBorder="1" xfId="2284" applyProtection="1" applyAlignment="1">
      <alignment horizontal="center" vertical="center"/>
    </xf>
    <xf numFmtId="254" applyNumberFormat="1" fontId="49" applyFont="1" fillId="0" applyFill="1" borderId="39" applyBorder="1" xfId="2284" applyProtection="1" applyAlignment="1">
      <alignment horizontal="center" vertical="center"/>
    </xf>
    <xf numFmtId="219" applyNumberFormat="1" fontId="49" applyFont="1" fillId="0" applyFill="1" borderId="13" applyBorder="1" xfId="7145" applyProtection="1" applyAlignment="1">
      <alignment vertical="center"/>
    </xf>
    <xf numFmtId="254" applyNumberFormat="1" fontId="49" applyFont="1" fillId="0" applyFill="1" borderId="18" applyBorder="1" xfId="1802" applyProtection="1" applyAlignment="1">
      <alignment horizontal="center" vertical="center"/>
    </xf>
    <xf numFmtId="254" applyNumberFormat="1" fontId="49" applyFont="1" fillId="0" applyFill="1" borderId="43" applyBorder="1" xfId="2284" applyProtection="1" applyAlignment="1">
      <alignment horizontal="center" vertical="center"/>
    </xf>
    <xf numFmtId="0" applyNumberFormat="1" fontId="49" applyFont="1" fillId="0" applyFill="1" borderId="0" applyBorder="1" xfId="952" applyProtection="1" applyAlignment="1">
      <alignment vertical="center"/>
    </xf>
    <xf numFmtId="0" applyNumberFormat="1" fontId="52" applyFont="1" fillId="0" applyFill="1" borderId="0" applyBorder="1" xfId="952" applyProtection="1" applyAlignment="1">
      <alignment vertical="center"/>
    </xf>
    <xf numFmtId="41" applyNumberFormat="1" fontId="54" applyFont="1" fillId="0" applyFill="1" borderId="13" applyBorder="1" xfId="1150" applyProtection="1" applyAlignment="1">
      <alignment vertical="center"/>
      <protection hidden="1"/>
    </xf>
    <xf numFmtId="41" applyNumberFormat="1" fontId="54" applyFont="1" fillId="0" applyFill="1" borderId="13" applyBorder="1" xfId="952" applyProtection="1" applyAlignment="1">
      <alignment vertical="center"/>
    </xf>
    <xf numFmtId="254" applyNumberFormat="1" fontId="54" applyFont="1" fillId="0" applyFill="1" borderId="13" applyBorder="1" xfId="1802" applyProtection="1" applyAlignment="1">
      <alignment horizontal="center" vertical="center"/>
    </xf>
    <xf numFmtId="254" applyNumberFormat="1" fontId="54" applyFont="1" fillId="0" applyFill="1" borderId="40" applyBorder="1" xfId="2284" applyProtection="1" applyAlignment="1">
      <alignment horizontal="center" vertical="center"/>
    </xf>
    <xf numFmtId="254" applyNumberFormat="1" fontId="54" applyFont="1" fillId="0" applyFill="1" borderId="0" applyBorder="1" xfId="952" applyProtection="1" applyAlignment="1">
      <alignment vertical="center"/>
    </xf>
    <xf numFmtId="0" applyNumberFormat="1" fontId="51" applyFont="1" fillId="0" applyFill="1" borderId="0" applyBorder="1" xfId="952" applyProtection="1" applyAlignment="1">
      <alignment vertical="center"/>
    </xf>
    <xf numFmtId="0" applyNumberFormat="1" fontId="56" applyFont="1" fillId="0" applyFill="1" borderId="0" applyBorder="1" xfId="952" applyProtection="1" applyAlignment="1">
      <alignment vertical="center"/>
    </xf>
    <xf numFmtId="219" applyNumberFormat="1" fontId="49" applyFont="1" fillId="16" applyFill="1" borderId="13" applyBorder="1" xfId="7145" applyProtection="1" applyAlignment="1">
      <alignment vertical="center"/>
      <protection hidden="1"/>
    </xf>
    <xf numFmtId="219" applyNumberFormat="1" fontId="49" applyFont="1" fillId="16" applyFill="1" borderId="13" applyBorder="1" xfId="7145" applyProtection="1" applyAlignment="1">
      <alignment vertical="center"/>
    </xf>
    <xf numFmtId="254" applyNumberFormat="1" fontId="49" applyFont="1" fillId="16" applyFill="1" borderId="13" applyBorder="1" xfId="2284" applyProtection="1" applyAlignment="1">
      <alignment horizontal="center" vertical="center"/>
    </xf>
    <xf numFmtId="254" applyNumberFormat="1" fontId="49" applyFont="1" fillId="16" applyFill="1" borderId="40" applyBorder="1" xfId="2284" applyProtection="1" applyAlignment="1">
      <alignment horizontal="center" vertical="center"/>
    </xf>
    <xf numFmtId="0" applyNumberFormat="1" fontId="49" applyFont="1" fillId="16" applyFill="1" borderId="0" applyBorder="1" xfId="952" applyProtection="1" applyAlignment="1">
      <alignment vertical="center"/>
    </xf>
    <xf numFmtId="219" applyNumberFormat="1" fontId="29" applyFont="1" fillId="13" applyFill="1" borderId="13" applyBorder="1" xfId="7145" applyProtection="1" applyAlignment="1">
      <alignment vertical="center"/>
      <protection hidden="1"/>
    </xf>
    <xf numFmtId="219" applyNumberFormat="1" fontId="29" applyFont="1" fillId="13" applyFill="1" borderId="13" applyBorder="1" xfId="7145" applyProtection="1" applyAlignment="1">
      <alignment vertical="center"/>
    </xf>
    <xf numFmtId="219" applyNumberFormat="1" fontId="6" applyFont="1" fillId="0" applyFill="1" borderId="39" applyBorder="1" xfId="7145" applyProtection="1" applyAlignment="1">
      <alignment vertical="center"/>
    </xf>
    <xf numFmtId="0" applyNumberFormat="1" fontId="7" applyFont="1" fillId="4" applyFill="1" borderId="0" applyBorder="1" xfId="437" applyProtection="1" applyAlignment="1">
      <alignment horizontal="left" vertical="center"/>
      <protection hidden="1"/>
    </xf>
    <xf numFmtId="0" applyNumberFormat="1" fontId="49" applyFont="1" fillId="0" applyFill="1" borderId="13" applyBorder="1" xfId="2284" applyProtection="1" applyAlignment="1">
      <alignment vertical="center"/>
    </xf>
    <xf numFmtId="0" applyNumberFormat="1" fontId="49" applyFont="1" fillId="0" applyFill="1" borderId="32" applyBorder="1" xfId="2284" applyProtection="1" applyAlignment="1">
      <alignment vertical="center"/>
    </xf>
    <xf numFmtId="0" applyNumberFormat="1" fontId="49" applyFont="1" fillId="0" applyFill="1" borderId="45" applyBorder="1" xfId="2284" applyProtection="1" applyAlignment="1">
      <alignment horizontal="left" vertical="center"/>
    </xf>
    <xf numFmtId="0" applyNumberFormat="1" fontId="49" applyFont="1" fillId="0" applyFill="1" borderId="46" applyBorder="1" xfId="2284" applyProtection="1" applyAlignment="1">
      <alignment horizontal="left" vertical="center"/>
    </xf>
    <xf numFmtId="0" applyNumberFormat="1" fontId="29" applyFont="1" fillId="16" applyFill="1" borderId="13" applyBorder="1" xfId="2284" applyProtection="1" applyAlignment="1">
      <alignment horizontal="center" vertical="center"/>
    </xf>
    <xf numFmtId="0" applyNumberFormat="1" fontId="29" applyFont="1" fillId="16" applyFill="1" borderId="13" applyBorder="1" xfId="2284" applyProtection="1" applyAlignment="1">
      <alignment vertical="center"/>
    </xf>
    <xf numFmtId="0" applyNumberFormat="1" fontId="29" applyFont="1" fillId="16" applyFill="1" borderId="29" applyBorder="1" xfId="2284" applyProtection="1" applyAlignment="1">
      <alignment horizontal="left" vertical="center"/>
    </xf>
    <xf numFmtId="0" applyNumberFormat="1" fontId="29" applyFont="1" fillId="16" applyFill="1" borderId="24" applyBorder="1" xfId="2284" applyProtection="1" applyAlignment="1">
      <alignment horizontal="left" vertical="center"/>
    </xf>
    <xf numFmtId="0" applyNumberFormat="1" fontId="6" applyFont="1" fillId="0" applyFill="1" borderId="0" applyBorder="1" xfId="2284" applyProtection="1" applyAlignment="1">
      <alignment horizontal="center" vertical="center"/>
    </xf>
    <xf numFmtId="0" applyNumberFormat="1" fontId="8" applyFont="1" fillId="0" applyFill="1" borderId="0" applyBorder="1" xfId="2284" applyProtection="1" applyAlignment="1">
      <alignment horizontal="center" vertical="center"/>
    </xf>
    <xf numFmtId="219" applyNumberFormat="1" fontId="29" applyFont="1" fillId="0" applyFill="1" borderId="18" applyBorder="1" xfId="20106" applyProtection="1" applyAlignment="1">
      <alignment vertical="center"/>
      <protection hidden="1"/>
    </xf>
    <xf numFmtId="219" applyNumberFormat="1" fontId="57" applyFont="1" fillId="0" applyFill="1" borderId="18" applyBorder="1" xfId="20106" applyProtection="1" applyAlignment="1">
      <alignment vertical="center"/>
      <protection hidden="1"/>
    </xf>
    <xf numFmtId="219" applyNumberFormat="1" fontId="29" applyFont="1" fillId="16" applyFill="1" borderId="13" applyBorder="1" xfId="20106" applyProtection="1" applyAlignment="1">
      <alignment vertical="center"/>
    </xf>
    <xf numFmtId="219" applyNumberFormat="1" fontId="29" applyFont="1" fillId="16" applyFill="1" borderId="18" applyBorder="1" xfId="20106" applyProtection="1" applyAlignment="1">
      <alignment vertical="center"/>
      <protection hidden="1"/>
    </xf>
    <xf numFmtId="219" applyNumberFormat="1" fontId="57" applyFont="1" fillId="16" applyFill="1" borderId="18" applyBorder="1" xfId="20106" applyProtection="1" applyAlignment="1">
      <alignment vertical="center"/>
      <protection hidden="1"/>
    </xf>
    <xf numFmtId="254" applyNumberFormat="1" fontId="29" applyFont="1" fillId="0" applyFill="1" borderId="18" applyBorder="1" xfId="16075" applyProtection="1" applyAlignment="1">
      <alignment horizontal="center" vertical="center"/>
    </xf>
    <xf numFmtId="254" applyNumberFormat="1" fontId="29" applyFont="1" fillId="0" applyFill="1" borderId="38" applyBorder="1" xfId="16075" applyProtection="1" applyAlignment="1">
      <alignment horizontal="center" vertical="center"/>
    </xf>
    <xf numFmtId="41" applyNumberFormat="1" fontId="29" applyFont="1" fillId="16" applyFill="1" borderId="13" applyBorder="1" xfId="1150" applyProtection="1" applyAlignment="1">
      <alignment vertical="center"/>
      <protection hidden="1"/>
    </xf>
    <xf numFmtId="41" applyNumberFormat="1" fontId="29" applyFont="1" fillId="16" applyFill="1" borderId="13" applyBorder="1" xfId="952" applyProtection="1" applyAlignment="1">
      <alignment vertical="center"/>
    </xf>
    <xf numFmtId="254" applyNumberFormat="1" fontId="29" applyFont="1" fillId="16" applyFill="1" borderId="18" applyBorder="1" xfId="16075" applyProtection="1" applyAlignment="1">
      <alignment horizontal="center" vertical="center"/>
    </xf>
    <xf numFmtId="254" applyNumberFormat="1" fontId="29" applyFont="1" fillId="16" applyFill="1" borderId="38" applyBorder="1" xfId="16075" applyProtection="1" applyAlignment="1">
      <alignment horizontal="center" vertical="center"/>
    </xf>
    <xf numFmtId="0" applyNumberFormat="1" fontId="29" applyFont="1" fillId="16" applyFill="1" borderId="0" applyBorder="1" xfId="952" applyProtection="1" applyAlignment="1">
      <alignment vertical="center"/>
    </xf>
    <xf numFmtId="254" applyNumberFormat="1" fontId="49" applyFont="1" fillId="0" applyFill="1" borderId="18" applyBorder="1" xfId="16075" applyProtection="1" applyAlignment="1">
      <alignment horizontal="center" vertical="center"/>
    </xf>
    <xf numFmtId="254" applyNumberFormat="1" fontId="49" applyFont="1" fillId="0" applyFill="1" borderId="38" applyBorder="1" xfId="16075" applyProtection="1" applyAlignment="1">
      <alignment horizontal="center" vertical="center"/>
    </xf>
    <xf numFmtId="254" applyNumberFormat="1" fontId="29" applyFont="1" fillId="13" applyFill="1" borderId="18" applyBorder="1" xfId="16075" applyProtection="1" applyAlignment="1">
      <alignment horizontal="center" vertical="center"/>
    </xf>
    <xf numFmtId="254" applyNumberFormat="1" fontId="29" applyFont="1" fillId="13" applyFill="1" borderId="38" applyBorder="1" xfId="16075" applyProtection="1" applyAlignment="1">
      <alignment horizontal="center" vertical="center"/>
    </xf>
    <xf numFmtId="0" applyNumberFormat="1" fontId="47" applyFont="1" fillId="8" applyFill="1" borderId="47" applyBorder="1" xfId="1183" applyProtection="1" applyAlignment="1">
      <alignment horizontal="center" vertical="center" wrapText="1"/>
      <protection hidden="1"/>
    </xf>
    <xf numFmtId="0" applyNumberFormat="1" fontId="47" applyFont="1" fillId="8" applyFill="1" borderId="36" applyBorder="1" xfId="1183" applyProtection="1" applyAlignment="1">
      <alignment horizontal="center" vertical="center" wrapText="1"/>
      <protection hidden="1"/>
    </xf>
    <xf numFmtId="49" applyNumberFormat="1" fontId="47" applyFont="1" fillId="8" applyFill="1" borderId="36" applyBorder="1" xfId="1183" applyProtection="1" applyAlignment="1">
      <alignment horizontal="center" vertical="center" wrapText="1"/>
      <protection hidden="1"/>
    </xf>
    <xf numFmtId="219" applyNumberFormat="1" fontId="47" applyFont="1" fillId="8" applyFill="1" borderId="36" applyBorder="1" xfId="7145" applyProtection="1" applyAlignment="1">
      <alignment horizontal="center" vertical="center" wrapText="1"/>
      <protection hidden="1"/>
    </xf>
    <xf numFmtId="0" applyNumberFormat="1" fontId="47" applyFont="1" fillId="8" applyFill="1" borderId="36" applyBorder="1" xfId="2256" applyProtection="1" applyAlignment="1">
      <alignment horizontal="center" vertical="center" wrapText="1"/>
    </xf>
    <xf numFmtId="0" applyNumberFormat="1" fontId="49" applyFont="1" fillId="0" applyFill="1" borderId="8" applyBorder="1" xfId="952" applyProtection="1" applyAlignment="1">
      <alignment horizontal="center" vertical="center"/>
    </xf>
    <xf numFmtId="0" applyNumberFormat="1" fontId="49" applyFont="1" fillId="0" applyFill="1" borderId="8" applyBorder="1" xfId="2284" applyProtection="1" applyAlignment="1">
      <alignment horizontal="center" vertical="center"/>
    </xf>
    <xf numFmtId="0" applyNumberFormat="1" fontId="49" applyFont="1" fillId="0" applyFill="1" borderId="8" applyBorder="1" xfId="2284" applyProtection="1" applyAlignment="1">
      <alignment horizontal="left" vertical="center"/>
    </xf>
    <xf numFmtId="219" applyNumberFormat="1" fontId="49" applyFont="1" fillId="0" applyFill="1" borderId="8" applyBorder="1" xfId="7145" applyProtection="1" applyAlignment="1">
      <alignment horizontal="left" vertical="center"/>
    </xf>
    <xf numFmtId="219" applyNumberFormat="1" fontId="49" applyFont="1" fillId="0" applyFill="1" borderId="7" applyBorder="1" xfId="7145" applyProtection="1" applyAlignment="1">
      <alignment vertical="center"/>
    </xf>
    <xf numFmtId="0" applyNumberFormat="1" fontId="8" applyFont="1" fillId="4" applyFill="1" borderId="48" applyBorder="1" xfId="952" applyProtection="1" applyAlignment="1">
      <alignment horizontal="center" vertical="center"/>
    </xf>
    <xf numFmtId="0" applyNumberFormat="1" fontId="6" applyFont="1" fillId="0" applyFill="1" borderId="49" applyBorder="1" xfId="952" applyProtection="1" applyAlignment="1">
      <alignment horizontal="center" vertical="center"/>
    </xf>
    <xf numFmtId="0" applyNumberFormat="1" fontId="6" applyFont="1" fillId="0" applyFill="1" borderId="50" applyBorder="1" xfId="952" applyProtection="1" applyAlignment="1">
      <alignment horizontal="center" vertical="center"/>
    </xf>
    <xf numFmtId="219" applyNumberFormat="1" fontId="6" applyFont="1" fillId="0" applyFill="1" borderId="51" applyBorder="1" xfId="7145" applyProtection="1" applyAlignment="1">
      <alignment vertical="center"/>
    </xf>
    <xf numFmtId="0" applyNumberFormat="1" fontId="47" applyFont="1" fillId="10" applyFill="1" borderId="36" applyBorder="1" xfId="1145" applyProtection="1" applyAlignment="1">
      <alignment horizontal="center" vertical="center" wrapText="1"/>
      <protection hidden="1"/>
    </xf>
    <xf numFmtId="41" applyNumberFormat="1" fontId="47" applyFont="1" fillId="8" applyFill="1" borderId="36" applyBorder="1" xfId="2256" applyProtection="1" applyAlignment="1">
      <alignment horizontal="center" vertical="center" wrapText="1"/>
    </xf>
    <xf numFmtId="219" applyNumberFormat="1" fontId="49" applyFont="1" fillId="0" applyFill="1" borderId="8" applyBorder="1" xfId="7145" applyProtection="1" applyAlignment="1">
      <alignment vertical="center"/>
    </xf>
    <xf numFmtId="219" applyNumberFormat="1" fontId="49" applyFont="1" fillId="0" applyFill="1" borderId="8" applyBorder="1" xfId="7145" applyProtection="1" applyAlignment="1">
      <alignment vertical="center"/>
      <protection hidden="1"/>
    </xf>
    <xf numFmtId="219" applyNumberFormat="1" fontId="49" applyFont="1" fillId="0" applyFill="1" borderId="52" applyBorder="1" xfId="7145" applyProtection="1" applyAlignment="1">
      <alignment vertical="center"/>
      <protection hidden="1"/>
    </xf>
    <xf numFmtId="219" applyNumberFormat="1" fontId="6" applyFont="1" fillId="12" applyFill="1" borderId="51" applyBorder="1" xfId="7145" applyProtection="1" applyAlignment="1">
      <alignment vertical="center"/>
    </xf>
    <xf numFmtId="9" applyNumberFormat="1" fontId="47" applyFont="1" fillId="8" applyFill="1" borderId="36" applyBorder="1" xfId="1084" applyProtection="1" applyAlignment="1">
      <alignment horizontal="center" vertical="center" wrapText="1"/>
    </xf>
    <xf numFmtId="41" applyNumberFormat="1" fontId="47" applyFont="1" fillId="8" applyFill="1" borderId="36" applyBorder="1" xfId="7450" applyProtection="1" applyAlignment="1">
      <alignment horizontal="center" vertical="center" wrapText="1"/>
      <protection hidden="1"/>
    </xf>
    <xf numFmtId="41" applyNumberFormat="1" fontId="53" applyFont="1" fillId="8" applyFill="1" borderId="36" applyBorder="1" xfId="7450" applyProtection="1" applyAlignment="1">
      <alignment horizontal="center" vertical="center" wrapText="1"/>
      <protection hidden="1"/>
    </xf>
    <xf numFmtId="41" applyNumberFormat="1" fontId="53" applyFont="1" fillId="8" applyFill="1" borderId="53" applyBorder="1" xfId="7450" applyProtection="1" applyAlignment="1">
      <alignment horizontal="center" vertical="center" wrapText="1"/>
      <protection hidden="1"/>
    </xf>
    <xf numFmtId="219" applyNumberFormat="1" fontId="49" applyFont="1" fillId="0" applyFill="1" borderId="8" applyBorder="1" xfId="7145" applyProtection="1" applyAlignment="1">
      <alignment vertical="center"/>
    </xf>
    <xf numFmtId="254" applyNumberFormat="1" fontId="49" applyFont="1" fillId="0" applyFill="1" borderId="25" applyBorder="1" xfId="2284" applyProtection="1" applyAlignment="1">
      <alignment horizontal="center" vertical="center"/>
    </xf>
    <xf numFmtId="254" applyNumberFormat="1" fontId="49" applyFont="1" fillId="0" applyFill="1" borderId="54" applyBorder="1" xfId="2284" applyProtection="1" applyAlignment="1">
      <alignment horizontal="center" vertical="center"/>
    </xf>
    <xf numFmtId="0" applyNumberFormat="1" fontId="59" applyFont="1" fillId="0" applyFill="1" borderId="0" applyBorder="1" xfId="2284" applyProtection="1" applyAlignment="1">
      <alignment vertical="center"/>
    </xf>
    <xf numFmtId="0" applyNumberFormat="1" fontId="49" applyFont="1" fillId="0" applyFill="1" borderId="13" applyBorder="1" xfId="952" applyProtection="1" applyAlignment="1">
      <alignment horizontal="center" vertical="center"/>
    </xf>
    <xf numFmtId="219" applyNumberFormat="1" fontId="49" applyFont="1" fillId="0" applyFill="1" borderId="55" applyBorder="1" xfId="7145" applyProtection="1" applyAlignment="1">
      <alignment vertical="center"/>
    </xf>
    <xf numFmtId="219" applyNumberFormat="1" fontId="49" applyFont="1" fillId="0" applyFill="1" borderId="12" applyBorder="1" xfId="7145" applyProtection="1" applyAlignment="1">
      <alignment vertical="center"/>
    </xf>
    <xf numFmtId="0" applyNumberFormat="1" fontId="6" applyFont="1" fillId="0" applyFill="1" borderId="51" applyBorder="1" xfId="952" applyProtection="1" applyAlignment="1">
      <alignment horizontal="center" vertical="center"/>
    </xf>
    <xf numFmtId="219" applyNumberFormat="1" fontId="49" applyFont="1" fillId="0" applyFill="1" borderId="24" applyBorder="1" xfId="7145" applyProtection="1" applyAlignment="1">
      <alignment horizontal="left" vertical="center"/>
    </xf>
    <xf numFmtId="0" applyNumberFormat="1" fontId="49" applyFont="1" fillId="16" applyFill="1" borderId="18" applyBorder="1" xfId="2284" applyProtection="1" applyAlignment="1">
      <alignment horizontal="center" vertical="center"/>
    </xf>
    <xf numFmtId="219" applyNumberFormat="1" fontId="49" applyFont="1" fillId="16" applyFill="1" borderId="24" applyBorder="1" xfId="7145" applyProtection="1" applyAlignment="1">
      <alignment horizontal="left" vertical="center"/>
    </xf>
    <xf numFmtId="0" applyNumberFormat="1" fontId="49" applyFont="1" fillId="17" applyFill="1" borderId="18" applyBorder="1" xfId="2284" applyProtection="1" applyAlignment="1">
      <alignment horizontal="center" vertical="center"/>
    </xf>
    <xf numFmtId="0" applyNumberFormat="1" fontId="49" applyFont="1" fillId="17" applyFill="1" borderId="18" applyBorder="1" xfId="2284" applyProtection="1" applyAlignment="1">
      <alignment horizontal="left" vertical="center"/>
    </xf>
    <xf numFmtId="219" applyNumberFormat="1" fontId="49" applyFont="1" fillId="17" applyFill="1" borderId="24" applyBorder="1" xfId="7145" applyProtection="1" applyAlignment="1">
      <alignment horizontal="left" vertical="center"/>
    </xf>
    <xf numFmtId="219" applyNumberFormat="1" fontId="49" applyFont="1" fillId="17" applyFill="1" borderId="13" applyBorder="1" xfId="7145" applyProtection="1" applyAlignment="1">
      <alignment vertical="center"/>
    </xf>
    <xf numFmtId="0" applyNumberFormat="1" fontId="49" applyFont="1" fillId="17" applyFill="1" borderId="24" applyBorder="1" xfId="2284" applyProtection="1" applyAlignment="1">
      <alignment horizontal="left" vertical="center"/>
    </xf>
    <xf numFmtId="0" applyNumberFormat="1" fontId="49" applyFont="1" fillId="17" applyFill="1" borderId="24" applyBorder="1" xfId="2284" applyProtection="1" applyAlignment="1">
      <alignment horizontal="center" vertical="center"/>
    </xf>
    <xf numFmtId="0" applyNumberFormat="1" fontId="57" applyFont="1" fillId="5" applyFill="1" borderId="18" applyBorder="1" xfId="2284" applyProtection="1" applyAlignment="1">
      <alignment horizontal="center" vertical="center"/>
    </xf>
    <xf numFmtId="0" applyNumberFormat="1" fontId="57" applyFont="1" fillId="5" applyFill="1" borderId="18" applyBorder="1" xfId="2284" applyProtection="1" applyAlignment="1">
      <alignment horizontal="left" vertical="center"/>
    </xf>
    <xf numFmtId="219" applyNumberFormat="1" fontId="57" applyFont="1" fillId="5" applyFill="1" borderId="24" applyBorder="1" xfId="7145" applyProtection="1" applyAlignment="1">
      <alignment horizontal="left" vertical="center"/>
    </xf>
    <xf numFmtId="219" applyNumberFormat="1" fontId="57" applyFont="1" fillId="5" applyFill="1" borderId="13" applyBorder="1" xfId="7145" applyProtection="1" applyAlignment="1">
      <alignment vertical="center"/>
    </xf>
    <xf numFmtId="219" applyNumberFormat="1" fontId="49" applyFont="1" fillId="0" applyFill="1" borderId="56" applyBorder="1" xfId="7145" applyProtection="1" applyAlignment="1">
      <alignment vertical="center"/>
    </xf>
    <xf numFmtId="219" applyNumberFormat="1" fontId="49" applyFont="1" fillId="0" applyFill="1" borderId="57" applyBorder="1" xfId="7145" applyProtection="1" applyAlignment="1">
      <alignment vertical="center"/>
      <protection hidden="1"/>
    </xf>
    <xf numFmtId="219" applyNumberFormat="1" fontId="49" applyFont="1" fillId="0" applyFill="1" borderId="20" applyBorder="1" xfId="7145" applyProtection="1" applyAlignment="1">
      <alignment vertical="center"/>
      <protection hidden="1"/>
    </xf>
    <xf numFmtId="219" applyNumberFormat="1" fontId="49" applyFont="1" fillId="16" applyFill="1" borderId="13" applyBorder="1" xfId="20106" applyProtection="1" applyAlignment="1">
      <alignment vertical="center"/>
    </xf>
    <xf numFmtId="219" applyNumberFormat="1" fontId="50" applyFont="1" fillId="16" applyFill="1" borderId="13" applyBorder="1" xfId="20106" applyProtection="1" applyAlignment="1">
      <alignment vertical="center"/>
      <protection hidden="1"/>
    </xf>
    <xf numFmtId="219" applyNumberFormat="1" fontId="49" applyFont="1" fillId="17" applyFill="1" borderId="13" applyBorder="1" xfId="20106" applyProtection="1" applyAlignment="1">
      <alignment vertical="center"/>
    </xf>
    <xf numFmtId="219" applyNumberFormat="1" fontId="50" applyFont="1" fillId="17" applyFill="1" borderId="13" applyBorder="1" xfId="20106" applyProtection="1" applyAlignment="1">
      <alignment vertical="center"/>
      <protection hidden="1"/>
    </xf>
    <xf numFmtId="219" applyNumberFormat="1" fontId="49" applyFont="1" fillId="17" applyFill="1" borderId="13" applyBorder="1" xfId="20106" applyProtection="1" applyAlignment="1">
      <alignment vertical="center"/>
      <protection hidden="1"/>
    </xf>
    <xf numFmtId="219" applyNumberFormat="1" fontId="49" applyFont="1" fillId="17" applyFill="1" borderId="13" applyBorder="1" xfId="7145" applyProtection="1" applyAlignment="1">
      <alignment vertical="center"/>
      <protection hidden="1"/>
    </xf>
    <xf numFmtId="219" applyNumberFormat="1" fontId="49" applyFont="1" fillId="17" applyFill="1" borderId="18" applyBorder="1" xfId="7145" applyProtection="1" applyAlignment="1">
      <alignment vertical="center"/>
      <protection hidden="1"/>
    </xf>
    <xf numFmtId="219" applyNumberFormat="1" fontId="57" applyFont="1" fillId="5" applyFill="1" borderId="13" applyBorder="1" xfId="20106" applyProtection="1" applyAlignment="1">
      <alignment vertical="center"/>
    </xf>
    <xf numFmtId="219" applyNumberFormat="1" fontId="60" applyFont="1" fillId="5" applyFill="1" borderId="13" applyBorder="1" xfId="20106" applyProtection="1" applyAlignment="1">
      <alignment vertical="center"/>
      <protection hidden="1"/>
    </xf>
    <xf numFmtId="219" applyNumberFormat="1" fontId="57" applyFont="1" fillId="5" applyFill="1" borderId="13" applyBorder="1" xfId="7145" applyProtection="1" applyAlignment="1">
      <alignment vertical="center"/>
      <protection hidden="1"/>
    </xf>
    <xf numFmtId="219" applyNumberFormat="1" fontId="57" applyFont="1" fillId="5" applyFill="1" borderId="13" applyBorder="1" xfId="20106" applyProtection="1" applyAlignment="1">
      <alignment vertical="center"/>
      <protection hidden="1"/>
    </xf>
    <xf numFmtId="219" applyNumberFormat="1" fontId="57" applyFont="1" fillId="5" applyFill="1" borderId="18" applyBorder="1" xfId="7145" applyProtection="1" applyAlignment="1">
      <alignment vertical="center"/>
      <protection hidden="1"/>
    </xf>
    <xf numFmtId="219" applyNumberFormat="1" fontId="49" applyFont="1" fillId="0" applyFill="1" borderId="55" applyBorder="1" xfId="7145" applyProtection="1" applyAlignment="1">
      <alignment vertical="center"/>
      <protection hidden="1"/>
    </xf>
    <xf numFmtId="219" applyNumberFormat="1" fontId="49" applyFont="1" fillId="0" applyFill="1" borderId="56" applyBorder="1" xfId="7145" applyProtection="1" applyAlignment="1">
      <alignment vertical="center"/>
      <protection hidden="1"/>
    </xf>
    <xf numFmtId="219" applyNumberFormat="1" fontId="49" applyFont="1" fillId="0" applyFill="1" borderId="56" applyBorder="1" xfId="7145" applyProtection="1" applyAlignment="1">
      <alignment vertical="center"/>
    </xf>
    <xf numFmtId="254" applyNumberFormat="1" fontId="49" applyFont="1" fillId="0" applyFill="1" borderId="56" applyBorder="1" xfId="2284" applyProtection="1" applyAlignment="1">
      <alignment horizontal="center" vertical="center"/>
    </xf>
    <xf numFmtId="254" applyNumberFormat="1" fontId="49" applyFont="1" fillId="0" applyFill="1" borderId="58" applyBorder="1" xfId="2284" applyProtection="1" applyAlignment="1">
      <alignment horizontal="center" vertical="center"/>
    </xf>
    <xf numFmtId="219" applyNumberFormat="1" fontId="49" applyFont="1" fillId="0" applyFill="1" borderId="12" applyBorder="1" xfId="7145" applyProtection="1" applyAlignment="1">
      <alignment vertical="center"/>
      <protection hidden="1"/>
    </xf>
    <xf numFmtId="0" applyNumberFormat="1" fontId="49" applyFont="1" fillId="0" applyFill="1" borderId="0" applyBorder="1" xfId="952" applyProtection="1" applyAlignment="1">
      <alignment vertical="center"/>
    </xf>
    <xf numFmtId="0" applyNumberFormat="1" fontId="49" applyFont="1" fillId="16" applyFill="1" borderId="0" applyBorder="1" xfId="952" applyProtection="1" applyAlignment="1">
      <alignment vertical="center"/>
    </xf>
    <xf numFmtId="0" applyNumberFormat="1" fontId="59" applyFont="1" fillId="16" applyFill="1" borderId="0" applyBorder="1" xfId="2284" applyProtection="1" applyAlignment="1">
      <alignment vertical="center"/>
    </xf>
    <xf numFmtId="219" applyNumberFormat="1" fontId="49" applyFont="1" fillId="17" applyFill="1" borderId="13" applyBorder="1" xfId="7145" applyProtection="1" applyAlignment="1">
      <alignment vertical="center"/>
    </xf>
    <xf numFmtId="254" applyNumberFormat="1" fontId="49" applyFont="1" fillId="17" applyFill="1" borderId="13" applyBorder="1" xfId="2284" applyProtection="1" applyAlignment="1">
      <alignment horizontal="center" vertical="center"/>
    </xf>
    <xf numFmtId="254" applyNumberFormat="1" fontId="49" applyFont="1" fillId="17" applyFill="1" borderId="40" applyBorder="1" xfId="2284" applyProtection="1" applyAlignment="1">
      <alignment horizontal="center" vertical="center"/>
    </xf>
    <xf numFmtId="0" applyNumberFormat="1" fontId="49" applyFont="1" fillId="17" applyFill="1" borderId="0" applyBorder="1" xfId="952" applyProtection="1" applyAlignment="1">
      <alignment vertical="center"/>
    </xf>
    <xf numFmtId="0" applyNumberFormat="1" fontId="59" applyFont="1" fillId="17" applyFill="1" borderId="0" applyBorder="1" xfId="2284" applyProtection="1" applyAlignment="1">
      <alignment vertical="center"/>
    </xf>
    <xf numFmtId="254" applyNumberFormat="1" fontId="49" applyFont="1" fillId="17" applyFill="1" borderId="18" applyBorder="1" xfId="2284" applyProtection="1" applyAlignment="1">
      <alignment horizontal="center" vertical="center"/>
    </xf>
    <xf numFmtId="254" applyNumberFormat="1" fontId="49" applyFont="1" fillId="17" applyFill="1" borderId="38" applyBorder="1" xfId="2284" applyProtection="1" applyAlignment="1">
      <alignment horizontal="center" vertical="center"/>
    </xf>
    <xf numFmtId="219" applyNumberFormat="1" fontId="49" applyFont="1" fillId="12" applyFill="1" borderId="13" applyBorder="1" xfId="7145" applyProtection="1" applyAlignment="1">
      <alignment vertical="center"/>
      <protection hidden="1"/>
    </xf>
    <xf numFmtId="219" applyNumberFormat="1" fontId="49" applyFont="1" fillId="12" applyFill="1" borderId="13" applyBorder="1" xfId="7145" applyProtection="1" applyAlignment="1">
      <alignment vertical="center"/>
    </xf>
    <xf numFmtId="254" applyNumberFormat="1" fontId="57" applyFont="1" fillId="5" applyFill="1" borderId="18" applyBorder="1" xfId="2284" applyProtection="1" applyAlignment="1">
      <alignment horizontal="center" vertical="center"/>
    </xf>
    <xf numFmtId="254" applyNumberFormat="1" fontId="57" applyFont="1" fillId="5" applyFill="1" borderId="38" applyBorder="1" xfId="2284" applyProtection="1" applyAlignment="1">
      <alignment horizontal="center" vertical="center"/>
    </xf>
    <xf numFmtId="0" applyNumberFormat="1" fontId="43" applyFont="1" fillId="5" applyFill="1" borderId="0" applyBorder="1" xfId="2284" applyProtection="1" applyAlignment="1">
      <alignment vertical="center"/>
    </xf>
    <xf numFmtId="219" applyNumberFormat="1" fontId="57" applyFont="1" fillId="5" applyFill="1" borderId="13" applyBorder="1" xfId="7145" applyProtection="1" applyAlignment="1">
      <alignment vertical="center"/>
    </xf>
    <xf numFmtId="254" applyNumberFormat="1" fontId="57" applyFont="1" fillId="5" applyFill="1" borderId="13" applyBorder="1" xfId="2284" applyProtection="1" applyAlignment="1">
      <alignment horizontal="center" vertical="center"/>
    </xf>
    <xf numFmtId="254" applyNumberFormat="1" fontId="57" applyFont="1" fillId="5" applyFill="1" borderId="40" applyBorder="1" xfId="2284" applyProtection="1" applyAlignment="1">
      <alignment horizontal="center" vertical="center"/>
    </xf>
    <xf numFmtId="0" applyNumberFormat="1" fontId="31" applyFont="1" fillId="5" applyFill="1" borderId="0" applyBorder="1" xfId="952" applyProtection="1" applyAlignment="1">
      <alignment vertical="center"/>
    </xf>
    <xf numFmtId="219" applyNumberFormat="1" fontId="6" applyFont="1" fillId="0" applyFill="1" borderId="60" applyBorder="1" xfId="7145" applyProtection="1" applyAlignment="1">
      <alignment vertical="center"/>
    </xf>
    <xf numFmtId="219" applyNumberFormat="1" fontId="6" applyFont="1" fillId="0" applyFill="1" borderId="61" applyBorder="1" xfId="7145" applyProtection="1" applyAlignment="1">
      <alignment vertical="center"/>
    </xf>
    <xf numFmtId="0" applyNumberFormat="1" fontId="7" applyFont="1" fillId="0" applyFill="1" borderId="0" applyBorder="1" xfId="437" applyProtection="1" applyAlignment="1">
      <alignment horizontal="left" vertical="center"/>
      <protection hidden="1"/>
    </xf>
    <xf numFmtId="0" applyNumberFormat="1" fontId="47" applyFont="1" fillId="8" applyFill="1" borderId="13" applyBorder="1" xfId="1183" applyProtection="1" applyAlignment="1">
      <alignment horizontal="center" vertical="center" wrapText="1"/>
      <protection hidden="1"/>
    </xf>
    <xf numFmtId="49" applyNumberFormat="1" fontId="47" applyFont="1" fillId="8" applyFill="1" borderId="13" applyBorder="1" xfId="1183" applyProtection="1" applyAlignment="1">
      <alignment horizontal="center" vertical="center" wrapText="1"/>
      <protection hidden="1"/>
    </xf>
    <xf numFmtId="219" applyNumberFormat="1" fontId="47" applyFont="1" fillId="8" applyFill="1" borderId="13" applyBorder="1" xfId="7145" applyProtection="1" applyAlignment="1">
      <alignment horizontal="center" vertical="center" wrapText="1"/>
      <protection hidden="1"/>
    </xf>
    <xf numFmtId="0" applyNumberFormat="1" fontId="49" applyFont="1" fillId="0" applyFill="1" borderId="13" applyBorder="1" xfId="952" applyProtection="1" applyAlignment="1">
      <alignment horizontal="left" vertical="center"/>
    </xf>
    <xf numFmtId="0" applyNumberFormat="1" fontId="52" applyFont="1" fillId="0" applyFill="1" borderId="32" applyBorder="1" xfId="952" applyProtection="1" applyAlignment="1">
      <alignment horizontal="center" vertical="center"/>
    </xf>
    <xf numFmtId="0" applyNumberFormat="1" fontId="52" applyFont="1" fillId="0" applyFill="1" borderId="32" applyBorder="1" xfId="952" applyProtection="1" applyAlignment="1">
      <alignment horizontal="left" vertical="center"/>
    </xf>
    <xf numFmtId="219" applyNumberFormat="1" fontId="52" applyFont="1" fillId="0" applyFill="1" borderId="32" applyBorder="1" xfId="7145" applyProtection="1" applyAlignment="1">
      <alignment horizontal="left" vertical="center"/>
    </xf>
    <xf numFmtId="0" applyNumberFormat="1" fontId="29" applyFont="1" fillId="0" applyFill="1" borderId="24" applyBorder="1" xfId="2284" applyProtection="1" applyAlignment="1">
      <alignment horizontal="center" vertical="center"/>
    </xf>
    <xf numFmtId="0" applyNumberFormat="1" fontId="29" applyFont="1" fillId="16" applyFill="1" borderId="24" applyBorder="1" xfId="2284" applyProtection="1" applyAlignment="1">
      <alignment horizontal="center" vertical="center"/>
    </xf>
    <xf numFmtId="0" applyNumberFormat="1" fontId="57" applyFont="1" fillId="5" applyFill="1" borderId="28" applyBorder="1" xfId="952" applyProtection="1" applyAlignment="1">
      <alignment horizontal="center" vertical="center"/>
    </xf>
    <xf numFmtId="0" applyNumberFormat="1" fontId="57" applyFont="1" fillId="5" applyFill="1" borderId="13" applyBorder="1" xfId="952" applyProtection="1" applyAlignment="1">
      <alignment horizontal="left" vertical="center"/>
    </xf>
    <xf numFmtId="0" applyNumberFormat="1" fontId="57" applyFont="1" fillId="5" applyFill="1" borderId="24" applyBorder="1" xfId="2284" applyProtection="1" applyAlignment="1">
      <alignment horizontal="center" vertical="center"/>
    </xf>
    <xf numFmtId="0" applyNumberFormat="1" fontId="57" applyFont="1" fillId="5" applyFill="1" borderId="18" applyBorder="1" xfId="952" applyProtection="1" applyAlignment="1">
      <alignment horizontal="center" vertical="center"/>
    </xf>
    <xf numFmtId="0" applyNumberFormat="1" fontId="57" applyFont="1" fillId="5" applyFill="1" borderId="24" applyBorder="1" xfId="2284" applyProtection="1" applyAlignment="1">
      <alignment horizontal="left" vertical="center"/>
    </xf>
    <xf numFmtId="219" applyNumberFormat="1" fontId="57" applyFont="1" fillId="5" applyFill="1" borderId="30" applyBorder="1" xfId="7145" applyProtection="1" applyAlignment="1">
      <alignment horizontal="left" vertical="center"/>
    </xf>
    <xf numFmtId="219" applyNumberFormat="1" fontId="57" applyFont="1" fillId="5" applyFill="1" borderId="13" applyBorder="1" xfId="7145" applyProtection="1" applyAlignment="1">
      <alignment horizontal="left" vertical="center"/>
    </xf>
    <xf numFmtId="219" applyNumberFormat="1" fontId="51" applyFont="1" fillId="4" applyFill="1" borderId="32" applyBorder="1" xfId="7145" applyProtection="1" applyAlignment="1">
      <alignment vertical="center"/>
    </xf>
    <xf numFmtId="43" applyNumberFormat="1" fontId="8" applyFont="1" fillId="0" applyFill="1" borderId="0" applyBorder="1" xfId="7145" applyProtection="1" applyAlignment="1">
      <alignment vertical="center"/>
    </xf>
    <xf numFmtId="0" applyNumberFormat="1" fontId="47" applyFont="1" fillId="8" applyFill="1" borderId="13" applyBorder="1" xfId="2256" applyProtection="1" applyAlignment="1">
      <alignment horizontal="center" vertical="center" wrapText="1"/>
    </xf>
    <xf numFmtId="0" applyNumberFormat="1" fontId="47" applyFont="1" fillId="10" applyFill="1" borderId="13" applyBorder="1" xfId="1145" applyProtection="1" applyAlignment="1">
      <alignment horizontal="center" vertical="center" wrapText="1"/>
      <protection hidden="1"/>
    </xf>
    <xf numFmtId="41" applyNumberFormat="1" fontId="47" applyFont="1" fillId="8" applyFill="1" borderId="13" applyBorder="1" xfId="2256" applyProtection="1" applyAlignment="1">
      <alignment horizontal="center" vertical="center" wrapText="1"/>
    </xf>
    <xf numFmtId="0" applyNumberFormat="1" fontId="47" applyFont="1" fillId="10" applyFill="1" borderId="13" applyBorder="1" xfId="19674" applyProtection="1" applyAlignment="1">
      <alignment horizontal="center" vertical="center" wrapText="1"/>
    </xf>
    <xf numFmtId="219" applyNumberFormat="1" fontId="57" applyFont="1" fillId="0" applyFill="1" borderId="13" applyBorder="1" xfId="20106" applyProtection="1" applyAlignment="1">
      <alignment vertical="center"/>
      <protection hidden="1"/>
    </xf>
    <xf numFmtId="219" applyNumberFormat="1" fontId="57" applyFont="1" fillId="16" applyFill="1" borderId="13" applyBorder="1" xfId="20106" applyProtection="1" applyAlignment="1">
      <alignment vertical="center"/>
      <protection hidden="1"/>
    </xf>
    <xf numFmtId="9" applyNumberFormat="1" fontId="47" applyFont="1" fillId="8" applyFill="1" borderId="13" applyBorder="1" xfId="1084" applyProtection="1" applyAlignment="1">
      <alignment horizontal="center" vertical="center" wrapText="1"/>
    </xf>
    <xf numFmtId="41" applyNumberFormat="1" fontId="47" applyFont="1" fillId="8" applyFill="1" borderId="13" applyBorder="1" xfId="7450" applyProtection="1" applyAlignment="1">
      <alignment horizontal="center" vertical="center" wrapText="1"/>
      <protection hidden="1"/>
    </xf>
    <xf numFmtId="41" applyNumberFormat="1" fontId="53" applyFont="1" fillId="8" applyFill="1" borderId="13" applyBorder="1" xfId="7450" applyProtection="1" applyAlignment="1">
      <alignment horizontal="center" vertical="center" wrapText="1"/>
      <protection hidden="1"/>
    </xf>
    <xf numFmtId="254" applyNumberFormat="1" fontId="52" applyFont="1" fillId="0" applyFill="1" borderId="32" applyBorder="1" xfId="2284" applyProtection="1" applyAlignment="1">
      <alignment horizontal="center" vertical="center"/>
    </xf>
    <xf numFmtId="254" applyNumberFormat="1" fontId="29" applyFont="1" fillId="0" applyFill="1" borderId="13" applyBorder="1" xfId="2284" applyProtection="1" applyAlignment="1">
      <alignment horizontal="center" vertical="center"/>
    </xf>
    <xf numFmtId="254" applyNumberFormat="1" fontId="29" applyFont="1" fillId="0" applyFill="1" borderId="40" applyBorder="1" xfId="2284" applyProtection="1" applyAlignment="1">
      <alignment horizontal="center" vertical="center"/>
    </xf>
    <xf numFmtId="254" applyNumberFormat="1" fontId="29" applyFont="1" fillId="16" applyFill="1" borderId="13" applyBorder="1" xfId="2284" applyProtection="1" applyAlignment="1">
      <alignment horizontal="center" vertical="center"/>
    </xf>
    <xf numFmtId="254" applyNumberFormat="1" fontId="29" applyFont="1" fillId="16" applyFill="1" borderId="40" applyBorder="1" xfId="2284" applyProtection="1" applyAlignment="1">
      <alignment horizontal="center" vertical="center"/>
    </xf>
    <xf numFmtId="41" applyNumberFormat="1" fontId="57" applyFont="1" fillId="5" applyFill="1" borderId="13" applyBorder="1" xfId="1150" applyProtection="1" applyAlignment="1">
      <alignment vertical="center"/>
      <protection hidden="1"/>
    </xf>
    <xf numFmtId="41" applyNumberFormat="1" fontId="57" applyFont="1" fillId="5" applyFill="1" borderId="13" applyBorder="1" xfId="952" applyProtection="1" applyAlignment="1">
      <alignment vertical="center"/>
    </xf>
    <xf numFmtId="254" applyNumberFormat="1" fontId="57" applyFont="1" fillId="5" applyFill="1" borderId="20" applyBorder="1" xfId="2284" applyProtection="1" applyAlignment="1">
      <alignment horizontal="center" vertical="center"/>
    </xf>
    <xf numFmtId="0" applyNumberFormat="1" fontId="41" applyFont="1" fillId="5" applyFill="1" borderId="0" applyBorder="1" xfId="0" applyProtection="1"/>
    <xf numFmtId="0" applyNumberFormat="1" fontId="29" applyFont="1" fillId="0" applyFill="1" borderId="42" applyBorder="1" xfId="2284" applyProtection="1" applyAlignment="1">
      <alignment horizontal="left" vertical="center"/>
    </xf>
    <xf numFmtId="0" applyNumberFormat="1" fontId="29" applyFont="1" fillId="0" applyFill="1" borderId="42" applyBorder="1" xfId="2284" applyProtection="1" applyAlignment="1">
      <alignment horizontal="center" vertical="center"/>
    </xf>
    <xf numFmtId="0" applyNumberFormat="1" fontId="29" applyFont="1" fillId="0" applyFill="1" borderId="18" applyBorder="1" xfId="952" applyProtection="1" applyAlignment="1">
      <alignment horizontal="center" vertical="center"/>
    </xf>
    <xf numFmtId="0" applyNumberFormat="1" fontId="29" applyFont="1" fillId="0" applyFill="1" borderId="13" applyBorder="1" xfId="952" applyProtection="1" applyAlignment="1">
      <alignment horizontal="left" vertical="center"/>
    </xf>
    <xf numFmtId="0" applyNumberFormat="1" fontId="29" applyFont="1" fillId="13" applyFill="1" borderId="24" applyBorder="1" xfId="2284" applyProtection="1" applyAlignment="1">
      <alignment horizontal="center" vertical="center"/>
    </xf>
    <xf numFmtId="0" applyNumberFormat="1" fontId="29" applyFont="1" fillId="13" applyFill="1" borderId="18" applyBorder="1" xfId="952" applyProtection="1" applyAlignment="1">
      <alignment horizontal="center" vertical="center"/>
    </xf>
    <xf numFmtId="219" applyNumberFormat="1" fontId="29" applyFont="1" fillId="13" applyFill="1" borderId="13" applyBorder="1" xfId="7145" applyProtection="1" applyAlignment="1">
      <alignment horizontal="left" vertical="center"/>
    </xf>
    <xf numFmtId="219" applyNumberFormat="1" fontId="6" applyFont="1" fillId="4" applyFill="1" borderId="62" applyBorder="1" xfId="7145" applyProtection="1" applyAlignment="1">
      <alignment vertical="center"/>
    </xf>
    <xf numFmtId="41" applyNumberFormat="1" fontId="47" applyFont="1" fillId="8" applyFill="1" borderId="27" applyBorder="1" xfId="2256" applyProtection="1" applyAlignment="1">
      <alignment horizontal="center" vertical="center"/>
    </xf>
    <xf numFmtId="0" applyNumberFormat="1" fontId="47" applyFont="1" fillId="18" applyFill="1" borderId="27" applyBorder="1" xfId="19674" applyProtection="1" applyAlignment="1">
      <alignment horizontal="center" vertical="center" wrapText="1"/>
    </xf>
    <xf numFmtId="254" applyNumberFormat="1" fontId="29" applyFont="1" fillId="13" applyFill="1" borderId="13" applyBorder="1" xfId="2284" applyProtection="1" applyAlignment="1">
      <alignment horizontal="center" vertical="center"/>
    </xf>
    <xf numFmtId="254" applyNumberFormat="1" fontId="29" applyFont="1" fillId="13" applyFill="1" borderId="40" applyBorder="1" xfId="2284" applyProtection="1" applyAlignment="1">
      <alignment horizontal="center" vertical="center"/>
    </xf>
    <xf numFmtId="0" applyNumberFormat="1" fontId="7" applyFont="1" fillId="0" applyFill="1" borderId="0" applyBorder="1" xfId="432" applyProtection="1" applyAlignment="1">
      <alignment horizontal="left" vertical="center"/>
      <protection hidden="1"/>
    </xf>
    <xf numFmtId="0" applyNumberFormat="1" fontId="8" applyFont="1" fillId="0" applyFill="1" borderId="0" applyBorder="1" xfId="16739" applyProtection="1" applyAlignment="1">
      <alignment horizontal="left" vertical="center"/>
    </xf>
    <xf numFmtId="0" applyNumberFormat="1" fontId="6" applyFont="1" fillId="0" applyFill="1" borderId="0" applyBorder="1" xfId="432" applyProtection="1" applyAlignment="1">
      <alignment horizontal="left" vertical="center"/>
      <protection hidden="1"/>
    </xf>
    <xf numFmtId="0" applyNumberFormat="1" fontId="47" applyFont="1" fillId="8" applyFill="1" borderId="26" applyBorder="1" xfId="7788" applyProtection="1" applyAlignment="1">
      <alignment horizontal="center" vertical="center" wrapText="1"/>
      <protection hidden="1"/>
    </xf>
    <xf numFmtId="0" applyNumberFormat="1" fontId="47" applyFont="1" fillId="8" applyFill="1" borderId="27" applyBorder="1" xfId="7788" applyProtection="1" applyAlignment="1">
      <alignment horizontal="center" vertical="center" wrapText="1"/>
      <protection hidden="1"/>
    </xf>
    <xf numFmtId="49" applyNumberFormat="1" fontId="47" applyFont="1" fillId="8" applyFill="1" borderId="27" applyBorder="1" xfId="7788" applyProtection="1" applyAlignment="1">
      <alignment horizontal="center" vertical="center" wrapText="1"/>
      <protection hidden="1"/>
    </xf>
    <xf numFmtId="0" applyNumberFormat="1" fontId="49" applyFont="1" fillId="0" applyFill="1" borderId="63" applyBorder="1" xfId="16739" applyProtection="1" applyAlignment="1">
      <alignment horizontal="center" vertical="center"/>
    </xf>
    <xf numFmtId="0" applyNumberFormat="1" fontId="49" applyFont="1" fillId="0" applyFill="1" borderId="18" applyBorder="1" xfId="16739" applyProtection="1" applyAlignment="1">
      <alignment horizontal="center" vertical="center"/>
    </xf>
    <xf numFmtId="219" applyNumberFormat="1" fontId="49" applyFont="1" fillId="0" applyFill="1" borderId="13" applyBorder="1" xfId="7145" applyProtection="1" applyAlignment="1">
      <alignment horizontal="center" vertical="center"/>
    </xf>
    <xf numFmtId="219" applyNumberFormat="1" fontId="49" applyFont="1" fillId="0" applyFill="1" borderId="17" applyBorder="1" xfId="7145" applyProtection="1" applyAlignment="1">
      <alignment horizontal="center" vertical="center"/>
    </xf>
    <xf numFmtId="0" applyNumberFormat="1" fontId="49" applyFont="1" fillId="0" applyFill="1" borderId="30" applyBorder="1" xfId="2284" applyProtection="1" applyAlignment="1">
      <alignment horizontal="center" vertical="center"/>
    </xf>
    <xf numFmtId="0" applyNumberFormat="1" fontId="49" applyFont="1" fillId="0" applyFill="1" borderId="12" applyBorder="1" xfId="2284" applyProtection="1" applyAlignment="1">
      <alignment horizontal="left" vertical="center"/>
    </xf>
    <xf numFmtId="0" applyNumberFormat="1" fontId="8" applyFont="1" fillId="4" applyFill="1" borderId="48" applyBorder="1" xfId="16739" applyProtection="1" applyAlignment="1">
      <alignment horizontal="center" vertical="center"/>
    </xf>
    <xf numFmtId="0" applyNumberFormat="1" fontId="6" applyFont="1" fillId="4" applyFill="1" borderId="49" applyBorder="1" xfId="16739" applyProtection="1" applyAlignment="1">
      <alignment horizontal="center" vertical="center"/>
    </xf>
    <xf numFmtId="0" applyNumberFormat="1" fontId="6" applyFont="1" fillId="4" applyFill="1" borderId="50" applyBorder="1" xfId="16739" applyProtection="1" applyAlignment="1">
      <alignment horizontal="center" vertical="center"/>
    </xf>
    <xf numFmtId="0" applyNumberFormat="1" fontId="6" applyFont="1" fillId="4" applyFill="1" borderId="0" applyBorder="1" xfId="432" applyProtection="1" applyAlignment="1">
      <alignment horizontal="left" vertical="center"/>
      <protection hidden="1"/>
    </xf>
    <xf numFmtId="0" applyNumberFormat="1" fontId="8" applyFont="1" fillId="4" applyFill="1" borderId="0" applyBorder="1" xfId="16739" applyProtection="1" applyAlignment="1">
      <alignment horizontal="center" vertical="center"/>
    </xf>
    <xf numFmtId="0" applyNumberFormat="1" fontId="49" applyFont="1" fillId="0" applyFill="1" borderId="28" applyBorder="1" xfId="16739" applyProtection="1" applyAlignment="1">
      <alignment horizontal="center" vertical="center"/>
    </xf>
    <xf numFmtId="0" applyNumberFormat="1" fontId="52" applyFont="1" fillId="0" applyFill="1" borderId="13" applyBorder="1" xfId="2284" applyProtection="1" applyAlignment="1">
      <alignment horizontal="left" vertical="center"/>
    </xf>
    <xf numFmtId="0" applyNumberFormat="1" fontId="49" applyFont="1" fillId="0" applyFill="1" borderId="13" applyBorder="1" xfId="16739" applyProtection="1" applyAlignment="1">
      <alignment horizontal="center" vertical="center"/>
    </xf>
    <xf numFmtId="0" applyNumberFormat="1" fontId="52" applyFont="1" fillId="0" applyFill="1" borderId="18" applyBorder="1" xfId="2284" applyProtection="1" applyAlignment="1">
      <alignment horizontal="left" vertical="center"/>
    </xf>
    <xf numFmtId="0" applyNumberFormat="1" fontId="6" applyFont="1" fillId="0" applyFill="1" borderId="18" applyBorder="1" xfId="2284" applyProtection="1" applyAlignment="1">
      <alignment horizontal="left" vertical="center"/>
    </xf>
    <xf numFmtId="219" applyNumberFormat="1" fontId="8" applyFont="1" fillId="15" applyFill="1" borderId="13" applyBorder="1" xfId="7145" applyProtection="1" applyAlignment="1">
      <alignment horizontal="left" vertical="center"/>
    </xf>
    <xf numFmtId="0" applyNumberFormat="1" fontId="52" applyFont="1" fillId="0" applyFill="1" borderId="24" applyBorder="1" xfId="2284" applyProtection="1" applyAlignment="1">
      <alignment horizontal="left" vertical="center"/>
    </xf>
    <xf numFmtId="0" applyNumberFormat="1" fontId="49" applyFont="1" fillId="14" applyFill="1" borderId="28" applyBorder="1" xfId="16739" applyProtection="1" applyAlignment="1">
      <alignment horizontal="center" vertical="center"/>
    </xf>
    <xf numFmtId="0" applyNumberFormat="1" fontId="49" applyFont="1" fillId="14" applyFill="1" borderId="13" applyBorder="1" xfId="2284" applyProtection="1" applyAlignment="1">
      <alignment horizontal="center" vertical="center"/>
    </xf>
    <xf numFmtId="0" applyNumberFormat="1" fontId="52" applyFont="1" fillId="14" applyFill="1" borderId="24" applyBorder="1" xfId="2284" applyProtection="1" applyAlignment="1">
      <alignment horizontal="left" vertical="center"/>
    </xf>
    <xf numFmtId="0" applyNumberFormat="1" fontId="49" applyFont="1" fillId="14" applyFill="1" borderId="24" applyBorder="1" xfId="2284" applyProtection="1" applyAlignment="1">
      <alignment horizontal="center" vertical="center"/>
    </xf>
    <xf numFmtId="0" applyNumberFormat="1" fontId="49" applyFont="1" fillId="14" applyFill="1" borderId="18" applyBorder="1" xfId="952" applyProtection="1" applyAlignment="1">
      <alignment horizontal="center" vertical="center"/>
    </xf>
    <xf numFmtId="0" applyNumberFormat="1" fontId="49" applyFont="1" fillId="14" applyFill="1" borderId="13" applyBorder="1" xfId="2284" applyProtection="1" applyAlignment="1">
      <alignment horizontal="left" vertical="center"/>
    </xf>
    <xf numFmtId="219" applyNumberFormat="1" fontId="49" applyFont="1" fillId="14" applyFill="1" borderId="13" applyBorder="1" xfId="7145" applyProtection="1" applyAlignment="1">
      <alignment horizontal="left" vertical="center"/>
    </xf>
    <xf numFmtId="0" applyNumberFormat="1" fontId="6" applyFont="1" fillId="4" applyFill="1" borderId="0" applyBorder="1" xfId="16739" applyProtection="1" applyAlignment="1">
      <alignment horizontal="center" vertical="center"/>
    </xf>
    <xf numFmtId="0" applyNumberFormat="1" fontId="8" applyFont="1" fillId="0" applyFill="1" borderId="0" applyBorder="1" xfId="16739" applyProtection="1" applyAlignment="1">
      <alignment horizontal="center" vertical="center"/>
    </xf>
    <xf numFmtId="0" applyNumberFormat="1" fontId="6" applyFont="1" fillId="0" applyFill="1" borderId="0" applyBorder="1" xfId="16739" applyProtection="1" applyAlignment="1">
      <alignment horizontal="center" vertical="center"/>
    </xf>
    <xf numFmtId="0" applyNumberFormat="1" fontId="6" applyFont="1" fillId="0" applyFill="1" borderId="0" applyBorder="1" xfId="16739" applyProtection="1" applyAlignment="1">
      <alignment horizontal="left" vertical="center"/>
    </xf>
    <xf numFmtId="0" applyNumberFormat="1" fontId="8" applyFont="1" fillId="0" applyFill="1" borderId="0" applyBorder="1" xfId="2284" applyProtection="1" applyAlignment="1">
      <alignment horizontal="center" vertical="center"/>
    </xf>
    <xf numFmtId="0" applyNumberFormat="1" fontId="6" applyFont="1" fillId="0" applyFill="1" borderId="0" applyBorder="1" xfId="2284" applyProtection="1" applyAlignment="1">
      <alignment horizontal="center" vertical="center"/>
    </xf>
    <xf numFmtId="0" applyNumberFormat="1" fontId="6" applyFont="1" fillId="0" applyFill="1" borderId="0" applyBorder="1" xfId="16739" applyProtection="1" applyAlignment="1">
      <alignment vertical="center"/>
    </xf>
    <xf numFmtId="0" applyNumberFormat="1" fontId="8" applyFont="1" fillId="0" applyFill="1" borderId="0" applyBorder="1" xfId="16739" applyProtection="1" applyAlignment="1">
      <alignment vertical="center"/>
    </xf>
    <xf numFmtId="0" applyNumberFormat="1" fontId="47" applyFont="1" fillId="8" applyFill="1" borderId="27" applyBorder="1" xfId="2249" applyProtection="1" applyAlignment="1">
      <alignment horizontal="center" vertical="center" wrapText="1"/>
    </xf>
    <xf numFmtId="0" applyNumberFormat="1" fontId="47" applyFont="1" fillId="18" applyFill="1" borderId="27" applyBorder="1" xfId="1145" applyProtection="1" applyAlignment="1">
      <alignment horizontal="center" vertical="center" wrapText="1"/>
      <protection hidden="1"/>
    </xf>
    <xf numFmtId="41" applyNumberFormat="1" fontId="47" applyFont="1" fillId="8" applyFill="1" borderId="27" applyBorder="1" xfId="2249" applyProtection="1" applyAlignment="1">
      <alignment horizontal="center" vertical="center"/>
    </xf>
    <xf numFmtId="41" applyNumberFormat="1" fontId="47" applyFont="1" fillId="8" applyFill="1" borderId="27" applyBorder="1" xfId="2249" applyProtection="1" applyAlignment="1">
      <alignment horizontal="center" vertical="center" wrapText="1"/>
    </xf>
    <xf numFmtId="219" applyNumberFormat="1" fontId="49" applyFont="1" fillId="0" applyFill="1" borderId="20" applyBorder="1" xfId="20106" applyProtection="1" applyAlignment="1">
      <alignment vertical="center"/>
    </xf>
    <xf numFmtId="219" applyNumberFormat="1" fontId="49" applyFont="1" fillId="0" applyFill="1" borderId="13" applyBorder="1" xfId="7145" applyProtection="1" applyAlignment="1">
      <alignment horizontal="center" vertical="center"/>
      <protection hidden="1"/>
    </xf>
    <xf numFmtId="219" applyNumberFormat="1" fontId="49" applyFont="1" fillId="0" applyFill="1" borderId="18" applyBorder="1" xfId="7145" applyProtection="1" applyAlignment="1">
      <alignment horizontal="center" vertical="center"/>
      <protection hidden="1"/>
    </xf>
    <xf numFmtId="219" applyNumberFormat="1" fontId="31" applyFont="1" fillId="5" applyFill="1" borderId="13" applyBorder="1" xfId="20106" applyProtection="1" applyAlignment="1">
      <alignment vertical="center"/>
      <protection hidden="1"/>
    </xf>
    <xf numFmtId="219" applyNumberFormat="1" fontId="49" applyFont="1" fillId="0" applyFill="1" borderId="18" applyBorder="1" xfId="20106" applyProtection="1" applyAlignment="1">
      <alignment vertical="center"/>
    </xf>
    <xf numFmtId="219" applyNumberFormat="1" fontId="29" applyFont="1" fillId="4" applyFill="1" borderId="13" applyBorder="1" xfId="20106" applyProtection="1" applyAlignment="1">
      <alignment vertical="center"/>
    </xf>
    <xf numFmtId="219" applyNumberFormat="1" fontId="29" applyFont="1" fillId="4" applyFill="1" borderId="18" applyBorder="1" xfId="20106" applyProtection="1" applyAlignment="1">
      <alignment vertical="center"/>
    </xf>
    <xf numFmtId="219" applyNumberFormat="1" fontId="49" applyFont="1" fillId="14" applyFill="1" borderId="13" applyBorder="1" xfId="7145" applyProtection="1" applyAlignment="1">
      <alignment vertical="center"/>
    </xf>
    <xf numFmtId="219" applyNumberFormat="1" fontId="49" applyFont="1" fillId="14" applyFill="1" borderId="13" applyBorder="1" xfId="20106" applyProtection="1" applyAlignment="1">
      <alignment vertical="center"/>
    </xf>
    <xf numFmtId="219" applyNumberFormat="1" fontId="49" applyFont="1" fillId="14" applyFill="1" borderId="13" applyBorder="1" xfId="20106" applyProtection="1" applyAlignment="1">
      <alignment vertical="center"/>
      <protection hidden="1"/>
    </xf>
    <xf numFmtId="0" applyNumberFormat="1" fontId="6" applyFont="1" fillId="0" applyFill="1" borderId="0" applyBorder="1" xfId="2284" applyProtection="1" applyAlignment="1">
      <alignment vertical="center"/>
    </xf>
    <xf numFmtId="41" applyNumberFormat="1" fontId="6" applyFont="1" fillId="0" applyFill="1" borderId="0" applyBorder="1" xfId="16739" applyProtection="1" applyAlignment="1">
      <alignment vertical="center"/>
    </xf>
    <xf numFmtId="219" applyNumberFormat="1" fontId="8" applyFont="1" fillId="0" applyFill="1" borderId="0" applyBorder="1" xfId="2284" applyProtection="1" applyAlignment="1">
      <alignment vertical="center"/>
    </xf>
    <xf numFmtId="41" applyNumberFormat="1" fontId="8" applyFont="1" fillId="0" applyFill="1" borderId="0" applyBorder="1" xfId="16739" applyProtection="1" applyAlignment="1">
      <alignment vertical="center"/>
    </xf>
    <xf numFmtId="0" applyNumberFormat="1" fontId="29" applyFont="1" fillId="0" applyFill="1" borderId="0" applyBorder="1" xfId="2284" applyProtection="1" applyAlignment="1">
      <alignment horizontal="center" vertical="center"/>
    </xf>
    <xf numFmtId="219" applyNumberFormat="1" fontId="49" applyFont="1" fillId="0" applyFill="1" borderId="13" applyBorder="1" xfId="7145" applyProtection="1" applyAlignment="1">
      <alignment horizontal="center" vertical="center"/>
    </xf>
    <xf numFmtId="0" applyNumberFormat="1" fontId="61" applyFont="1" fillId="0" applyFill="1" borderId="0" applyBorder="1" xfId="2284" applyProtection="1" applyAlignment="1">
      <alignment vertical="center"/>
    </xf>
    <xf numFmtId="0" applyNumberFormat="1" fontId="58" applyFont="1" fillId="5" applyFill="1" borderId="0" applyBorder="1" xfId="0" applyProtection="1"/>
    <xf numFmtId="15" applyNumberFormat="1" fontId="29" applyFont="1" fillId="0" applyFill="1" borderId="32" applyBorder="1" xfId="16739" applyProtection="1" applyAlignment="1">
      <alignment horizontal="center" vertical="center"/>
    </xf>
    <xf numFmtId="15" applyNumberFormat="1" fontId="29" applyFont="1" fillId="0" applyFill="1" borderId="39" applyBorder="1" xfId="16739" applyProtection="1" applyAlignment="1">
      <alignment horizontal="center" vertical="center"/>
    </xf>
    <xf numFmtId="0" applyNumberFormat="1" fontId="45" applyFont="1" fillId="0" applyFill="1" borderId="0" applyBorder="1" xfId="2284" applyProtection="1" applyAlignment="1">
      <alignment vertical="center"/>
    </xf>
    <xf numFmtId="41" applyNumberFormat="1" fontId="8" applyFont="1" fillId="0" applyFill="1" borderId="13" applyBorder="1" xfId="1150" applyProtection="1" applyAlignment="1">
      <alignment vertical="center"/>
      <protection hidden="1"/>
    </xf>
    <xf numFmtId="43" applyNumberFormat="1" fontId="29" applyFont="1" fillId="0" applyFill="1" borderId="0" applyBorder="1" xfId="7145" applyProtection="1" applyAlignment="1">
      <alignment vertical="center"/>
    </xf>
    <xf numFmtId="254" applyNumberFormat="1" fontId="49" applyFont="1" fillId="0" applyFill="1" borderId="40" applyBorder="1" xfId="2284" applyAlignment="1">
      <alignment horizontal="center" vertical="center"/>
      <protection locked="0"/>
    </xf>
    <xf numFmtId="219" applyNumberFormat="1" fontId="49" applyFont="1" fillId="14" applyFill="1" borderId="13" applyBorder="1" xfId="7145" applyProtection="1" applyAlignment="1">
      <alignment vertical="center"/>
      <protection hidden="1"/>
    </xf>
    <xf numFmtId="219" applyNumberFormat="1" fontId="49" applyFont="1" fillId="14" applyFill="1" borderId="13" applyBorder="1" xfId="7145" applyProtection="1" applyAlignment="1">
      <alignment vertical="center"/>
    </xf>
    <xf numFmtId="254" applyNumberFormat="1" fontId="49" applyFont="1" fillId="14" applyFill="1" borderId="13" applyBorder="1" xfId="2284" applyProtection="1" applyAlignment="1">
      <alignment horizontal="center" vertical="center"/>
    </xf>
    <xf numFmtId="254" applyNumberFormat="1" fontId="49" applyFont="1" fillId="14" applyFill="1" borderId="40" applyBorder="1" xfId="2284" applyProtection="1" applyAlignment="1">
      <alignment horizontal="center" vertical="center"/>
    </xf>
    <xf numFmtId="0" applyNumberFormat="1" fontId="61" applyFont="1" fillId="14" applyFill="1" borderId="0" applyBorder="1" xfId="2284" applyProtection="1" applyAlignment="1">
      <alignment vertical="center"/>
    </xf>
    <xf numFmtId="219" applyNumberFormat="1" fontId="6" applyFont="1" fillId="4" applyFill="1" borderId="39" applyBorder="1" xfId="7145" applyProtection="1" applyAlignment="1">
      <alignment vertical="center"/>
    </xf>
    <xf numFmtId="15" applyNumberFormat="1" fontId="29" applyFont="1" fillId="0" applyFill="1" borderId="0" applyBorder="1" xfId="16739" applyProtection="1" applyAlignment="1">
      <alignment horizontal="center" vertical="center"/>
    </xf>
    <xf numFmtId="41" applyNumberFormat="1" fontId="8" applyFont="1" fillId="0" applyFill="1" borderId="0" applyBorder="1" xfId="16739" applyProtection="1" applyAlignment="1">
      <alignment horizontal="center" vertical="center"/>
    </xf>
    <xf numFmtId="0" applyNumberFormat="1" fontId="29" applyFont="1" fillId="0" applyFill="1" borderId="0" applyBorder="1" xfId="2284" applyProtection="1" applyAlignment="1">
      <alignment vertical="center"/>
    </xf>
    <xf numFmtId="0" applyNumberFormat="1" fontId="29" applyFont="1" fillId="0" applyFill="1" borderId="0" applyBorder="1" xfId="16739" applyProtection="1" applyAlignment="1">
      <alignment vertical="center"/>
    </xf>
    <xf numFmtId="0" applyNumberFormat="1" fontId="42" applyFont="1" fillId="0" applyFill="1" borderId="0" applyBorder="1" xfId="2284" applyProtection="1" applyAlignment="1">
      <alignment vertical="center"/>
    </xf>
    <xf numFmtId="0" applyNumberFormat="1" fontId="8" applyFont="1" fillId="0" applyFill="1" borderId="13" applyBorder="1" xfId="2284" applyProtection="1" applyAlignment="1">
      <alignment horizontal="center" vertical="center"/>
    </xf>
    <xf numFmtId="0" applyNumberFormat="1" fontId="8" applyFont="1" fillId="0" applyFill="1" borderId="13" applyBorder="1" xfId="2284" applyProtection="1" applyAlignment="1">
      <alignment horizontal="left" vertical="center"/>
    </xf>
    <xf numFmtId="0" applyNumberFormat="1" fontId="29" applyFont="1" fillId="0" applyFill="1" borderId="13" applyBorder="1" xfId="952" applyProtection="1" applyAlignment="1">
      <alignment horizontal="center" vertical="center"/>
    </xf>
    <xf numFmtId="219" applyNumberFormat="1" fontId="8" applyFont="1" fillId="0" applyFill="1" borderId="13" applyBorder="1" xfId="7145" applyProtection="1" applyAlignment="1">
      <alignment horizontal="left" vertical="center"/>
    </xf>
    <xf numFmtId="219" applyNumberFormat="1" fontId="6" applyFont="1" fillId="0" applyFill="1" borderId="32" applyBorder="1" xfId="7145" applyProtection="1" applyAlignment="1">
      <alignment horizontal="left" vertical="center"/>
    </xf>
    <xf numFmtId="0" applyNumberFormat="1" fontId="62" applyFont="1" fillId="4" applyFill="1" borderId="0" applyBorder="1" xfId="1802" applyProtection="1" applyAlignment="1">
      <alignment horizontal="center" vertical="center"/>
    </xf>
    <xf numFmtId="219" applyNumberFormat="1" fontId="6" applyFont="1" fillId="0" applyFill="1" borderId="0" applyBorder="1" xfId="7145" applyProtection="1" applyAlignment="1">
      <alignment horizontal="left" vertical="center"/>
    </xf>
    <xf numFmtId="0" applyNumberFormat="1" fontId="29" applyFont="1" fillId="4" applyFill="1" borderId="28" applyBorder="1" xfId="952" applyProtection="1" applyAlignment="1">
      <alignment horizontal="center" vertical="center"/>
    </xf>
    <xf numFmtId="0" applyNumberFormat="1" fontId="8" applyFont="1" fillId="15" applyFill="1" borderId="13" applyBorder="1" xfId="2284" applyProtection="1" applyAlignment="1">
      <alignment horizontal="center" vertical="center"/>
    </xf>
    <xf numFmtId="0" applyNumberFormat="1" fontId="29" applyFont="1" fillId="4" applyFill="1" borderId="13" applyBorder="1" xfId="952" applyProtection="1" applyAlignment="1">
      <alignment horizontal="center" vertical="center"/>
    </xf>
    <xf numFmtId="0" applyNumberFormat="1" fontId="8" applyFont="1" fillId="4" applyFill="1" borderId="64" applyBorder="1" xfId="952" applyProtection="1" applyAlignment="1">
      <alignment horizontal="center" vertical="center"/>
    </xf>
    <xf numFmtId="0" applyNumberFormat="1" fontId="8" applyFont="1" fillId="0" applyFill="1" borderId="65" applyBorder="1" xfId="2284" applyProtection="1" applyAlignment="1">
      <alignment horizontal="left" vertical="center"/>
    </xf>
    <xf numFmtId="0" applyNumberFormat="1" fontId="8" applyFont="1" fillId="15" applyFill="1" borderId="65" applyBorder="1" xfId="2284" applyProtection="1" applyAlignment="1">
      <alignment horizontal="center" vertical="center"/>
    </xf>
    <xf numFmtId="0" applyNumberFormat="1" fontId="29" applyFont="1" fillId="4" applyFill="1" borderId="25" applyBorder="1" xfId="952" applyProtection="1" applyAlignment="1">
      <alignment horizontal="center" vertical="center"/>
    </xf>
    <xf numFmtId="0" applyNumberFormat="1" fontId="8" applyFont="1" fillId="0" applyFill="1" borderId="24" applyBorder="1" xfId="2284" applyProtection="1" applyAlignment="1">
      <alignment horizontal="left" vertical="center"/>
    </xf>
    <xf numFmtId="0" applyNumberFormat="1" fontId="8" applyFont="1" fillId="15" applyFill="1" borderId="24" applyBorder="1" xfId="2284" applyProtection="1" applyAlignment="1">
      <alignment horizontal="center" vertical="center"/>
    </xf>
    <xf numFmtId="0" applyNumberFormat="1" fontId="29" applyFont="1" fillId="4" applyFill="1" borderId="18" applyBorder="1" xfId="952" applyProtection="1" applyAlignment="1">
      <alignment horizontal="center" vertical="center"/>
    </xf>
    <xf numFmtId="0" applyNumberFormat="1" fontId="29" applyFont="1" fillId="0" applyFill="1" borderId="8" applyBorder="1" xfId="2522" applyProtection="1" applyAlignment="1">
      <alignment vertical="center"/>
    </xf>
    <xf numFmtId="0" applyNumberFormat="1" fontId="8" applyFont="1" fillId="0" applyFill="1" borderId="24" applyBorder="1" xfId="2284" applyProtection="1" applyAlignment="1">
      <alignment horizontal="center" vertical="center"/>
    </xf>
    <xf numFmtId="0" applyNumberFormat="1" fontId="8" applyFont="1" fillId="16" applyFill="1" borderId="24" applyBorder="1" xfId="2284" applyProtection="1" applyAlignment="1">
      <alignment horizontal="left" vertical="center"/>
    </xf>
    <xf numFmtId="0" applyNumberFormat="1" fontId="8" applyFont="1" fillId="16" applyFill="1" borderId="24" applyBorder="1" xfId="2284" applyProtection="1" applyAlignment="1">
      <alignment horizontal="center" vertical="center"/>
    </xf>
    <xf numFmtId="0" applyNumberFormat="1" fontId="29" applyFont="1" fillId="16" applyFill="1" borderId="18" applyBorder="1" xfId="952" applyProtection="1" applyAlignment="1">
      <alignment horizontal="center" vertical="center"/>
    </xf>
    <xf numFmtId="219" applyNumberFormat="1" fontId="8" applyFont="1" fillId="16" applyFill="1" borderId="13" applyBorder="1" xfId="7145" applyProtection="1" applyAlignment="1">
      <alignment horizontal="left" vertical="center"/>
    </xf>
    <xf numFmtId="219" applyNumberFormat="1" fontId="6" applyFont="1" fillId="4" applyFill="1" borderId="60" applyBorder="1" xfId="7145" applyProtection="1" applyAlignment="1">
      <alignment vertical="center"/>
    </xf>
    <xf numFmtId="219" applyNumberFormat="1" fontId="29" applyFont="1" fillId="0" applyFill="1" borderId="20" applyBorder="1" xfId="20106" applyProtection="1" applyAlignment="1">
      <alignment vertical="center"/>
    </xf>
    <xf numFmtId="219" applyNumberFormat="1" fontId="8" applyFont="1" fillId="0" applyFill="1" borderId="13" applyBorder="1" xfId="7145" applyProtection="1" applyAlignment="1">
      <alignment vertical="center"/>
    </xf>
    <xf numFmtId="254" applyNumberFormat="1" fontId="29" applyFont="1" fillId="0" applyFill="1" borderId="12" applyBorder="1" xfId="2284" applyProtection="1" applyAlignment="1">
      <alignment horizontal="center" vertical="center"/>
    </xf>
    <xf numFmtId="0" applyNumberFormat="1" fontId="63" applyFont="1" fillId="0" applyFill="1" borderId="0" applyBorder="1" xfId="952" applyProtection="1" applyAlignment="1">
      <alignment vertical="center"/>
    </xf>
    <xf numFmtId="219" applyNumberFormat="1" fontId="6" applyFont="1" fillId="0" applyFill="1" borderId="39" applyBorder="1" xfId="7145" applyProtection="1" applyAlignment="1">
      <alignment horizontal="left" vertical="center"/>
    </xf>
    <xf numFmtId="41" applyNumberFormat="1" fontId="8" applyFont="1" fillId="4" applyFill="1" borderId="8" applyBorder="1" xfId="1150" applyProtection="1" applyAlignment="1">
      <alignment vertical="center"/>
      <protection hidden="1"/>
    </xf>
    <xf numFmtId="41" applyNumberFormat="1" fontId="8" applyFont="1" fillId="4" applyFill="1" borderId="13" applyBorder="1" xfId="1150" applyProtection="1" applyAlignment="1">
      <alignment vertical="center"/>
      <protection hidden="1"/>
    </xf>
    <xf numFmtId="41" applyNumberFormat="1" fontId="8" applyFont="1" fillId="16" applyFill="1" borderId="13" applyBorder="1" xfId="1150" applyProtection="1" applyAlignment="1">
      <alignment vertical="center"/>
      <protection hidden="1"/>
    </xf>
    <xf numFmtId="43" applyNumberFormat="1" fontId="29" applyFont="1" fillId="16" applyFill="1" borderId="0" applyBorder="1" xfId="7145" applyProtection="1" applyAlignment="1">
      <alignment vertical="center"/>
    </xf>
    <xf numFmtId="15" applyNumberFormat="1" fontId="29" applyFont="1" fillId="0" applyFill="1" borderId="32" applyBorder="1" xfId="952" applyProtection="1" applyAlignment="1">
      <alignment horizontal="center" vertical="center"/>
    </xf>
    <xf numFmtId="15" applyNumberFormat="1" fontId="29" applyFont="1" fillId="0" applyFill="1" borderId="39" applyBorder="1" xfId="952" applyProtection="1" applyAlignment="1">
      <alignment horizontal="center" vertical="center"/>
    </xf>
    <xf numFmtId="41" applyNumberFormat="1" fontId="29" applyFont="1" fillId="0" applyFill="1" borderId="60" applyBorder="1" xfId="952" applyProtection="1" applyAlignment="1">
      <alignment horizontal="center" vertical="center"/>
    </xf>
    <xf numFmtId="41" applyNumberFormat="1" fontId="29" applyFont="1" fillId="0" applyFill="1" borderId="61" applyBorder="1" xfId="952" applyProtection="1" applyAlignment="1">
      <alignment horizontal="center" vertical="center"/>
    </xf>
    <xf numFmtId="41" applyNumberFormat="1" fontId="29" applyFont="1" fillId="0" applyFill="1" borderId="0" applyBorder="1" xfId="952" applyProtection="1" applyAlignment="1">
      <alignment horizontal="center" vertical="center"/>
    </xf>
    <xf numFmtId="0" applyNumberFormat="1" fontId="0" applyFont="1" fillId="5" applyFill="1" borderId="0" applyBorder="1" xfId="0" applyProtection="1"/>
    <xf numFmtId="0" applyNumberFormat="1" fontId="64" applyFont="1" fillId="0" applyFill="1" borderId="0" applyBorder="1" xfId="437" applyProtection="1" applyAlignment="1">
      <alignment horizontal="left" vertical="center"/>
      <protection hidden="1"/>
    </xf>
    <xf numFmtId="0" applyNumberFormat="1" fontId="65" applyFont="1" fillId="0" applyFill="1" borderId="0" applyBorder="1" xfId="2284" applyProtection="1" applyAlignment="1">
      <alignment horizontal="center" vertical="center"/>
    </xf>
    <xf numFmtId="0" applyNumberFormat="1" fontId="65" applyFont="1" fillId="0" applyFill="1" borderId="0" applyBorder="1" xfId="952" applyProtection="1" applyAlignment="1">
      <alignment horizontal="left" vertical="center"/>
    </xf>
    <xf numFmtId="0" applyNumberFormat="1" fontId="65" applyFont="1" fillId="0" applyFill="1" borderId="0" applyBorder="1" xfId="952" applyProtection="1" applyAlignment="1">
      <alignment horizontal="center" vertical="center"/>
    </xf>
    <xf numFmtId="219" applyNumberFormat="1" fontId="65" applyFont="1" fillId="0" applyFill="1" borderId="0" applyBorder="1" xfId="7145" applyProtection="1" applyAlignment="1">
      <alignment vertical="center"/>
    </xf>
    <xf numFmtId="0" applyNumberFormat="1" fontId="65" applyFont="1" fillId="0" applyFill="1" borderId="0" applyBorder="1" xfId="952" applyProtection="1" applyAlignment="1">
      <alignment horizontal="center" vertical="center"/>
    </xf>
    <xf numFmtId="0" applyNumberFormat="1" fontId="65" applyFont="1" fillId="0" applyFill="1" borderId="0" applyBorder="1" xfId="952" applyProtection="1" applyAlignment="1">
      <alignment horizontal="left" vertical="center"/>
    </xf>
    <xf numFmtId="219" applyNumberFormat="1" fontId="65" applyFont="1" fillId="0" applyFill="1" borderId="0" applyBorder="1" xfId="7145" applyProtection="1" applyAlignment="1">
      <alignment vertical="center"/>
    </xf>
    <xf numFmtId="219" applyNumberFormat="1" fontId="66" applyFont="1" fillId="0" applyFill="1" borderId="0" applyBorder="1" xfId="7145" applyProtection="1" applyAlignment="1">
      <alignment horizontal="left" vertical="center"/>
    </xf>
    <xf numFmtId="0" applyNumberFormat="1" fontId="67" applyFont="1" fillId="8" applyFill="1" borderId="66" applyBorder="1" xfId="1183" applyProtection="1" applyAlignment="1">
      <alignment horizontal="center" vertical="center" wrapText="1"/>
      <protection hidden="1"/>
    </xf>
    <xf numFmtId="0" applyNumberFormat="1" fontId="67" applyFont="1" fillId="8" applyFill="1" borderId="67" applyBorder="1" xfId="1183" applyProtection="1" applyAlignment="1">
      <alignment horizontal="center" vertical="center" wrapText="1"/>
      <protection hidden="1"/>
    </xf>
    <xf numFmtId="0" applyNumberFormat="1" fontId="67" applyFont="1" fillId="8" applyFill="1" borderId="68" applyBorder="1" xfId="1183" applyProtection="1" applyAlignment="1">
      <alignment horizontal="center" vertical="center" wrapText="1"/>
      <protection hidden="1"/>
    </xf>
    <xf numFmtId="49" applyNumberFormat="1" fontId="67" applyFont="1" fillId="8" applyFill="1" borderId="69" applyBorder="1" xfId="1183" applyProtection="1" applyAlignment="1">
      <alignment horizontal="center" vertical="center" wrapText="1"/>
      <protection hidden="1"/>
    </xf>
    <xf numFmtId="219" applyNumberFormat="1" fontId="67" applyFont="1" fillId="8" applyFill="1" borderId="70" applyBorder="1" xfId="7145" applyProtection="1" applyAlignment="1">
      <alignment horizontal="center" vertical="center" wrapText="1"/>
      <protection hidden="1"/>
    </xf>
    <xf numFmtId="219" applyNumberFormat="1" fontId="48" applyFont="1" fillId="8" applyFill="1" borderId="36" applyBorder="1" xfId="7145" applyProtection="1" applyAlignment="1">
      <alignment horizontal="center" vertical="center" wrapText="1"/>
      <protection hidden="1"/>
    </xf>
    <xf numFmtId="0" applyNumberFormat="1" fontId="68" applyFont="1" fillId="0" applyFill="1" borderId="13" applyBorder="1" xfId="952" applyProtection="1" applyAlignment="1">
      <alignment horizontal="center" vertical="center"/>
    </xf>
    <xf numFmtId="0" applyNumberFormat="1" fontId="68" applyFont="1" fillId="0" applyFill="1" borderId="13" applyBorder="1" xfId="2284" applyProtection="1" applyAlignment="1">
      <alignment horizontal="center" vertical="center"/>
    </xf>
    <xf numFmtId="0" applyNumberFormat="1" fontId="68" applyFont="1" fillId="0" applyFill="1" borderId="13" applyBorder="1" xfId="952" applyProtection="1" applyAlignment="1">
      <alignment horizontal="left" vertical="center"/>
    </xf>
    <xf numFmtId="0" applyNumberFormat="1" fontId="68" applyFont="1" fillId="0" applyFill="1" borderId="12" applyBorder="1" xfId="952" applyProtection="1" applyAlignment="1">
      <alignment horizontal="center" vertical="center"/>
    </xf>
    <xf numFmtId="0" applyNumberFormat="1" fontId="68" applyFont="1" fillId="0" applyFill="1" borderId="20" applyBorder="1" xfId="952" applyProtection="1" applyAlignment="1">
      <alignment horizontal="center" vertical="center"/>
    </xf>
    <xf numFmtId="219" applyNumberFormat="1" fontId="68" applyFont="1" fillId="0" applyFill="1" borderId="13" applyBorder="1" xfId="7145" applyProtection="1" applyAlignment="1">
      <alignment horizontal="left" vertical="center"/>
    </xf>
    <xf numFmtId="0" applyNumberFormat="1" fontId="68" applyFont="1" fillId="0" applyFill="1" borderId="25" applyBorder="1" xfId="952" applyProtection="1" applyAlignment="1">
      <alignment horizontal="center" vertical="center"/>
    </xf>
    <xf numFmtId="0" applyNumberFormat="1" fontId="68" applyFont="1" fillId="0" applyFill="1" borderId="52" applyBorder="1" xfId="1802" applyProtection="1" applyAlignment="1">
      <alignment horizontal="left" vertical="center"/>
    </xf>
    <xf numFmtId="0" applyNumberFormat="1" fontId="68" applyFont="1" fillId="0" applyFill="1" borderId="8" applyBorder="1" xfId="952" applyProtection="1" applyAlignment="1">
      <alignment horizontal="center" vertical="center"/>
    </xf>
    <xf numFmtId="219" applyNumberFormat="1" fontId="68" applyFont="1" fillId="0" applyFill="1" borderId="25" applyBorder="1" xfId="7145" applyProtection="1" applyAlignment="1">
      <alignment horizontal="left" vertical="center"/>
    </xf>
    <xf numFmtId="0" applyNumberFormat="1" fontId="68" applyFont="1" fillId="0" applyFill="1" borderId="18" applyBorder="1" xfId="952" applyProtection="1" applyAlignment="1">
      <alignment horizontal="center" vertical="center"/>
    </xf>
    <xf numFmtId="0" applyNumberFormat="1" fontId="68" applyFont="1" fillId="0" applyFill="1" borderId="20" applyBorder="1" xfId="1802" applyProtection="1" applyAlignment="1">
      <alignment horizontal="left" vertical="center"/>
    </xf>
    <xf numFmtId="219" applyNumberFormat="1" fontId="68" applyFont="1" fillId="0" applyFill="1" borderId="18" applyBorder="1" xfId="7145" applyProtection="1" applyAlignment="1">
      <alignment horizontal="left" vertical="center"/>
    </xf>
    <xf numFmtId="0" applyNumberFormat="1" fontId="68" applyFont="1" fillId="0" applyFill="1" borderId="20" applyBorder="1" xfId="952" applyProtection="1" applyAlignment="1">
      <alignment horizontal="left" vertical="center"/>
    </xf>
    <xf numFmtId="264" applyNumberFormat="1" fontId="68" applyFont="1" fillId="0" applyFill="1" borderId="20" applyBorder="1" xfId="3176" applyProtection="1" applyAlignment="1">
      <alignment horizontal="left" vertical="center"/>
    </xf>
    <xf numFmtId="0" applyNumberFormat="1" fontId="68" applyFont="1" fillId="0" applyFill="1" borderId="13" applyBorder="1" xfId="1802" applyProtection="1" applyAlignment="1">
      <alignment horizontal="left" vertical="center"/>
    </xf>
    <xf numFmtId="0" applyNumberFormat="1" fontId="68" applyFont="1" fillId="0" applyFill="1" borderId="18" applyBorder="1" xfId="1802" applyProtection="1" applyAlignment="1">
      <alignment horizontal="left" vertical="center"/>
    </xf>
    <xf numFmtId="0" applyNumberFormat="1" fontId="68" applyFont="1" fillId="0" applyFill="1" borderId="13" applyBorder="1" xfId="2284" applyProtection="1" applyAlignment="1">
      <alignment vertical="center"/>
    </xf>
    <xf numFmtId="0" applyNumberFormat="1" fontId="68" applyFont="1" fillId="0" applyFill="1" borderId="18" applyBorder="1" xfId="952" applyProtection="1" applyAlignment="1">
      <alignment horizontal="left" vertical="center"/>
    </xf>
    <xf numFmtId="0" applyNumberFormat="1" fontId="68" applyFont="1" fillId="0" applyFill="1" borderId="17" applyBorder="1" xfId="952" applyProtection="1" applyAlignment="1">
      <alignment horizontal="center" vertical="center"/>
    </xf>
    <xf numFmtId="0" applyNumberFormat="1" fontId="68" applyFont="1" fillId="0" applyFill="1" borderId="43" applyBorder="1" xfId="952" applyProtection="1" applyAlignment="1">
      <alignment horizontal="center" vertical="center"/>
    </xf>
    <xf numFmtId="0" applyNumberFormat="1" fontId="69" applyFont="1" fillId="0" applyFill="1" borderId="25" applyBorder="1" xfId="952" applyProtection="1" applyAlignment="1">
      <alignment horizontal="center" vertical="center"/>
    </xf>
    <xf numFmtId="0" applyNumberFormat="1" fontId="69" applyFont="1" fillId="0" applyFill="1" borderId="8" applyBorder="1" xfId="2284" applyProtection="1" applyAlignment="1">
      <alignment horizontal="center" vertical="center"/>
    </xf>
    <xf numFmtId="0" applyNumberFormat="1" fontId="69" applyFont="1" fillId="0" applyFill="1" borderId="25" applyBorder="1" xfId="952" applyProtection="1" applyAlignment="1">
      <alignment horizontal="left" vertical="center"/>
    </xf>
    <xf numFmtId="0" applyNumberFormat="1" fontId="69" applyFont="1" fillId="0" applyFill="1" borderId="8" applyBorder="1" xfId="952" applyProtection="1" applyAlignment="1">
      <alignment horizontal="center" vertical="center"/>
    </xf>
    <xf numFmtId="0" applyNumberFormat="1" fontId="69" applyFont="1" fillId="0" applyFill="1" borderId="18" applyBorder="1" xfId="952" applyProtection="1" applyAlignment="1">
      <alignment horizontal="center" vertical="center"/>
    </xf>
    <xf numFmtId="219" applyNumberFormat="1" fontId="69" applyFont="1" fillId="0" applyFill="1" borderId="25" applyBorder="1" xfId="7145" applyProtection="1" applyAlignment="1">
      <alignment horizontal="left" vertical="center"/>
    </xf>
    <xf numFmtId="0" applyNumberFormat="1" fontId="64" applyFont="1" fillId="0" applyFill="1" borderId="11" applyBorder="1" xfId="1802" applyProtection="1" applyAlignment="1">
      <alignment horizontal="center" vertical="center"/>
    </xf>
    <xf numFmtId="0" applyNumberFormat="1" fontId="64" applyFont="1" fillId="0" applyFill="1" borderId="12" applyBorder="1" xfId="1802" applyProtection="1" applyAlignment="1">
      <alignment horizontal="center" vertical="center"/>
    </xf>
    <xf numFmtId="219" applyNumberFormat="1" fontId="64" applyFont="1" fillId="0" applyFill="1" borderId="13" applyBorder="1" xfId="7145" applyProtection="1" applyAlignment="1">
      <alignment horizontal="left" vertical="center"/>
    </xf>
    <xf numFmtId="0" applyNumberFormat="1" fontId="65" applyFont="1" fillId="0" applyFill="1" borderId="0" applyBorder="1" xfId="2522" applyProtection="1" applyAlignment="1">
      <alignment horizontal="left" vertical="center"/>
    </xf>
    <xf numFmtId="0" applyNumberFormat="1" fontId="65" applyFont="1" fillId="0" applyFill="1" borderId="0" applyBorder="1" xfId="1802" applyProtection="1" applyAlignment="1">
      <alignment horizontal="left" vertical="center"/>
    </xf>
    <xf numFmtId="0" applyNumberFormat="1" fontId="69" applyFont="1" fillId="4" applyFill="1" borderId="0" applyBorder="1" xfId="952" applyProtection="1" applyAlignment="1">
      <alignment horizontal="center" vertical="center"/>
    </xf>
    <xf numFmtId="0" applyNumberFormat="1" fontId="65" applyFont="1" fillId="4" applyFill="1" borderId="0" applyBorder="1" xfId="952" applyProtection="1" applyAlignment="1">
      <alignment horizontal="center" vertical="center"/>
    </xf>
    <xf numFmtId="219" applyNumberFormat="1" fontId="65" applyFont="1" fillId="0" applyFill="1" borderId="0" applyBorder="1" xfId="7145" applyProtection="1" applyAlignment="1">
      <alignment horizontal="left" vertical="center"/>
    </xf>
    <xf numFmtId="0" applyNumberFormat="1" fontId="67" applyFont="1" fillId="8" applyFill="1" borderId="71" applyBorder="1" xfId="1183" applyProtection="1" applyAlignment="1">
      <alignment horizontal="center" vertical="center" wrapText="1"/>
      <protection hidden="1"/>
    </xf>
    <xf numFmtId="219" applyNumberFormat="1" fontId="67" applyFont="1" fillId="8" applyFill="1" borderId="69" applyBorder="1" xfId="7145" applyProtection="1" applyAlignment="1">
      <alignment horizontal="center" vertical="center" wrapText="1"/>
      <protection hidden="1"/>
    </xf>
    <xf numFmtId="0" applyNumberFormat="1" fontId="65" applyFont="1" fillId="0" applyFill="1" borderId="0" applyBorder="1" xfId="2284" applyProtection="1" applyAlignment="1">
      <alignment vertical="center"/>
    </xf>
    <xf numFmtId="0" applyNumberFormat="1" fontId="65" applyFont="1" fillId="0" applyFill="1" borderId="0" applyBorder="1" xfId="952" applyProtection="1" applyAlignment="1">
      <alignment vertical="center"/>
    </xf>
    <xf numFmtId="0" applyNumberFormat="1" fontId="65" applyFont="1" fillId="0" applyFill="1" borderId="0" applyBorder="1" xfId="2284" applyProtection="1" applyAlignment="1">
      <alignment vertical="center"/>
    </xf>
    <xf numFmtId="0" applyNumberFormat="1" fontId="67" applyFont="1" fillId="8" applyFill="1" borderId="70" applyBorder="1" xfId="2256" applyProtection="1" applyAlignment="1">
      <alignment horizontal="center" vertical="center" wrapText="1"/>
    </xf>
    <xf numFmtId="0" applyNumberFormat="1" fontId="67" applyFont="1" fillId="10" applyFill="1" borderId="67" applyBorder="1" xfId="1145" applyProtection="1" applyAlignment="1">
      <alignment horizontal="center" vertical="center" wrapText="1"/>
      <protection hidden="1"/>
    </xf>
    <xf numFmtId="41" applyNumberFormat="1" fontId="67" applyFont="1" fillId="8" applyFill="1" borderId="67" applyBorder="1" xfId="2256" applyProtection="1" applyAlignment="1">
      <alignment horizontal="center" vertical="center" wrapText="1"/>
    </xf>
    <xf numFmtId="0" applyNumberFormat="1" fontId="67" applyFont="1" fillId="10" applyFill="1" borderId="67" applyBorder="1" xfId="19674" applyProtection="1" applyAlignment="1">
      <alignment horizontal="center" vertical="center" wrapText="1"/>
    </xf>
    <xf numFmtId="219" applyNumberFormat="1" fontId="68" applyFont="1" fillId="0" applyFill="1" borderId="13" applyBorder="1" xfId="20106" applyProtection="1" applyAlignment="1">
      <alignment vertical="center"/>
    </xf>
    <xf numFmtId="219" applyNumberFormat="1" fontId="68" applyFont="1" fillId="0" applyFill="1" borderId="13" applyBorder="1" xfId="20106" applyProtection="1" applyAlignment="1">
      <alignment vertical="center"/>
      <protection hidden="1"/>
    </xf>
    <xf numFmtId="219" applyNumberFormat="1" fontId="70" applyFont="1" fillId="0" applyFill="1" borderId="13" applyBorder="1" xfId="20106" applyProtection="1" applyAlignment="1">
      <alignment vertical="center"/>
      <protection hidden="1"/>
    </xf>
    <xf numFmtId="219" applyNumberFormat="1" fontId="68" applyFont="1" fillId="0" applyFill="1" borderId="25" applyBorder="1" xfId="20106" applyProtection="1" applyAlignment="1">
      <alignment vertical="center"/>
    </xf>
    <xf numFmtId="219" applyNumberFormat="1" fontId="50" applyFont="1" fillId="0" applyFill="1" borderId="8" applyBorder="1" xfId="20106" applyProtection="1" applyAlignment="1">
      <alignment vertical="center"/>
      <protection hidden="1"/>
    </xf>
    <xf numFmtId="219" applyNumberFormat="1" fontId="68" applyFont="1" fillId="0" applyFill="1" borderId="25" applyBorder="1" xfId="20106" applyProtection="1" applyAlignment="1">
      <alignment vertical="center"/>
      <protection hidden="1"/>
    </xf>
    <xf numFmtId="219" applyNumberFormat="1" fontId="68" applyFont="1" fillId="0" applyFill="1" borderId="8" applyBorder="1" xfId="20106" applyProtection="1" applyAlignment="1">
      <alignment vertical="center"/>
      <protection hidden="1"/>
    </xf>
    <xf numFmtId="219" applyNumberFormat="1" fontId="68" applyFont="1" fillId="0" applyFill="1" borderId="18" applyBorder="1" xfId="20106" applyProtection="1" applyAlignment="1">
      <alignment vertical="center"/>
    </xf>
    <xf numFmtId="219" applyNumberFormat="1" fontId="68" applyFont="1" fillId="0" applyFill="1" borderId="18" applyBorder="1" xfId="20106" applyProtection="1" applyAlignment="1">
      <alignment vertical="center"/>
      <protection hidden="1"/>
    </xf>
    <xf numFmtId="219" applyNumberFormat="1" fontId="68" applyFont="1" fillId="0" applyFill="1" borderId="17" applyBorder="1" xfId="20106" applyProtection="1" applyAlignment="1">
      <alignment vertical="center"/>
      <protection hidden="1"/>
    </xf>
    <xf numFmtId="219" applyNumberFormat="1" fontId="68" applyFont="1" fillId="0" applyFill="1" borderId="12" applyBorder="1" xfId="20106" applyProtection="1" applyAlignment="1">
      <alignment vertical="center"/>
      <protection hidden="1"/>
    </xf>
    <xf numFmtId="219" applyNumberFormat="1" fontId="50" applyFont="1" fillId="0" applyFill="1" borderId="18" applyBorder="1" xfId="20106" applyProtection="1" applyAlignment="1">
      <alignment vertical="center"/>
      <protection hidden="1"/>
    </xf>
    <xf numFmtId="219" applyNumberFormat="1" fontId="69" applyFont="1" fillId="0" applyFill="1" borderId="8" applyBorder="1" xfId="20106" applyProtection="1" applyAlignment="1">
      <alignment vertical="center"/>
    </xf>
    <xf numFmtId="219" applyNumberFormat="1" fontId="69" applyFont="1" fillId="0" applyFill="1" borderId="8" applyBorder="1" xfId="20106" applyProtection="1" applyAlignment="1">
      <alignment vertical="center"/>
      <protection hidden="1"/>
    </xf>
    <xf numFmtId="219" applyNumberFormat="1" fontId="69" applyFont="1" fillId="4" applyFill="1" borderId="0" applyBorder="1" xfId="20106" applyProtection="1" applyAlignment="1">
      <alignment vertical="center"/>
    </xf>
    <xf numFmtId="219" applyNumberFormat="1" fontId="69" applyFont="1" fillId="4" applyFill="1" borderId="0" applyBorder="1" xfId="20106" applyProtection="1" applyAlignment="1">
      <alignment vertical="center"/>
      <protection hidden="1"/>
    </xf>
    <xf numFmtId="0" applyNumberFormat="1" fontId="67" applyFont="1" fillId="8" applyFill="1" borderId="69" applyBorder="1" xfId="2256" applyProtection="1" applyAlignment="1">
      <alignment horizontal="center" vertical="center" wrapText="1"/>
    </xf>
    <xf numFmtId="0" applyNumberFormat="1" fontId="67" applyFont="1" fillId="10" applyFill="1" borderId="68" applyBorder="1" xfId="1145" applyProtection="1" applyAlignment="1">
      <alignment horizontal="center" vertical="center" wrapText="1"/>
      <protection hidden="1"/>
    </xf>
    <xf numFmtId="41" applyNumberFormat="1" fontId="67" applyFont="1" fillId="8" applyFill="1" borderId="68" applyBorder="1" xfId="2256" applyProtection="1" applyAlignment="1">
      <alignment horizontal="center" vertical="center" wrapText="1"/>
    </xf>
    <xf numFmtId="0" applyNumberFormat="1" fontId="67" applyFont="1" fillId="10" applyFill="1" borderId="68" applyBorder="1" xfId="19674" applyProtection="1" applyAlignment="1">
      <alignment horizontal="center" vertical="center" wrapText="1"/>
    </xf>
    <xf numFmtId="0" applyNumberFormat="1" fontId="69" applyFont="1" fillId="0" applyFill="1" borderId="0" applyBorder="1" xfId="2284" applyProtection="1" applyAlignment="1">
      <alignment horizontal="center" vertical="center"/>
    </xf>
    <xf numFmtId="0" applyNumberFormat="1" fontId="69" applyFont="1" fillId="0" applyFill="1" borderId="0" applyBorder="1" xfId="952" applyProtection="1" applyAlignment="1">
      <alignment horizontal="center" vertical="center"/>
    </xf>
    <xf numFmtId="219" applyNumberFormat="1" fontId="65" applyFont="1" fillId="0" applyFill="1" borderId="0" applyBorder="1" xfId="2284" applyProtection="1" applyAlignment="1">
      <alignment vertical="center"/>
    </xf>
    <xf numFmtId="0" applyNumberFormat="1" fontId="67" applyFont="1" fillId="8" applyFill="1" borderId="67" applyBorder="1" xfId="1655" applyProtection="1" applyAlignment="1">
      <alignment horizontal="center" vertical="center" wrapText="1"/>
      <protection hidden="1"/>
    </xf>
    <xf numFmtId="9" applyNumberFormat="1" fontId="67" applyFont="1" fillId="8" applyFill="1" borderId="67" applyBorder="1" xfId="1084" applyProtection="1" applyAlignment="1">
      <alignment horizontal="center" vertical="center" wrapText="1"/>
    </xf>
    <xf numFmtId="41" applyNumberFormat="1" fontId="67" applyFont="1" fillId="8" applyFill="1" borderId="67" applyBorder="1" xfId="7450" applyProtection="1" applyAlignment="1">
      <alignment horizontal="center" vertical="center" wrapText="1"/>
      <protection hidden="1"/>
    </xf>
    <xf numFmtId="41" applyNumberFormat="1" fontId="71" applyFont="1" fillId="8" applyFill="1" borderId="67" applyBorder="1" xfId="7450" applyProtection="1" applyAlignment="1">
      <alignment horizontal="center" vertical="center" wrapText="1"/>
      <protection hidden="1"/>
    </xf>
    <xf numFmtId="41" applyNumberFormat="1" fontId="71" applyFont="1" fillId="8" applyFill="1" borderId="72" applyBorder="1" xfId="7450" applyProtection="1" applyAlignment="1">
      <alignment horizontal="center" vertical="center" wrapText="1"/>
      <protection hidden="1"/>
    </xf>
    <xf numFmtId="41" applyNumberFormat="1" fontId="68" applyFont="1" fillId="0" applyFill="1" borderId="13" applyBorder="1" xfId="1150" applyProtection="1" applyAlignment="1">
      <alignment vertical="center"/>
      <protection hidden="1"/>
    </xf>
    <xf numFmtId="41" applyNumberFormat="1" fontId="68" applyFont="1" fillId="0" applyFill="1" borderId="13" applyBorder="1" xfId="952" applyProtection="1" applyAlignment="1">
      <alignment vertical="center"/>
    </xf>
    <xf numFmtId="254" applyNumberFormat="1" fontId="68" applyFont="1" fillId="0" applyFill="1" borderId="13" applyBorder="1" xfId="1802" applyProtection="1" applyAlignment="1">
      <alignment horizontal="center" vertical="center"/>
    </xf>
    <xf numFmtId="254" applyNumberFormat="1" fontId="68" applyFont="1" fillId="0" applyFill="1" borderId="13" applyBorder="1" xfId="2284" applyProtection="1" applyAlignment="1">
      <alignment horizontal="center" vertical="center"/>
    </xf>
    <xf numFmtId="254" applyNumberFormat="1" fontId="70" applyFont="1" fillId="0" applyFill="1" borderId="0" applyBorder="1" xfId="952" applyProtection="1" applyAlignment="1">
      <alignment vertical="center"/>
    </xf>
    <xf numFmtId="254" applyNumberFormat="1" fontId="68" applyFont="1" fillId="0" applyFill="1" borderId="0" applyBorder="1" xfId="952" applyProtection="1" applyAlignment="1">
      <alignment vertical="center"/>
    </xf>
    <xf numFmtId="219" applyNumberFormat="1" fontId="68" applyFont="1" fillId="0" applyFill="1" borderId="7" applyBorder="1" xfId="20106" applyProtection="1" applyAlignment="1">
      <alignment vertical="center"/>
      <protection hidden="1"/>
    </xf>
    <xf numFmtId="41" applyNumberFormat="1" fontId="68" applyFont="1" fillId="0" applyFill="1" borderId="8" applyBorder="1" xfId="1150" applyProtection="1" applyAlignment="1">
      <alignment vertical="center"/>
      <protection hidden="1"/>
    </xf>
    <xf numFmtId="41" applyNumberFormat="1" fontId="68" applyFont="1" fillId="0" applyFill="1" borderId="8" applyBorder="1" xfId="952" applyProtection="1" applyAlignment="1">
      <alignment vertical="center"/>
    </xf>
    <xf numFmtId="254" applyNumberFormat="1" fontId="68" applyFont="1" fillId="0" applyFill="1" borderId="52" applyBorder="1" xfId="1802" applyProtection="1" applyAlignment="1">
      <alignment horizontal="center" vertical="center"/>
    </xf>
    <xf numFmtId="254" applyNumberFormat="1" fontId="68" applyFont="1" fillId="0" applyFill="1" borderId="8" applyBorder="1" xfId="2284" applyProtection="1" applyAlignment="1">
      <alignment horizontal="center" vertical="center"/>
    </xf>
    <xf numFmtId="254" applyNumberFormat="1" fontId="68" applyFont="1" fillId="0" applyFill="1" borderId="20" applyBorder="1" xfId="1802" applyProtection="1" applyAlignment="1">
      <alignment horizontal="center" vertical="center"/>
    </xf>
    <xf numFmtId="0" applyNumberFormat="1" fontId="68" applyFont="1" fillId="0" applyFill="1" borderId="0" applyBorder="1" xfId="952" applyProtection="1" applyAlignment="1">
      <alignment vertical="center"/>
    </xf>
    <xf numFmtId="254" applyNumberFormat="1" fontId="68" applyFont="1" fillId="0" applyFill="1" borderId="43" applyBorder="1" xfId="1802" applyProtection="1" applyAlignment="1">
      <alignment horizontal="center" vertical="center"/>
    </xf>
    <xf numFmtId="41" applyNumberFormat="1" fontId="68" applyFont="1" fillId="0" applyFill="1" borderId="18" applyBorder="1" xfId="1150" applyProtection="1" applyAlignment="1">
      <alignment vertical="center"/>
      <protection hidden="1"/>
    </xf>
    <xf numFmtId="41" applyNumberFormat="1" fontId="68" applyFont="1" fillId="0" applyFill="1" borderId="18" applyBorder="1" xfId="952" applyProtection="1" applyAlignment="1">
      <alignment vertical="center"/>
    </xf>
    <xf numFmtId="254" applyNumberFormat="1" fontId="68" applyFont="1" fillId="0" applyFill="1" borderId="18" applyBorder="1" xfId="2284" applyProtection="1" applyAlignment="1">
      <alignment horizontal="center" vertical="center"/>
    </xf>
    <xf numFmtId="41" applyNumberFormat="1" fontId="69" applyFont="1" fillId="0" applyFill="1" borderId="8" applyBorder="1" xfId="1150" applyProtection="1" applyAlignment="1">
      <alignment vertical="center"/>
      <protection hidden="1"/>
    </xf>
    <xf numFmtId="41" applyNumberFormat="1" fontId="69" applyFont="1" fillId="0" applyFill="1" borderId="8" applyBorder="1" xfId="952" applyProtection="1" applyAlignment="1">
      <alignment vertical="center"/>
    </xf>
    <xf numFmtId="254" applyNumberFormat="1" fontId="69" applyFont="1" fillId="0" applyFill="1" borderId="73" applyBorder="1" xfId="1802" applyProtection="1" applyAlignment="1">
      <alignment horizontal="center" vertical="center"/>
    </xf>
    <xf numFmtId="254" applyNumberFormat="1" fontId="69" applyFont="1" fillId="0" applyFill="1" borderId="8" applyBorder="1" xfId="2284" applyProtection="1" applyAlignment="1">
      <alignment horizontal="center" vertical="center"/>
    </xf>
    <xf numFmtId="254" applyNumberFormat="1" fontId="69" applyFont="1" fillId="0" applyFill="1" borderId="0" applyBorder="1" xfId="952" applyProtection="1" applyAlignment="1">
      <alignment vertical="center"/>
    </xf>
    <xf numFmtId="0" applyNumberFormat="1" fontId="70" applyFont="1" fillId="0" applyFill="1" borderId="0" applyBorder="1" xfId="952" applyProtection="1" applyAlignment="1">
      <alignment vertical="center"/>
    </xf>
    <xf numFmtId="41" applyNumberFormat="1" fontId="69" applyFont="1" fillId="4" applyFill="1" borderId="0" applyBorder="1" xfId="1150" applyProtection="1" applyAlignment="1">
      <alignment vertical="center"/>
      <protection hidden="1"/>
    </xf>
    <xf numFmtId="41" applyNumberFormat="1" fontId="69" applyFont="1" fillId="4" applyFill="1" borderId="0" applyBorder="1" xfId="952" applyProtection="1" applyAlignment="1">
      <alignment vertical="center"/>
    </xf>
    <xf numFmtId="254" applyNumberFormat="1" fontId="69" applyFont="1" fillId="0" applyFill="1" borderId="0" applyBorder="1" xfId="2284" applyProtection="1" applyAlignment="1">
      <alignment horizontal="center" vertical="center"/>
    </xf>
    <xf numFmtId="0" applyNumberFormat="1" fontId="67" applyFont="1" fillId="8" applyFill="1" borderId="68" applyBorder="1" xfId="1655" applyProtection="1" applyAlignment="1">
      <alignment horizontal="center" vertical="center" wrapText="1"/>
      <protection hidden="1"/>
    </xf>
    <xf numFmtId="9" applyNumberFormat="1" fontId="67" applyFont="1" fillId="8" applyFill="1" borderId="68" applyBorder="1" xfId="1084" applyProtection="1" applyAlignment="1">
      <alignment horizontal="center" vertical="center" wrapText="1"/>
    </xf>
    <xf numFmtId="41" applyNumberFormat="1" fontId="67" applyFont="1" fillId="8" applyFill="1" borderId="68" applyBorder="1" xfId="7450" applyProtection="1" applyAlignment="1">
      <alignment horizontal="center" vertical="center" wrapText="1"/>
      <protection hidden="1"/>
    </xf>
    <xf numFmtId="41" applyNumberFormat="1" fontId="71" applyFont="1" fillId="8" applyFill="1" borderId="68" applyBorder="1" xfId="7450" applyProtection="1" applyAlignment="1">
      <alignment horizontal="center" vertical="center" wrapText="1"/>
      <protection hidden="1"/>
    </xf>
    <xf numFmtId="41" applyNumberFormat="1" fontId="71" applyFont="1" fillId="8" applyFill="1" borderId="74" applyBorder="1" xfId="7450" applyProtection="1" applyAlignment="1">
      <alignment horizontal="center" vertical="center" wrapText="1"/>
      <protection hidden="1"/>
    </xf>
    <xf numFmtId="219" applyNumberFormat="1" fontId="68" applyFont="1" fillId="0" applyFill="1" borderId="13" applyBorder="1" xfId="20106" applyProtection="1" applyAlignment="1">
      <alignment horizontal="center" vertical="center"/>
      <protection hidden="1"/>
    </xf>
    <xf numFmtId="219" applyNumberFormat="1" fontId="68" applyFont="1" fillId="0" applyFill="1" borderId="0" applyBorder="1" xfId="7145" applyProtection="1" applyAlignment="1">
      <alignment vertical="center"/>
    </xf>
    <xf numFmtId="254" applyNumberFormat="1" fontId="72" applyFont="1" fillId="0" applyFill="1" borderId="0" applyBorder="1" xfId="952" applyProtection="1" applyAlignment="1">
      <alignment vertical="center"/>
    </xf>
    <xf numFmtId="254" applyNumberFormat="1" fontId="73" applyFont="1" fillId="0" applyFill="1" borderId="0" applyBorder="1" xfId="952" applyProtection="1" applyAlignment="1">
      <alignment vertical="center"/>
    </xf>
    <xf numFmtId="0" applyNumberFormat="1" fontId="68" applyFont="1" fillId="16" applyFill="1" borderId="13" applyBorder="1" xfId="2284" applyProtection="1" applyAlignment="1">
      <alignment horizontal="center" vertical="center"/>
    </xf>
    <xf numFmtId="0" applyNumberFormat="1" fontId="68" applyFont="1" fillId="16" applyFill="1" borderId="18" applyBorder="1" xfId="952" applyProtection="1" applyAlignment="1">
      <alignment horizontal="left" vertical="center"/>
    </xf>
    <xf numFmtId="0" applyNumberFormat="1" fontId="68" applyFont="1" fillId="16" applyFill="1" borderId="13" applyBorder="1" xfId="952" applyProtection="1" applyAlignment="1">
      <alignment horizontal="center" vertical="center"/>
    </xf>
    <xf numFmtId="0" applyNumberFormat="1" fontId="68" applyFont="1" fillId="16" applyFill="1" borderId="18" applyBorder="1" xfId="952" applyProtection="1" applyAlignment="1">
      <alignment horizontal="center" vertical="center"/>
    </xf>
    <xf numFmtId="219" applyNumberFormat="1" fontId="68" applyFont="1" fillId="16" applyFill="1" borderId="18" applyBorder="1" xfId="7145" applyProtection="1" applyAlignment="1">
      <alignment horizontal="left" vertical="center"/>
    </xf>
    <xf numFmtId="0" applyNumberFormat="1" fontId="69" applyFont="1" fillId="13" applyFill="1" borderId="13" applyBorder="1" xfId="2284" applyProtection="1" applyAlignment="1">
      <alignment horizontal="center" vertical="center"/>
    </xf>
    <xf numFmtId="0" applyNumberFormat="1" fontId="69" applyFont="1" fillId="13" applyFill="1" borderId="18" applyBorder="1" xfId="952" applyProtection="1" applyAlignment="1">
      <alignment horizontal="left" vertical="center"/>
    </xf>
    <xf numFmtId="0" applyNumberFormat="1" fontId="69" applyFont="1" fillId="13" applyFill="1" borderId="13" applyBorder="1" xfId="952" applyProtection="1" applyAlignment="1">
      <alignment horizontal="center" vertical="center"/>
    </xf>
    <xf numFmtId="0" applyNumberFormat="1" fontId="69" applyFont="1" fillId="13" applyFill="1" borderId="18" applyBorder="1" xfId="952" applyProtection="1" applyAlignment="1">
      <alignment horizontal="center" vertical="center"/>
    </xf>
    <xf numFmtId="219" applyNumberFormat="1" fontId="69" applyFont="1" fillId="13" applyFill="1" borderId="18" applyBorder="1" xfId="7145" applyProtection="1" applyAlignment="1">
      <alignment horizontal="left" vertical="center"/>
    </xf>
    <xf numFmtId="0" applyNumberFormat="1" fontId="69" applyFont="1" fillId="13" applyFill="1" borderId="13" applyBorder="1" xfId="952" applyProtection="1" applyAlignment="1">
      <alignment horizontal="left" vertical="center"/>
    </xf>
    <xf numFmtId="0" applyNumberFormat="1" fontId="68" applyFont="1" fillId="5" applyFill="1" borderId="18" applyBorder="1" xfId="952" applyProtection="1" applyAlignment="1">
      <alignment horizontal="center" vertical="center"/>
    </xf>
    <xf numFmtId="0" applyNumberFormat="1" fontId="68" applyFont="1" fillId="5" applyFill="1" borderId="13" applyBorder="1" xfId="952" applyProtection="1" applyAlignment="1">
      <alignment horizontal="left" vertical="center"/>
    </xf>
    <xf numFmtId="0" applyNumberFormat="1" fontId="68" applyFont="1" fillId="5" applyFill="1" borderId="13" applyBorder="1" xfId="952" applyProtection="1" applyAlignment="1">
      <alignment horizontal="center" vertical="center"/>
    </xf>
    <xf numFmtId="219" applyNumberFormat="1" fontId="70" applyFont="1" fillId="5" applyFill="1" borderId="18" applyBorder="1" xfId="7145" applyProtection="1" applyAlignment="1">
      <alignment horizontal="left" vertical="center"/>
    </xf>
    <xf numFmtId="0" applyNumberFormat="1" fontId="64" applyFont="1" fillId="0" applyFill="1" borderId="32" applyBorder="1" xfId="952" applyProtection="1" applyAlignment="1">
      <alignment horizontal="center" vertical="center"/>
    </xf>
    <xf numFmtId="219" applyNumberFormat="1" fontId="64" applyFont="1" fillId="0" applyFill="1" borderId="32" applyBorder="1" xfId="7145" applyProtection="1" applyAlignment="1">
      <alignment vertical="center"/>
    </xf>
    <xf numFmtId="0" applyNumberFormat="1" fontId="65" applyFont="1" fillId="0" applyFill="1" borderId="0" applyBorder="1" xfId="952" applyProtection="1" applyAlignment="1">
      <alignment vertical="center"/>
    </xf>
    <xf numFmtId="219" applyNumberFormat="1" fontId="64" applyFont="1" fillId="0" applyFill="1" borderId="0" applyBorder="1" xfId="7145" applyProtection="1" applyAlignment="1">
      <alignment vertical="center"/>
    </xf>
    <xf numFmtId="219" applyNumberFormat="1" fontId="64" applyFont="1" fillId="0" applyFill="1" borderId="80" applyBorder="1" xfId="7145" applyProtection="1" applyAlignment="1">
      <alignment vertical="center"/>
    </xf>
    <xf numFmtId="0" applyNumberFormat="1" fontId="64" applyFont="1" fillId="0" applyFill="1" borderId="0" applyBorder="1" xfId="952" applyProtection="1" applyAlignment="1">
      <alignment horizontal="center" vertical="center"/>
    </xf>
    <xf numFmtId="219" applyNumberFormat="1" fontId="64" applyFont="1" fillId="0" applyFill="1" borderId="0" applyBorder="1" xfId="7145" applyProtection="1" applyAlignment="1">
      <alignment vertical="center"/>
    </xf>
    <xf numFmtId="219" applyNumberFormat="1" fontId="68" applyFont="1" fillId="16" applyFill="1" borderId="13" applyBorder="1" xfId="20106" applyProtection="1" applyAlignment="1">
      <alignment vertical="center"/>
    </xf>
    <xf numFmtId="219" applyNumberFormat="1" fontId="68" applyFont="1" fillId="16" applyFill="1" borderId="13" applyBorder="1" xfId="20106" applyProtection="1" applyAlignment="1">
      <alignment vertical="center"/>
      <protection hidden="1"/>
    </xf>
    <xf numFmtId="219" applyNumberFormat="1" fontId="69" applyFont="1" fillId="13" applyFill="1" borderId="13" applyBorder="1" xfId="20106" applyProtection="1" applyAlignment="1">
      <alignment vertical="center"/>
    </xf>
    <xf numFmtId="219" applyNumberFormat="1" fontId="69" applyFont="1" fillId="13" applyFill="1" borderId="13" applyBorder="1" xfId="20106" applyProtection="1" applyAlignment="1">
      <alignment vertical="center"/>
      <protection hidden="1"/>
    </xf>
    <xf numFmtId="219" applyNumberFormat="1" fontId="70" applyFont="1" fillId="5" applyFill="1" borderId="13" applyBorder="1" xfId="20106" applyProtection="1" applyAlignment="1">
      <alignment vertical="center"/>
    </xf>
    <xf numFmtId="219" applyNumberFormat="1" fontId="50" applyFont="1" fillId="5" applyFill="1" borderId="13" applyBorder="1" xfId="20106" applyProtection="1" applyAlignment="1">
      <alignment vertical="center"/>
      <protection hidden="1"/>
    </xf>
    <xf numFmtId="219" applyNumberFormat="1" fontId="68" applyFont="1" fillId="5" applyFill="1" borderId="13" applyBorder="1" xfId="20106" applyProtection="1" applyAlignment="1">
      <alignment vertical="center"/>
      <protection hidden="1"/>
    </xf>
    <xf numFmtId="41" applyNumberFormat="1" fontId="68" applyFont="1" fillId="16" applyFill="1" borderId="13" applyBorder="1" xfId="1150" applyProtection="1" applyAlignment="1">
      <alignment vertical="center"/>
      <protection hidden="1"/>
    </xf>
    <xf numFmtId="41" applyNumberFormat="1" fontId="68" applyFont="1" fillId="16" applyFill="1" borderId="13" applyBorder="1" xfId="952" applyProtection="1" applyAlignment="1">
      <alignment vertical="center"/>
    </xf>
    <xf numFmtId="254" applyNumberFormat="1" fontId="68" applyFont="1" fillId="16" applyFill="1" borderId="43" applyBorder="1" xfId="1802" applyProtection="1" applyAlignment="1">
      <alignment horizontal="center" vertical="center"/>
    </xf>
    <xf numFmtId="254" applyNumberFormat="1" fontId="68" applyFont="1" fillId="16" applyFill="1" borderId="13" applyBorder="1" xfId="2284" applyProtection="1" applyAlignment="1">
      <alignment horizontal="center" vertical="center"/>
    </xf>
    <xf numFmtId="254" applyNumberFormat="1" fontId="72" applyFont="1" fillId="16" applyFill="1" borderId="0" applyBorder="1" xfId="952" applyProtection="1" applyAlignment="1">
      <alignment vertical="center"/>
    </xf>
    <xf numFmtId="254" applyNumberFormat="1" fontId="68" applyFont="1" fillId="16" applyFill="1" borderId="0" applyBorder="1" xfId="952" applyProtection="1" applyAlignment="1">
      <alignment vertical="center"/>
    </xf>
    <xf numFmtId="41" applyNumberFormat="1" fontId="69" applyFont="1" fillId="13" applyFill="1" borderId="13" applyBorder="1" xfId="1150" applyProtection="1" applyAlignment="1">
      <alignment vertical="center"/>
      <protection hidden="1"/>
    </xf>
    <xf numFmtId="41" applyNumberFormat="1" fontId="69" applyFont="1" fillId="13" applyFill="1" borderId="13" applyBorder="1" xfId="952" applyProtection="1" applyAlignment="1">
      <alignment vertical="center"/>
    </xf>
    <xf numFmtId="254" applyNumberFormat="1" fontId="69" applyFont="1" fillId="13" applyFill="1" borderId="43" applyBorder="1" xfId="1802" applyProtection="1" applyAlignment="1">
      <alignment horizontal="center" vertical="center"/>
    </xf>
    <xf numFmtId="254" applyNumberFormat="1" fontId="69" applyFont="1" fillId="13" applyFill="1" borderId="13" applyBorder="1" xfId="2284" applyProtection="1" applyAlignment="1">
      <alignment horizontal="center" vertical="center"/>
    </xf>
    <xf numFmtId="254" applyNumberFormat="1" fontId="69" applyFont="1" fillId="13" applyFill="1" borderId="0" applyBorder="1" xfId="952" applyProtection="1" applyAlignment="1">
      <alignment vertical="center"/>
    </xf>
    <xf numFmtId="254" applyNumberFormat="1" fontId="69" applyFont="1" fillId="13" applyFill="1" borderId="20" applyBorder="1" xfId="1802" applyProtection="1" applyAlignment="1">
      <alignment horizontal="center" vertical="center"/>
    </xf>
    <xf numFmtId="41" applyNumberFormat="1" fontId="68" applyFont="1" fillId="5" applyFill="1" borderId="13" applyBorder="1" xfId="1150" applyProtection="1" applyAlignment="1">
      <alignment vertical="center"/>
      <protection hidden="1"/>
    </xf>
    <xf numFmtId="41" applyNumberFormat="1" fontId="68" applyFont="1" fillId="5" applyFill="1" borderId="13" applyBorder="1" xfId="952" applyProtection="1" applyAlignment="1">
      <alignment vertical="center"/>
    </xf>
    <xf numFmtId="254" applyNumberFormat="1" fontId="68" applyFont="1" fillId="5" applyFill="1" borderId="20" applyBorder="1" xfId="1802" applyProtection="1" applyAlignment="1">
      <alignment horizontal="center" vertical="center"/>
    </xf>
    <xf numFmtId="254" applyNumberFormat="1" fontId="68" applyFont="1" fillId="5" applyFill="1" borderId="13" applyBorder="1" xfId="2284" applyProtection="1" applyAlignment="1">
      <alignment horizontal="center" vertical="center"/>
    </xf>
    <xf numFmtId="254" applyNumberFormat="1" fontId="70" applyFont="1" fillId="5" applyFill="1" borderId="0" applyBorder="1" xfId="952" applyProtection="1" applyAlignment="1">
      <alignment vertical="center"/>
    </xf>
    <xf numFmtId="254" applyNumberFormat="1" fontId="68" applyFont="1" fillId="5" applyFill="1" borderId="0" applyBorder="1" xfId="952" applyProtection="1" applyAlignment="1">
      <alignment vertical="center"/>
    </xf>
    <xf numFmtId="0" applyNumberFormat="1" fontId="69" applyFont="1" fillId="0" applyFill="1" borderId="0" applyBorder="1" xfId="2284" applyProtection="1" applyAlignment="1">
      <alignment vertical="center"/>
    </xf>
    <xf numFmtId="41" applyNumberFormat="1" fontId="69" applyFont="1" fillId="0" applyFill="1" borderId="61" applyBorder="1" xfId="952" applyProtection="1" applyAlignment="1">
      <alignment horizontal="center" vertical="center"/>
    </xf>
    <xf numFmtId="41" applyNumberFormat="1" fontId="69" applyFont="1" fillId="0" applyFill="1" borderId="0" applyBorder="1" xfId="952" applyProtection="1" applyAlignment="1">
      <alignment horizontal="center" vertical="center"/>
    </xf>
    <xf numFmtId="0" applyNumberFormat="1" fontId="64" applyFont="1" fillId="0" applyFill="1" borderId="0" applyBorder="1" xfId="2284" applyProtection="1" applyAlignment="1">
      <alignment horizontal="center" vertical="center"/>
    </xf>
    <xf numFmtId="0" applyNumberFormat="1" fontId="64" applyFont="1" fillId="0" applyFill="1" borderId="0" applyBorder="1" xfId="952" applyProtection="1" applyAlignment="1">
      <alignment horizontal="center" vertical="center"/>
    </xf>
    <xf numFmtId="219" applyNumberFormat="1" fontId="64" applyFont="1" fillId="0" applyFill="1" borderId="0" applyBorder="1" xfId="7145" applyProtection="1" applyAlignment="1">
      <alignment horizontal="center" vertical="center"/>
    </xf>
    <xf numFmtId="0" applyNumberFormat="1" fontId="64" applyFont="1" fillId="0" applyFill="1" borderId="0" applyBorder="1" xfId="952" applyProtection="1" applyAlignment="1">
      <alignment vertical="center"/>
    </xf>
    <xf numFmtId="0" applyNumberFormat="1" fontId="64" applyFont="1" fillId="0" applyFill="1" borderId="0" applyBorder="1" xfId="952" applyProtection="1" applyAlignment="1">
      <alignment horizontal="left" vertical="center"/>
    </xf>
    <xf numFmtId="219" applyNumberFormat="1" fontId="64" applyFont="1" fillId="0" applyFill="1" borderId="0" applyBorder="1" xfId="7145" applyProtection="1" applyAlignment="1">
      <alignment horizontal="center" vertical="center"/>
    </xf>
    <xf numFmtId="41" applyNumberFormat="1" fontId="65" applyFont="1" fillId="0" applyFill="1" borderId="0" applyBorder="1" xfId="952" applyProtection="1" applyAlignment="1">
      <alignment vertical="center"/>
    </xf>
    <xf numFmtId="0" applyNumberFormat="1" fontId="64" applyFont="1" fillId="0" applyFill="1" borderId="0" applyBorder="1" xfId="2284" applyProtection="1" applyAlignment="1">
      <alignment vertical="center"/>
    </xf>
    <xf numFmtId="41" applyNumberFormat="1" fontId="64" applyFont="1" fillId="0" applyFill="1" borderId="0" applyBorder="1" xfId="952" applyProtection="1" applyAlignment="1">
      <alignment vertical="center"/>
    </xf>
    <xf numFmtId="219" applyNumberFormat="1" fontId="64" applyFont="1" fillId="0" applyFill="1" borderId="0" applyBorder="1" xfId="2284" applyProtection="1" applyAlignment="1">
      <alignment vertical="center"/>
    </xf>
    <xf numFmtId="41" applyNumberFormat="1" fontId="65" applyFont="1" fillId="0" applyFill="1" borderId="0" applyBorder="1" xfId="952" applyProtection="1" applyAlignment="1">
      <alignment horizontal="center" vertical="center"/>
    </xf>
    <xf numFmtId="0" applyNumberFormat="1" fontId="69" applyFont="1" fillId="0" applyFill="1" borderId="0" applyBorder="1" xfId="952" applyProtection="1" applyAlignment="1">
      <alignment vertical="center"/>
    </xf>
    <xf numFmtId="219" applyNumberFormat="1" fontId="74" applyFont="1" fillId="0" applyFill="1" borderId="0" applyBorder="1" xfId="7145" applyProtection="1" applyAlignment="1">
      <alignment horizontal="left" vertical="center"/>
    </xf>
    <xf numFmtId="0" applyNumberFormat="1" fontId="49" applyFont="1" fillId="14" applyFill="1" borderId="28" applyBorder="1" xfId="952" applyProtection="1" applyAlignment="1">
      <alignment horizontal="center" vertical="center"/>
    </xf>
    <xf numFmtId="0" applyNumberFormat="1" fontId="49" applyFont="1" fillId="14" applyFill="1" borderId="13" applyBorder="1" xfId="952" applyProtection="1" applyAlignment="1">
      <alignment horizontal="left" vertical="center"/>
    </xf>
    <xf numFmtId="0" applyNumberFormat="1" fontId="49" applyFont="1" fillId="14" applyFill="1" borderId="81" applyBorder="1" xfId="2284" applyProtection="1" applyAlignment="1">
      <alignment horizontal="center" vertical="center"/>
    </xf>
    <xf numFmtId="0" applyNumberFormat="1" fontId="49" applyFont="1" fillId="14" applyFill="1" borderId="82" applyBorder="1" xfId="2284" applyProtection="1" applyAlignment="1">
      <alignment horizontal="center" vertical="center"/>
    </xf>
    <xf numFmtId="0" applyNumberFormat="1" fontId="49" applyFont="1" fillId="14" applyFill="1" borderId="83" applyBorder="1" xfId="2284" applyProtection="1" applyAlignment="1">
      <alignment horizontal="center" vertical="center"/>
    </xf>
    <xf numFmtId="219" applyNumberFormat="1" fontId="6" applyFont="1" fillId="4" applyFill="1" borderId="51" applyBorder="1" xfId="7145" applyProtection="1" applyAlignment="1">
      <alignment vertical="center"/>
    </xf>
    <xf numFmtId="219" applyNumberFormat="1" fontId="49" applyFont="1" fillId="14" applyFill="1" borderId="12" applyBorder="1" xfId="20106" applyProtection="1" applyAlignment="1">
      <alignment vertical="center"/>
      <protection hidden="1"/>
    </xf>
    <xf numFmtId="219" applyNumberFormat="1" fontId="49" applyFont="1" fillId="14" applyFill="1" borderId="11" applyBorder="1" xfId="20106" applyProtection="1" applyAlignment="1">
      <alignment vertical="center"/>
      <protection hidden="1"/>
    </xf>
    <xf numFmtId="219" applyNumberFormat="1" fontId="49" applyFont="1" fillId="14" applyFill="1" borderId="20" applyBorder="1" xfId="20106" applyProtection="1" applyAlignment="1">
      <alignment vertical="center"/>
      <protection hidden="1"/>
    </xf>
    <xf numFmtId="41" applyNumberFormat="1" fontId="49" applyFont="1" fillId="14" applyFill="1" borderId="13" applyBorder="1" xfId="1150" applyProtection="1" applyAlignment="1">
      <alignment vertical="center"/>
      <protection hidden="1"/>
    </xf>
    <xf numFmtId="41" applyNumberFormat="1" fontId="49" applyFont="1" fillId="14" applyFill="1" borderId="13" applyBorder="1" xfId="952" applyProtection="1" applyAlignment="1">
      <alignment vertical="center"/>
    </xf>
    <xf numFmtId="254" applyNumberFormat="1" fontId="49" applyFont="1" fillId="14" applyFill="1" borderId="12" applyBorder="1" xfId="2284" applyProtection="1" applyAlignment="1">
      <alignment horizontal="center" vertical="center"/>
    </xf>
    <xf numFmtId="0" applyNumberFormat="1" fontId="49" applyFont="1" fillId="0" applyFill="1" borderId="81" applyBorder="1" xfId="2284" applyProtection="1" applyAlignment="1">
      <alignment horizontal="center" vertical="center"/>
    </xf>
    <xf numFmtId="0" applyNumberFormat="1" fontId="49" applyFont="1" fillId="0" applyFill="1" borderId="82" applyBorder="1" xfId="2284" applyProtection="1" applyAlignment="1">
      <alignment horizontal="center" vertical="center"/>
    </xf>
    <xf numFmtId="0" applyNumberFormat="1" fontId="49" applyFont="1" fillId="0" applyFill="1" borderId="83" applyBorder="1" xfId="2284" applyProtection="1" applyAlignment="1">
      <alignment horizontal="center" vertical="center"/>
    </xf>
    <xf numFmtId="219" applyNumberFormat="1" fontId="75" applyFont="1" fillId="0" applyFill="1" borderId="13" applyBorder="1" xfId="20106" applyProtection="1" applyAlignment="1">
      <alignment vertical="center"/>
      <protection hidden="1"/>
    </xf>
    <xf numFmtId="219" applyNumberFormat="1" fontId="29" applyFont="1" fillId="19" applyFill="1" borderId="12" applyBorder="1" xfId="20106" applyProtection="1" applyAlignment="1">
      <alignment vertical="center"/>
      <protection hidden="1"/>
    </xf>
    <xf numFmtId="219" applyNumberFormat="1" fontId="49" applyFont="1" fillId="0" applyFill="1" borderId="11" applyBorder="1" xfId="20106" applyProtection="1" applyAlignment="1">
      <alignment vertical="center"/>
      <protection hidden="1"/>
    </xf>
    <xf numFmtId="219" applyNumberFormat="1" fontId="52" applyFont="1" fillId="0" applyFill="1" borderId="12" applyBorder="1" xfId="20106" applyProtection="1" applyAlignment="1">
      <alignment vertical="center"/>
      <protection hidden="1"/>
    </xf>
    <xf numFmtId="219" applyNumberFormat="1" fontId="52" applyFont="1" fillId="0" applyFill="1" borderId="13" applyBorder="1" xfId="20106" applyProtection="1" applyAlignment="1">
      <alignment vertical="center"/>
      <protection hidden="1"/>
    </xf>
    <xf numFmtId="219" applyNumberFormat="1" fontId="49" applyFont="1" fillId="0" applyFill="1" borderId="20" applyBorder="1" xfId="20106" applyProtection="1" applyAlignment="1">
      <alignment vertical="center"/>
      <protection hidden="1"/>
    </xf>
    <xf numFmtId="254" applyNumberFormat="1" fontId="49" applyFont="1" fillId="0" applyFill="1" borderId="12" applyBorder="1" xfId="2284" applyProtection="1" applyAlignment="1">
      <alignment horizontal="center" vertical="center"/>
    </xf>
    <xf numFmtId="0" applyNumberFormat="1" fontId="38" applyFont="1" fillId="13" applyFill="1" borderId="0" applyBorder="1" xfId="0" applyProtection="1"/>
    <xf numFmtId="0" applyNumberFormat="1" fontId="38" applyFont="1" fillId="0" applyFill="1" borderId="0" applyBorder="1" xfId="0" applyProtection="1"/>
    <xf numFmtId="0" applyNumberFormat="1" fontId="50" applyFont="1" fillId="0" applyFill="1" borderId="13" applyBorder="1" xfId="952" applyProtection="1" applyAlignment="1">
      <alignment horizontal="left" vertical="center"/>
    </xf>
    <xf numFmtId="0" applyNumberFormat="1" fontId="29" applyFont="1" fillId="0" applyFill="1" borderId="29" applyBorder="1" xfId="2284" applyProtection="1" applyAlignment="1">
      <alignment horizontal="center" vertical="center"/>
    </xf>
    <xf numFmtId="0" applyNumberFormat="1" fontId="75" applyFont="1" fillId="0" applyFill="1" borderId="28" applyBorder="1" xfId="952" applyProtection="1" applyAlignment="1">
      <alignment horizontal="center" vertical="center"/>
    </xf>
    <xf numFmtId="0" applyNumberFormat="1" fontId="75" applyFont="1" fillId="0" applyFill="1" borderId="13" applyBorder="1" xfId="2284" applyProtection="1" applyAlignment="1">
      <alignment horizontal="center" vertical="center"/>
    </xf>
    <xf numFmtId="0" applyNumberFormat="1" fontId="75" applyFont="1" fillId="0" applyFill="1" borderId="13" applyBorder="1" xfId="952" applyProtection="1" applyAlignment="1">
      <alignment horizontal="left" vertical="center"/>
    </xf>
    <xf numFmtId="0" applyNumberFormat="1" fontId="75" applyFont="1" fillId="0" applyFill="1" borderId="29" applyBorder="1" xfId="2284" applyProtection="1" applyAlignment="1">
      <alignment horizontal="center" vertical="center"/>
    </xf>
    <xf numFmtId="0" applyNumberFormat="1" fontId="75" applyFont="1" fillId="0" applyFill="1" borderId="24" applyBorder="1" xfId="2284" applyProtection="1" applyAlignment="1">
      <alignment horizontal="center" vertical="center"/>
    </xf>
    <xf numFmtId="219" applyNumberFormat="1" fontId="75" applyFont="1" fillId="0" applyFill="1" borderId="30" applyBorder="1" xfId="7145" applyProtection="1" applyAlignment="1">
      <alignment horizontal="left" vertical="center"/>
    </xf>
    <xf numFmtId="219" applyNumberFormat="1" fontId="75" applyFont="1" fillId="0" applyFill="1" borderId="13" applyBorder="1" xfId="7145" applyProtection="1" applyAlignment="1">
      <alignment horizontal="left" vertical="center"/>
    </xf>
    <xf numFmtId="0" applyNumberFormat="1" fontId="75" applyFont="1" fillId="14" applyFill="1" borderId="28" applyBorder="1" xfId="952" applyProtection="1" applyAlignment="1">
      <alignment horizontal="center" vertical="center"/>
    </xf>
    <xf numFmtId="0" applyNumberFormat="1" fontId="75" applyFont="1" fillId="14" applyFill="1" borderId="13" applyBorder="1" xfId="2284" applyProtection="1" applyAlignment="1">
      <alignment horizontal="center" vertical="center"/>
    </xf>
    <xf numFmtId="0" applyNumberFormat="1" fontId="75" applyFont="1" fillId="14" applyFill="1" borderId="13" applyBorder="1" xfId="952" applyProtection="1" applyAlignment="1">
      <alignment horizontal="left" vertical="center"/>
    </xf>
    <xf numFmtId="0" applyNumberFormat="1" fontId="75" applyFont="1" fillId="14" applyFill="1" borderId="29" applyBorder="1" xfId="2284" applyProtection="1" applyAlignment="1">
      <alignment horizontal="center" vertical="center"/>
    </xf>
    <xf numFmtId="0" applyNumberFormat="1" fontId="75" applyFont="1" fillId="14" applyFill="1" borderId="24" applyBorder="1" xfId="2284" applyProtection="1" applyAlignment="1">
      <alignment horizontal="center" vertical="center"/>
    </xf>
    <xf numFmtId="219" applyNumberFormat="1" fontId="75" applyFont="1" fillId="14" applyFill="1" borderId="30" applyBorder="1" xfId="7145" applyProtection="1" applyAlignment="1">
      <alignment horizontal="left" vertical="center"/>
    </xf>
    <xf numFmtId="219" applyNumberFormat="1" fontId="75" applyFont="1" fillId="14" applyFill="1" borderId="13" applyBorder="1" xfId="7145" applyProtection="1" applyAlignment="1">
      <alignment horizontal="left" vertical="center"/>
    </xf>
    <xf numFmtId="0" applyNumberFormat="1" fontId="50" applyFont="1" fillId="13" applyFill="1" borderId="13" applyBorder="1" xfId="952" applyProtection="1" applyAlignment="1">
      <alignment horizontal="left" vertical="center"/>
    </xf>
    <xf numFmtId="0" applyNumberFormat="1" fontId="50" applyFont="1" fillId="13" applyFill="1" borderId="29" applyBorder="1" xfId="2284" applyProtection="1" applyAlignment="1">
      <alignment horizontal="center" vertical="center"/>
    </xf>
    <xf numFmtId="0" applyNumberFormat="1" fontId="50" applyFont="1" fillId="13" applyFill="1" borderId="24" applyBorder="1" xfId="2284" applyProtection="1" applyAlignment="1">
      <alignment horizontal="center" vertical="center"/>
    </xf>
    <xf numFmtId="219" applyNumberFormat="1" fontId="50" applyFont="1" fillId="13" applyFill="1" borderId="30" applyBorder="1" xfId="7145" applyProtection="1" applyAlignment="1">
      <alignment horizontal="left" vertical="center"/>
    </xf>
    <xf numFmtId="219" applyNumberFormat="1" fontId="50" applyFont="1" fillId="13" applyFill="1" borderId="13" applyBorder="1" xfId="7145" applyProtection="1" applyAlignment="1">
      <alignment horizontal="left" vertical="center"/>
    </xf>
    <xf numFmtId="0" applyNumberFormat="1" fontId="50" applyFont="1" fillId="0" applyFill="1" borderId="13" applyBorder="1" xfId="2284" applyProtection="1" applyAlignment="1">
      <alignment horizontal="center" vertical="center"/>
    </xf>
    <xf numFmtId="0" applyNumberFormat="1" fontId="50" applyFont="1" fillId="0" applyFill="1" borderId="29" applyBorder="1" xfId="2284" applyProtection="1" applyAlignment="1">
      <alignment horizontal="center" vertical="center"/>
    </xf>
    <xf numFmtId="0" applyNumberFormat="1" fontId="50" applyFont="1" fillId="0" applyFill="1" borderId="24" applyBorder="1" xfId="2284" applyProtection="1" applyAlignment="1">
      <alignment horizontal="center" vertical="center"/>
    </xf>
    <xf numFmtId="219" applyNumberFormat="1" fontId="50" applyFont="1" fillId="0" applyFill="1" borderId="30" applyBorder="1" xfId="7145" applyProtection="1" applyAlignment="1">
      <alignment horizontal="left" vertical="center"/>
    </xf>
    <xf numFmtId="219" applyNumberFormat="1" fontId="50" applyFont="1" fillId="0" applyFill="1" borderId="13" applyBorder="1" xfId="7145" applyProtection="1" applyAlignment="1">
      <alignment horizontal="left" vertical="center"/>
    </xf>
    <xf numFmtId="0" applyNumberFormat="1" fontId="6" applyFont="1" fillId="0" applyFill="1" borderId="0" applyBorder="1" xfId="952" applyProtection="1" applyAlignment="1">
      <alignment horizontal="center" vertical="center"/>
    </xf>
    <xf numFmtId="0" applyNumberFormat="1" fontId="8" applyFont="1" fillId="0" applyFill="1" borderId="0" applyBorder="1" xfId="2284" applyProtection="1" applyAlignment="1">
      <alignment horizontal="center" vertical="center"/>
    </xf>
    <xf numFmtId="0" applyNumberFormat="1" fontId="6" applyFont="1" fillId="0" applyFill="1" borderId="0" applyBorder="1" xfId="2284" applyProtection="1" applyAlignment="1">
      <alignment horizontal="center" vertical="center"/>
    </xf>
    <xf numFmtId="219" applyNumberFormat="1" fontId="75" applyFont="1" fillId="0" applyFill="1" borderId="13" applyBorder="1" xfId="20106" applyProtection="1" applyAlignment="1">
      <alignment vertical="center"/>
    </xf>
    <xf numFmtId="219" applyNumberFormat="1" fontId="75" applyFont="1" fillId="14" applyFill="1" borderId="13" applyBorder="1" xfId="20106" applyProtection="1" applyAlignment="1">
      <alignment vertical="center"/>
    </xf>
    <xf numFmtId="219" applyNumberFormat="1" fontId="75" applyFont="1" fillId="14" applyFill="1" borderId="13" applyBorder="1" xfId="20106" applyProtection="1" applyAlignment="1">
      <alignment vertical="center"/>
      <protection hidden="1"/>
    </xf>
    <xf numFmtId="219" applyNumberFormat="1" fontId="50" applyFont="1" fillId="13" applyFill="1" borderId="13" applyBorder="1" xfId="20106" applyProtection="1" applyAlignment="1">
      <alignment vertical="center"/>
    </xf>
    <xf numFmtId="219" applyNumberFormat="1" fontId="50" applyFont="1" fillId="0" applyFill="1" borderId="13" applyBorder="1" xfId="20106" applyProtection="1" applyAlignment="1">
      <alignment vertical="center"/>
    </xf>
    <xf numFmtId="41" applyNumberFormat="1" fontId="75" applyFont="1" fillId="0" applyFill="1" borderId="13" applyBorder="1" xfId="1150" applyProtection="1" applyAlignment="1">
      <alignment vertical="center"/>
      <protection hidden="1"/>
    </xf>
    <xf numFmtId="41" applyNumberFormat="1" fontId="75" applyFont="1" fillId="0" applyFill="1" borderId="13" applyBorder="1" xfId="952" applyProtection="1" applyAlignment="1">
      <alignment vertical="center"/>
    </xf>
    <xf numFmtId="254" applyNumberFormat="1" fontId="75" applyFont="1" fillId="0" applyFill="1" borderId="18" applyBorder="1" xfId="2284" applyProtection="1" applyAlignment="1">
      <alignment horizontal="center" vertical="center"/>
    </xf>
    <xf numFmtId="254" applyNumberFormat="1" fontId="75" applyFont="1" fillId="0" applyFill="1" borderId="38" applyBorder="1" xfId="2284" applyProtection="1" applyAlignment="1">
      <alignment horizontal="center" vertical="center"/>
    </xf>
    <xf numFmtId="0" applyNumberFormat="1" fontId="50" applyFont="1" fillId="0" applyFill="1" borderId="0" applyBorder="1" xfId="952" applyProtection="1" applyAlignment="1">
      <alignment vertical="center"/>
    </xf>
    <xf numFmtId="0" applyNumberFormat="1" fontId="75" applyFont="1" fillId="0" applyFill="1" borderId="0" applyBorder="1" xfId="952" applyProtection="1" applyAlignment="1">
      <alignment vertical="center"/>
    </xf>
    <xf numFmtId="41" applyNumberFormat="1" fontId="75" applyFont="1" fillId="14" applyFill="1" borderId="13" applyBorder="1" xfId="1150" applyProtection="1" applyAlignment="1">
      <alignment vertical="center"/>
      <protection hidden="1"/>
    </xf>
    <xf numFmtId="41" applyNumberFormat="1" fontId="75" applyFont="1" fillId="14" applyFill="1" borderId="13" applyBorder="1" xfId="952" applyProtection="1" applyAlignment="1">
      <alignment vertical="center"/>
    </xf>
    <xf numFmtId="254" applyNumberFormat="1" fontId="75" applyFont="1" fillId="14" applyFill="1" borderId="18" applyBorder="1" xfId="2284" applyProtection="1" applyAlignment="1">
      <alignment horizontal="center" vertical="center"/>
    </xf>
    <xf numFmtId="254" applyNumberFormat="1" fontId="75" applyFont="1" fillId="14" applyFill="1" borderId="38" applyBorder="1" xfId="2284" applyProtection="1" applyAlignment="1">
      <alignment horizontal="center" vertical="center"/>
    </xf>
    <xf numFmtId="0" applyNumberFormat="1" fontId="75" applyFont="1" fillId="14" applyFill="1" borderId="0" applyBorder="1" xfId="952" applyProtection="1" applyAlignment="1">
      <alignment vertical="center"/>
    </xf>
    <xf numFmtId="41" applyNumberFormat="1" fontId="50" applyFont="1" fillId="13" applyFill="1" borderId="13" applyBorder="1" xfId="1150" applyProtection="1" applyAlignment="1">
      <alignment vertical="center"/>
      <protection hidden="1"/>
    </xf>
    <xf numFmtId="41" applyNumberFormat="1" fontId="50" applyFont="1" fillId="13" applyFill="1" borderId="13" applyBorder="1" xfId="952" applyProtection="1" applyAlignment="1">
      <alignment vertical="center"/>
    </xf>
    <xf numFmtId="254" applyNumberFormat="1" fontId="50" applyFont="1" fillId="13" applyFill="1" borderId="18" applyBorder="1" xfId="2284" applyProtection="1" applyAlignment="1">
      <alignment horizontal="center" vertical="center"/>
    </xf>
    <xf numFmtId="254" applyNumberFormat="1" fontId="50" applyFont="1" fillId="13" applyFill="1" borderId="38" applyBorder="1" xfId="2284" applyProtection="1" applyAlignment="1">
      <alignment horizontal="center" vertical="center"/>
    </xf>
    <xf numFmtId="0" applyNumberFormat="1" fontId="50" applyFont="1" fillId="13" applyFill="1" borderId="0" applyBorder="1" xfId="952" applyProtection="1" applyAlignment="1">
      <alignment vertical="center"/>
    </xf>
    <xf numFmtId="219" applyNumberFormat="1" fontId="50" applyFont="1" fillId="0" applyFill="1" borderId="13" applyBorder="1" xfId="7145" applyProtection="1" applyAlignment="1">
      <alignment vertical="center"/>
      <protection hidden="1"/>
    </xf>
    <xf numFmtId="41" applyNumberFormat="1" fontId="50" applyFont="1" fillId="0" applyFill="1" borderId="13" applyBorder="1" xfId="1150" applyProtection="1" applyAlignment="1">
      <alignment vertical="center"/>
      <protection hidden="1"/>
    </xf>
    <xf numFmtId="41" applyNumberFormat="1" fontId="50" applyFont="1" fillId="0" applyFill="1" borderId="13" applyBorder="1" xfId="952" applyProtection="1" applyAlignment="1">
      <alignment vertical="center"/>
    </xf>
    <xf numFmtId="254" applyNumberFormat="1" fontId="50" applyFont="1" fillId="0" applyFill="1" borderId="18" applyBorder="1" xfId="2284" applyProtection="1" applyAlignment="1">
      <alignment horizontal="center" vertical="center"/>
    </xf>
    <xf numFmtId="254" applyNumberFormat="1" fontId="50" applyFont="1" fillId="0" applyFill="1" borderId="38" applyBorder="1" xfId="2284" applyProtection="1" applyAlignment="1">
      <alignment horizontal="center" vertical="center"/>
    </xf>
    <xf numFmtId="0" applyNumberFormat="1" fontId="76" applyFont="1" fillId="0" applyFill="1" borderId="0" applyBorder="1" xfId="952" applyProtection="1" applyAlignment="1">
      <alignment vertical="center"/>
    </xf>
    <xf numFmtId="0" applyNumberFormat="1" fontId="8" applyFont="1" fillId="0" applyFill="1" borderId="13" applyBorder="1" xfId="952" applyProtection="1" applyAlignment="1">
      <alignment horizontal="left" vertical="center"/>
    </xf>
    <xf numFmtId="0" applyNumberFormat="1" fontId="8" applyFont="1" fillId="15" applyFill="1" borderId="29" applyBorder="1" xfId="2284" applyProtection="1" applyAlignment="1">
      <alignment horizontal="center" vertical="center"/>
    </xf>
    <xf numFmtId="219" applyNumberFormat="1" fontId="8" applyFont="1" fillId="0" applyFill="1" borderId="30" applyBorder="1" xfId="7145" applyProtection="1" applyAlignment="1">
      <alignment horizontal="left" vertical="center"/>
    </xf>
    <xf numFmtId="219" applyNumberFormat="1" fontId="57" applyFont="1" fillId="0" applyFill="1" borderId="13" applyBorder="1" xfId="7145" applyProtection="1" applyAlignment="1">
      <alignment horizontal="left" vertical="center"/>
    </xf>
    <xf numFmtId="0" applyNumberFormat="1" fontId="29" applyFont="1" fillId="14" applyFill="1" borderId="28" applyBorder="1" xfId="952" applyProtection="1" applyAlignment="1">
      <alignment horizontal="center" vertical="center"/>
    </xf>
    <xf numFmtId="0" applyNumberFormat="1" fontId="29" applyFont="1" fillId="14" applyFill="1" borderId="13" applyBorder="1" xfId="952" applyProtection="1" applyAlignment="1">
      <alignment horizontal="left" vertical="center"/>
    </xf>
    <xf numFmtId="0" applyNumberFormat="1" fontId="29" applyFont="1" fillId="20" applyFill="1" borderId="29" applyBorder="1" xfId="2284" applyProtection="1" applyAlignment="1">
      <alignment horizontal="center" vertical="center"/>
    </xf>
    <xf numFmtId="0" applyNumberFormat="1" fontId="29" applyFont="1" fillId="20" applyFill="1" borderId="24" applyBorder="1" xfId="2284" applyProtection="1" applyAlignment="1">
      <alignment horizontal="center" vertical="center"/>
    </xf>
    <xf numFmtId="219" applyNumberFormat="1" fontId="51" applyFont="1" fillId="14" applyFill="1" borderId="30" applyBorder="1" xfId="7145" applyProtection="1" applyAlignment="1">
      <alignment horizontal="left" vertical="center"/>
    </xf>
    <xf numFmtId="0" applyNumberFormat="1" fontId="29" applyFont="1" fillId="13" applyFill="1" borderId="13" applyBorder="1" xfId="952" applyProtection="1" applyAlignment="1">
      <alignment horizontal="left" vertical="center"/>
    </xf>
    <xf numFmtId="0" applyNumberFormat="1" fontId="29" applyFont="1" fillId="21" applyFill="1" borderId="29" applyBorder="1" xfId="2284" applyProtection="1" applyAlignment="1">
      <alignment horizontal="center" vertical="center"/>
    </xf>
    <xf numFmtId="0" applyNumberFormat="1" fontId="29" applyFont="1" fillId="21" applyFill="1" borderId="24" applyBorder="1" xfId="2284" applyProtection="1" applyAlignment="1">
      <alignment horizontal="center" vertical="center"/>
    </xf>
    <xf numFmtId="219" applyNumberFormat="1" fontId="51" applyFont="1" fillId="13" applyFill="1" borderId="30" applyBorder="1" xfId="7145" applyProtection="1" applyAlignment="1">
      <alignment horizontal="left" vertical="center"/>
    </xf>
    <xf numFmtId="219" applyNumberFormat="1" fontId="29" applyFont="1" fillId="4" applyFill="1" borderId="13" applyBorder="1" xfId="20106" applyProtection="1" applyAlignment="1">
      <alignment vertical="center"/>
      <protection hidden="1"/>
    </xf>
    <xf numFmtId="219" applyNumberFormat="1" fontId="29" applyFont="1" fillId="14" applyFill="1" borderId="13" applyBorder="1" xfId="20106" applyProtection="1" applyAlignment="1">
      <alignment vertical="center"/>
      <protection hidden="1"/>
    </xf>
    <xf numFmtId="0" applyNumberFormat="1" fontId="77" applyFont="1" fillId="0" applyFill="1" borderId="0" applyBorder="1" xfId="952" applyProtection="1" applyAlignment="1">
      <alignment vertical="center"/>
    </xf>
    <xf numFmtId="0" applyNumberFormat="1" fontId="15" applyFont="1" fillId="13" applyFill="1" borderId="0" applyBorder="1" xfId="0" applyProtection="1"/>
    <xf numFmtId="0" applyNumberFormat="1" fontId="10" applyFont="1" fillId="0" applyFill="1" borderId="85" applyBorder="1" xfId="2076" applyProtection="1" applyAlignment="1">
      <alignment horizontal="left" vertical="center"/>
    </xf>
    <xf numFmtId="0" applyNumberFormat="1" fontId="6" applyFont="1" fillId="0" applyFill="1" borderId="75" applyBorder="1" xfId="952" applyProtection="1" applyAlignment="1">
      <alignment horizontal="center" vertical="center"/>
    </xf>
    <xf numFmtId="0" applyNumberFormat="1" fontId="6" applyFont="1" fillId="0" applyFill="1" borderId="76" applyBorder="1" xfId="952" applyProtection="1" applyAlignment="1">
      <alignment horizontal="center" vertical="center"/>
    </xf>
    <xf numFmtId="0" applyNumberFormat="1" fontId="49" applyFont="1" fillId="0" applyFill="1" borderId="29" applyBorder="1" xfId="2284" applyProtection="1" applyAlignment="1">
      <alignment horizontal="center" vertical="center"/>
    </xf>
    <xf numFmtId="0" applyNumberFormat="1" fontId="49" applyFont="1" fillId="5" applyFill="1" borderId="13" applyBorder="1" xfId="2284" applyProtection="1" applyAlignment="1">
      <alignment horizontal="center" vertical="center"/>
    </xf>
    <xf numFmtId="0" applyNumberFormat="1" fontId="49" applyFont="1" fillId="5" applyFill="1" borderId="13" applyBorder="1" xfId="952" applyProtection="1" applyAlignment="1">
      <alignment horizontal="left" vertical="center"/>
    </xf>
    <xf numFmtId="0" applyNumberFormat="1" fontId="49" applyFont="1" fillId="5" applyFill="1" borderId="29" applyBorder="1" xfId="2284" applyProtection="1" applyAlignment="1">
      <alignment horizontal="center" vertical="center"/>
    </xf>
    <xf numFmtId="0" applyNumberFormat="1" fontId="49" applyFont="1" fillId="5" applyFill="1" borderId="24" applyBorder="1" xfId="2284" applyProtection="1" applyAlignment="1">
      <alignment horizontal="center" vertical="center"/>
    </xf>
    <xf numFmtId="219" applyNumberFormat="1" fontId="49" applyFont="1" fillId="5" applyFill="1" borderId="24" applyBorder="1" xfId="7145" applyProtection="1" applyAlignment="1">
      <alignment horizontal="left" vertical="center"/>
    </xf>
    <xf numFmtId="219" applyNumberFormat="1" fontId="49" applyFont="1" fillId="5" applyFill="1" borderId="0" applyBorder="1" xfId="7145" applyProtection="1" applyAlignment="1">
      <alignment horizontal="left" vertical="center"/>
    </xf>
    <xf numFmtId="0" applyNumberFormat="1" fontId="75" applyFont="1" fillId="5" applyFill="1" borderId="13" applyBorder="1" xfId="952" applyProtection="1" applyAlignment="1">
      <alignment horizontal="left" vertical="center"/>
    </xf>
    <xf numFmtId="219" applyNumberFormat="1" fontId="49" applyFont="1" fillId="5" applyFill="1" borderId="30" applyBorder="1" xfId="7145" applyProtection="1" applyAlignment="1">
      <alignment horizontal="left" vertical="center"/>
    </xf>
    <xf numFmtId="219" applyNumberFormat="1" fontId="49" applyFont="1" fillId="5" applyFill="1" borderId="13" applyBorder="1" xfId="7145" applyProtection="1" applyAlignment="1">
      <alignment horizontal="left" vertical="center"/>
    </xf>
    <xf numFmtId="219" applyNumberFormat="1" fontId="6" applyFont="1" fillId="0" applyFill="1" borderId="62" applyBorder="1" xfId="7145" applyProtection="1" applyAlignment="1">
      <alignment vertical="center"/>
    </xf>
    <xf numFmtId="0" applyNumberFormat="1" fontId="78" applyFont="1" fillId="0" applyFill="1" borderId="0" applyBorder="1" xfId="2284" applyProtection="1" applyAlignment="1">
      <alignment vertical="center"/>
    </xf>
    <xf numFmtId="219" applyNumberFormat="1" fontId="31" applyFont="1" fillId="0" applyFill="1" borderId="13" applyBorder="1" xfId="20106" applyProtection="1" applyAlignment="1">
      <alignment vertical="center"/>
      <protection hidden="1"/>
    </xf>
    <xf numFmtId="219" applyNumberFormat="1" fontId="49" applyFont="1" fillId="5" applyFill="1" borderId="13" applyBorder="1" xfId="20106" applyProtection="1" applyAlignment="1">
      <alignment vertical="center"/>
    </xf>
    <xf numFmtId="41" applyNumberFormat="1" fontId="49" applyFont="1" fillId="5" applyFill="1" borderId="13" applyBorder="1" xfId="1150" applyProtection="1" applyAlignment="1">
      <alignment vertical="center"/>
      <protection hidden="1"/>
    </xf>
    <xf numFmtId="41" applyNumberFormat="1" fontId="49" applyFont="1" fillId="5" applyFill="1" borderId="13" applyBorder="1" xfId="952" applyProtection="1" applyAlignment="1">
      <alignment vertical="center"/>
    </xf>
    <xf numFmtId="254" applyNumberFormat="1" fontId="49" applyFont="1" fillId="5" applyFill="1" borderId="18" applyBorder="1" xfId="2284" applyProtection="1" applyAlignment="1">
      <alignment horizontal="center" vertical="center"/>
    </xf>
    <xf numFmtId="254" applyNumberFormat="1" fontId="49" applyFont="1" fillId="5" applyFill="1" borderId="38" applyBorder="1" xfId="2284" applyProtection="1" applyAlignment="1">
      <alignment horizontal="center" vertical="center"/>
    </xf>
    <xf numFmtId="0" applyNumberFormat="1" fontId="29" applyFont="1" fillId="5" applyFill="1" borderId="0" applyBorder="1" xfId="952" applyProtection="1" applyAlignment="1">
      <alignment vertical="center"/>
    </xf>
    <xf numFmtId="0" applyNumberFormat="1" fontId="47" applyFont="1" fillId="8" applyFill="1" borderId="71" applyBorder="1" xfId="7788" applyProtection="1" applyAlignment="1">
      <alignment horizontal="center" vertical="center" wrapText="1"/>
      <protection hidden="1"/>
    </xf>
    <xf numFmtId="0" applyNumberFormat="1" fontId="47" applyFont="1" fillId="8" applyFill="1" borderId="68" applyBorder="1" xfId="7788" applyProtection="1" applyAlignment="1">
      <alignment horizontal="center" vertical="center" wrapText="1"/>
      <protection hidden="1"/>
    </xf>
    <xf numFmtId="49" applyNumberFormat="1" fontId="47" applyFont="1" fillId="8" applyFill="1" borderId="69" applyBorder="1" xfId="7788" applyProtection="1" applyAlignment="1">
      <alignment horizontal="center" vertical="center" wrapText="1"/>
      <protection hidden="1"/>
    </xf>
    <xf numFmtId="219" applyNumberFormat="1" fontId="47" applyFont="1" fillId="8" applyFill="1" borderId="69" applyBorder="1" xfId="7145" applyProtection="1" applyAlignment="1">
      <alignment horizontal="center" vertical="center" wrapText="1"/>
      <protection hidden="1"/>
    </xf>
    <xf numFmtId="0" applyNumberFormat="1" fontId="29" applyFont="1" fillId="22" applyFill="1" borderId="13" applyBorder="1" xfId="16739" applyProtection="1" applyAlignment="1">
      <alignment horizontal="center" vertical="center"/>
    </xf>
    <xf numFmtId="0" applyNumberFormat="1" fontId="29" applyFont="1" fillId="22" applyFill="1" borderId="18" applyBorder="1" xfId="2284" applyProtection="1" applyAlignment="1">
      <alignment horizontal="center" vertical="center"/>
    </xf>
    <xf numFmtId="0" applyNumberFormat="1" fontId="29" applyFont="1" fillId="22" applyFill="1" borderId="18" applyBorder="1" xfId="2131" applyProtection="1" applyAlignment="1">
      <alignment horizontal="left" vertical="center"/>
    </xf>
    <xf numFmtId="0" applyNumberFormat="1" fontId="29" applyFont="1" fillId="22" applyFill="1" borderId="13" applyBorder="1" xfId="952" applyProtection="1" applyAlignment="1">
      <alignment horizontal="center" vertical="center"/>
    </xf>
    <xf numFmtId="0" applyNumberFormat="1" fontId="29" applyFont="1" fillId="22" applyFill="1" borderId="13" applyBorder="1" xfId="2284" applyProtection="1" applyAlignment="1">
      <alignment horizontal="left" vertical="center"/>
    </xf>
    <xf numFmtId="219" applyNumberFormat="1" fontId="29" applyFont="1" fillId="22" applyFill="1" borderId="13" applyBorder="1" xfId="7145" applyProtection="1" applyAlignment="1">
      <alignment horizontal="left" vertical="center"/>
    </xf>
    <xf numFmtId="0" applyNumberFormat="1" fontId="29" applyFont="1" fillId="0" applyFill="1" borderId="13" applyBorder="1" xfId="16739" applyProtection="1" applyAlignment="1">
      <alignment horizontal="center" vertical="center"/>
    </xf>
    <xf numFmtId="0" applyNumberFormat="1" fontId="29" applyFont="1" fillId="0" applyFill="1" borderId="18" applyBorder="1" xfId="2131" applyProtection="1" applyAlignment="1">
      <alignment horizontal="left" vertical="center"/>
    </xf>
    <xf numFmtId="0" applyNumberFormat="1" fontId="29" applyFont="1" fillId="0" applyFill="1" borderId="13" applyBorder="1" xfId="2284" applyProtection="1" applyAlignment="1">
      <alignment horizontal="left" vertical="center"/>
    </xf>
    <xf numFmtId="0" applyNumberFormat="1" fontId="29" applyFont="1" fillId="14" applyFill="1" borderId="13" applyBorder="1" xfId="16739" applyProtection="1" applyAlignment="1">
      <alignment horizontal="center" vertical="center"/>
    </xf>
    <xf numFmtId="0" applyNumberFormat="1" fontId="49" applyFont="1" fillId="14" applyFill="1" borderId="18" applyBorder="1" xfId="2284" applyProtection="1" applyAlignment="1">
      <alignment horizontal="center" vertical="center"/>
    </xf>
    <xf numFmtId="0" applyNumberFormat="1" fontId="49" applyFont="1" fillId="14" applyFill="1" borderId="18" applyBorder="1" xfId="2131" applyProtection="1" applyAlignment="1">
      <alignment horizontal="left" vertical="center"/>
    </xf>
    <xf numFmtId="0" applyNumberFormat="1" fontId="49" applyFont="1" fillId="14" applyFill="1" borderId="13" applyBorder="1" xfId="952" applyProtection="1" applyAlignment="1">
      <alignment horizontal="center" vertical="center"/>
    </xf>
    <xf numFmtId="0" applyNumberFormat="1" fontId="49" applyFont="1" fillId="14" applyFill="1" borderId="13" applyBorder="1" xfId="16739" applyProtection="1" applyAlignment="1">
      <alignment horizontal="center" vertical="center"/>
    </xf>
    <xf numFmtId="0" applyNumberFormat="1" fontId="62" applyFont="1" fillId="0" applyFill="1" borderId="0" applyBorder="1" xfId="19386" applyProtection="1" applyAlignment="1">
      <alignment horizontal="center" vertical="center"/>
    </xf>
    <xf numFmtId="0" applyNumberFormat="1" fontId="49" applyFont="1" fillId="0" applyFill="1" borderId="18" applyBorder="1" xfId="2131" applyProtection="1" applyAlignment="1">
      <alignment horizontal="left" vertical="center"/>
    </xf>
    <xf numFmtId="0" applyNumberFormat="1" fontId="47" applyFont="1" fillId="8" applyFill="1" borderId="69" applyBorder="1" xfId="2249" applyProtection="1" applyAlignment="1">
      <alignment horizontal="center" vertical="center" wrapText="1"/>
    </xf>
    <xf numFmtId="0" applyNumberFormat="1" fontId="47" applyFont="1" fillId="10" applyFill="1" borderId="68" applyBorder="1" xfId="1145" applyProtection="1" applyAlignment="1">
      <alignment horizontal="center" vertical="center" wrapText="1"/>
      <protection hidden="1"/>
    </xf>
    <xf numFmtId="41" applyNumberFormat="1" fontId="47" applyFont="1" fillId="8" applyFill="1" borderId="68" applyBorder="1" xfId="2249" applyProtection="1" applyAlignment="1">
      <alignment horizontal="center" vertical="center"/>
    </xf>
    <xf numFmtId="41" applyNumberFormat="1" fontId="47" applyFont="1" fillId="8" applyFill="1" borderId="68" applyBorder="1" xfId="2249" applyProtection="1" applyAlignment="1">
      <alignment horizontal="center" vertical="center" wrapText="1"/>
    </xf>
    <xf numFmtId="0" applyNumberFormat="1" fontId="47" applyFont="1" fillId="10" applyFill="1" borderId="68" applyBorder="1" xfId="19674" applyProtection="1" applyAlignment="1">
      <alignment horizontal="center" vertical="center" wrapText="1"/>
    </xf>
    <xf numFmtId="219" applyNumberFormat="1" fontId="29" applyFont="1" fillId="22" applyFill="1" borderId="13" applyBorder="1" xfId="7145" applyProtection="1" applyAlignment="1">
      <alignment vertical="center"/>
    </xf>
    <xf numFmtId="219" applyNumberFormat="1" fontId="29" applyFont="1" fillId="22" applyFill="1" borderId="13" applyBorder="1" xfId="7145" applyProtection="1" applyAlignment="1">
      <alignment vertical="center"/>
      <protection hidden="1"/>
    </xf>
    <xf numFmtId="219" applyNumberFormat="1" fontId="29" applyFont="1" fillId="0" applyFill="1" borderId="20" applyBorder="1" xfId="7145" applyProtection="1" applyAlignment="1">
      <alignment vertical="center"/>
      <protection hidden="1"/>
    </xf>
    <xf numFmtId="219" applyNumberFormat="1" fontId="29" applyFont="1" fillId="23" applyFill="1" borderId="13" applyBorder="1" xfId="7145" applyProtection="1" applyAlignment="1">
      <alignment vertical="center"/>
    </xf>
    <xf numFmtId="219" applyNumberFormat="1" fontId="49" applyFont="1" fillId="14" applyFill="1" borderId="20" applyBorder="1" xfId="7145" applyProtection="1" applyAlignment="1">
      <alignment vertical="center"/>
      <protection hidden="1"/>
    </xf>
    <xf numFmtId="41" applyNumberFormat="1" fontId="49" applyFont="1" fillId="14" applyFill="1" borderId="13" applyBorder="1" xfId="16075" applyProtection="1"/>
    <xf numFmtId="219" applyNumberFormat="1" fontId="49" applyFont="1" fillId="14" applyFill="1" borderId="12" applyBorder="1" xfId="7145" applyProtection="1" applyAlignment="1">
      <alignment vertical="center"/>
      <protection hidden="1"/>
    </xf>
    <xf numFmtId="0" applyNumberFormat="1" fontId="47" applyFont="1" fillId="10" applyFill="1" borderId="67" applyBorder="1" xfId="19674" applyProtection="1" applyAlignment="1">
      <alignment horizontal="center" vertical="center" wrapText="1"/>
    </xf>
    <xf numFmtId="41" applyNumberFormat="1" fontId="49" applyFont="1" fillId="0" applyFill="1" borderId="13" applyBorder="1" xfId="16075" applyProtection="1"/>
    <xf numFmtId="0" applyNumberFormat="1" fontId="29" applyFont="1" fillId="0" applyFill="1" borderId="0" applyBorder="1" xfId="2284" applyProtection="1" applyAlignment="1">
      <alignment horizontal="left" vertical="center"/>
    </xf>
    <xf numFmtId="9" applyNumberFormat="1" fontId="47" applyFont="1" fillId="8" applyFill="1" borderId="68" applyBorder="1" xfId="1084" applyProtection="1" applyAlignment="1">
      <alignment horizontal="center" vertical="center" wrapText="1"/>
    </xf>
    <xf numFmtId="41" applyNumberFormat="1" fontId="47" applyFont="1" fillId="8" applyFill="1" borderId="68" applyBorder="1" xfId="7450" applyProtection="1" applyAlignment="1">
      <alignment horizontal="center" vertical="center" wrapText="1"/>
      <protection hidden="1"/>
    </xf>
    <xf numFmtId="254" applyNumberFormat="1" fontId="53" applyFont="1" fillId="8" applyFill="1" borderId="68" applyBorder="1" xfId="7450" applyProtection="1" applyAlignment="1">
      <alignment horizontal="left" vertical="center" wrapText="1"/>
      <protection hidden="1"/>
    </xf>
    <xf numFmtId="41" applyNumberFormat="1" fontId="53" applyFont="1" fillId="8" applyFill="1" borderId="74" applyBorder="1" xfId="7450" applyProtection="1" applyAlignment="1">
      <alignment horizontal="left" vertical="center" wrapText="1"/>
      <protection hidden="1"/>
    </xf>
    <xf numFmtId="219" applyNumberFormat="1" fontId="29" applyFont="1" fillId="22" applyFill="1" borderId="13" applyBorder="1" xfId="7145" applyProtection="1" applyAlignment="1">
      <alignment vertical="center"/>
    </xf>
    <xf numFmtId="254" applyNumberFormat="1" fontId="29" applyFont="1" fillId="22" applyFill="1" borderId="13" applyBorder="1" xfId="952" applyProtection="1" applyAlignment="1">
      <alignment horizontal="left" vertical="center"/>
    </xf>
    <xf numFmtId="254" applyNumberFormat="1" fontId="29" applyFont="1" fillId="22" applyFill="1" borderId="18" applyBorder="1" xfId="1802" applyProtection="1" applyAlignment="1">
      <alignment horizontal="left" vertical="center"/>
    </xf>
    <xf numFmtId="254" applyNumberFormat="1" fontId="51" applyFont="1" fillId="22" applyFill="1" borderId="0" applyBorder="1" xfId="16075" applyProtection="1" applyAlignment="1">
      <alignment vertical="center"/>
    </xf>
    <xf numFmtId="254" applyNumberFormat="1" fontId="29" applyFont="1" fillId="0" applyFill="1" borderId="13" applyBorder="1" xfId="952" applyProtection="1" applyAlignment="1">
      <alignment horizontal="left" vertical="center"/>
    </xf>
    <xf numFmtId="254" applyNumberFormat="1" fontId="29" applyFont="1" fillId="0" applyFill="1" borderId="18" applyBorder="1" xfId="1802" applyProtection="1" applyAlignment="1">
      <alignment horizontal="left" vertical="center"/>
    </xf>
    <xf numFmtId="0" applyNumberFormat="1" fontId="29" applyFont="1" fillId="0" applyFill="1" borderId="0" applyBorder="1" xfId="16075" applyProtection="1"/>
    <xf numFmtId="0" applyNumberFormat="1" fontId="29" applyFont="1" fillId="22" applyFill="1" borderId="0" applyBorder="1" xfId="2284" applyProtection="1" applyAlignment="1">
      <alignment vertical="center"/>
    </xf>
    <xf numFmtId="254" applyNumberFormat="1" fontId="49" applyFont="1" fillId="14" applyFill="1" borderId="13" applyBorder="1" xfId="952" applyProtection="1" applyAlignment="1">
      <alignment horizontal="left" vertical="center"/>
    </xf>
    <xf numFmtId="254" applyNumberFormat="1" fontId="49" applyFont="1" fillId="14" applyFill="1" borderId="18" applyBorder="1" xfId="1802" applyProtection="1" applyAlignment="1">
      <alignment horizontal="left" vertical="center"/>
    </xf>
    <xf numFmtId="0" applyNumberFormat="1" fontId="49" applyFont="1" fillId="14" applyFill="1" borderId="0" applyBorder="1" xfId="16075" applyProtection="1"/>
    <xf numFmtId="0" applyNumberFormat="1" fontId="29" applyFont="1" fillId="14" applyFill="1" borderId="0" applyBorder="1" xfId="2284" applyProtection="1" applyAlignment="1">
      <alignment vertical="center"/>
    </xf>
    <xf numFmtId="254" applyNumberFormat="1" fontId="29" applyFont="1" fillId="0" applyFill="1" borderId="32" applyBorder="1" xfId="16739" applyProtection="1" applyAlignment="1">
      <alignment horizontal="left" vertical="center"/>
    </xf>
    <xf numFmtId="15" applyNumberFormat="1" fontId="29" applyFont="1" fillId="0" applyFill="1" borderId="32" applyBorder="1" xfId="16739" applyProtection="1" applyAlignment="1">
      <alignment horizontal="left" vertical="center"/>
    </xf>
    <xf numFmtId="254" applyNumberFormat="1" fontId="6" applyFont="1" fillId="0" applyFill="1" borderId="0" applyBorder="1" xfId="7145" applyProtection="1" applyAlignment="1">
      <alignment horizontal="left" vertical="center"/>
    </xf>
    <xf numFmtId="254" applyNumberFormat="1" fontId="49" applyFont="1" fillId="0" applyFill="1" borderId="13" applyBorder="1" xfId="2284" applyProtection="1" applyAlignment="1">
      <alignment horizontal="left" vertical="center"/>
    </xf>
    <xf numFmtId="0" applyNumberFormat="1" fontId="56" applyFont="1" fillId="0" applyFill="1" borderId="0" applyBorder="1" xfId="16075" applyProtection="1" applyAlignment="1">
      <alignment vertical="center"/>
    </xf>
    <xf numFmtId="0" applyNumberFormat="1" fontId="49" applyFont="1" fillId="0" applyFill="1" borderId="0" applyBorder="1" xfId="16075" applyProtection="1" applyAlignment="1">
      <alignment vertical="center"/>
    </xf>
    <xf numFmtId="254" applyNumberFormat="1" fontId="49" applyFont="1" fillId="0" applyFill="1" borderId="13" applyBorder="1" xfId="952" applyProtection="1" applyAlignment="1">
      <alignment horizontal="left" vertical="center"/>
    </xf>
    <xf numFmtId="254" applyNumberFormat="1" fontId="49" applyFont="1" fillId="0" applyFill="1" borderId="18" applyBorder="1" xfId="1802" applyProtection="1" applyAlignment="1">
      <alignment horizontal="left" vertical="center"/>
    </xf>
    <xf numFmtId="0" applyNumberFormat="1" fontId="49" applyFont="1" fillId="0" applyFill="1" borderId="0" applyBorder="1" xfId="16075" applyProtection="1"/>
    <xf numFmtId="0" applyNumberFormat="1" fontId="51" applyFont="1" fillId="0" applyFill="1" borderId="32" applyBorder="1" xfId="952" applyProtection="1" applyAlignment="1">
      <alignment horizontal="center" vertical="center"/>
    </xf>
    <xf numFmtId="219" applyNumberFormat="1" fontId="51" applyFont="1" fillId="0" applyFill="1" borderId="32" applyBorder="1" xfId="7145" applyProtection="1" applyAlignment="1">
      <alignment vertical="center"/>
    </xf>
    <xf numFmtId="0" applyNumberFormat="1" fontId="51" applyFont="1" fillId="0" applyFill="1" borderId="0" applyBorder="1" xfId="952" applyProtection="1" applyAlignment="1">
      <alignment horizontal="center" vertical="center"/>
    </xf>
    <xf numFmtId="219" applyNumberFormat="1" fontId="51" applyFont="1" fillId="0" applyFill="1" borderId="0" applyBorder="1" xfId="7145" applyProtection="1" applyAlignment="1">
      <alignment vertical="center"/>
    </xf>
    <xf numFmtId="41" applyNumberFormat="1" fontId="29" applyFont="1" fillId="0" applyFill="1" borderId="0" applyBorder="1" xfId="16739" applyProtection="1" applyAlignment="1">
      <alignment horizontal="left" vertical="center"/>
    </xf>
    <xf numFmtId="254" applyNumberFormat="1" fontId="29" applyFont="1" fillId="0" applyFill="1" borderId="0" applyBorder="1" xfId="16739" applyProtection="1" applyAlignment="1">
      <alignment horizontal="left" vertical="center"/>
    </xf>
    <xf numFmtId="15" applyNumberFormat="1" fontId="29" applyFont="1" fillId="0" applyFill="1" borderId="0" applyBorder="1" xfId="16739" applyProtection="1" applyAlignment="1">
      <alignment horizontal="left" vertical="center"/>
    </xf>
    <xf numFmtId="254" applyNumberFormat="1" fontId="29" applyFont="1" fillId="0" applyFill="1" borderId="0" applyBorder="1" xfId="2284" applyProtection="1" applyAlignment="1">
      <alignment horizontal="left" vertical="center"/>
    </xf>
    <xf numFmtId="0" applyNumberFormat="1" fontId="29" applyFont="1" fillId="0" applyFill="1" borderId="28" applyBorder="1" xfId="16739" applyProtection="1" applyAlignment="1">
      <alignment horizontal="center" vertical="center"/>
    </xf>
    <xf numFmtId="0" applyNumberFormat="1" fontId="29" applyFont="1" fillId="0" applyFill="1" borderId="18" applyBorder="1" xfId="952" applyProtection="1" applyAlignment="1">
      <alignment horizontal="left" vertical="center"/>
    </xf>
    <xf numFmtId="0" applyNumberFormat="1" fontId="29" applyFont="1" fillId="0" applyFill="1" borderId="11" applyBorder="1" xfId="2284" applyProtection="1" applyAlignment="1">
      <alignment horizontal="center" vertical="center"/>
    </xf>
    <xf numFmtId="0" applyNumberFormat="1" fontId="29" applyFont="1" fillId="0" applyFill="1" borderId="81" applyBorder="1" xfId="2284" applyProtection="1" applyAlignment="1">
      <alignment horizontal="left" vertical="center"/>
    </xf>
    <xf numFmtId="219" applyNumberFormat="1" fontId="29" applyFont="1" fillId="0" applyFill="1" borderId="6" applyBorder="1" xfId="7145" applyProtection="1" applyAlignment="1">
      <alignment horizontal="left" vertical="center"/>
    </xf>
    <xf numFmtId="0" applyNumberFormat="1" fontId="29" applyFont="1" fillId="14" applyFill="1" borderId="28" applyBorder="1" xfId="16739" applyProtection="1" applyAlignment="1">
      <alignment horizontal="center" vertical="center"/>
    </xf>
    <xf numFmtId="0" applyNumberFormat="1" fontId="29" applyFont="1" fillId="14" applyFill="1" borderId="11" applyBorder="1" xfId="2284" applyProtection="1" applyAlignment="1">
      <alignment horizontal="center" vertical="center"/>
    </xf>
    <xf numFmtId="0" applyNumberFormat="1" fontId="29" applyFont="1" fillId="14" applyFill="1" borderId="81" applyBorder="1" xfId="2284" applyProtection="1" applyAlignment="1">
      <alignment horizontal="center" vertical="center"/>
    </xf>
    <xf numFmtId="219" applyNumberFormat="1" fontId="29" applyFont="1" fillId="14" applyFill="1" borderId="6" applyBorder="1" xfId="7145" applyProtection="1" applyAlignment="1">
      <alignment horizontal="left" vertical="center"/>
    </xf>
    <xf numFmtId="0" applyNumberFormat="1" fontId="29" applyFont="1" fillId="13" applyFill="1" borderId="28" applyBorder="1" xfId="16739" applyProtection="1" applyAlignment="1">
      <alignment horizontal="center" vertical="center"/>
    </xf>
    <xf numFmtId="0" applyNumberFormat="1" fontId="29" applyFont="1" fillId="13" applyFill="1" borderId="13" applyBorder="1" xfId="16739" applyProtection="1" applyAlignment="1">
      <alignment horizontal="center" vertical="center"/>
    </xf>
    <xf numFmtId="0" applyNumberFormat="1" fontId="29" applyFont="1" fillId="13" applyFill="1" borderId="13" applyBorder="1" xfId="2284" applyProtection="1" applyAlignment="1">
      <alignment horizontal="left" vertical="center"/>
    </xf>
    <xf numFmtId="41" applyNumberFormat="1" fontId="29" applyFont="1" fillId="0" applyFill="1" borderId="13" applyBorder="1" xfId="16075" applyProtection="1"/>
    <xf numFmtId="219" applyNumberFormat="1" fontId="29" applyFont="1" fillId="0" applyFill="1" borderId="12" applyBorder="1" xfId="7145" applyProtection="1" applyAlignment="1">
      <alignment vertical="center"/>
      <protection hidden="1"/>
    </xf>
    <xf numFmtId="219" applyNumberFormat="1" fontId="29" applyFont="1" fillId="0" applyFill="1" borderId="17" applyBorder="1" xfId="7145" applyProtection="1" applyAlignment="1">
      <alignment vertical="center"/>
      <protection hidden="1"/>
    </xf>
    <xf numFmtId="219" applyNumberFormat="1" fontId="29" applyFont="1" fillId="0" applyFill="1" borderId="20" applyBorder="1" xfId="20106" applyProtection="1" applyAlignment="1">
      <alignment vertical="center"/>
      <protection hidden="1"/>
    </xf>
    <xf numFmtId="203" applyNumberFormat="1" fontId="29" applyFont="1" fillId="0" applyFill="1" borderId="13" applyBorder="1" xfId="7145" applyProtection="1" applyAlignment="1">
      <alignment vertical="center"/>
    </xf>
    <xf numFmtId="203" applyNumberFormat="1" fontId="29" applyFont="1" fillId="0" applyFill="1" borderId="17" applyBorder="1" xfId="7145" applyProtection="1" applyAlignment="1">
      <alignment vertical="center"/>
    </xf>
    <xf numFmtId="203" applyNumberFormat="1" fontId="29" applyFont="1" fillId="14" applyFill="1" borderId="13" applyBorder="1" xfId="7145" applyProtection="1" applyAlignment="1">
      <alignment vertical="center"/>
    </xf>
    <xf numFmtId="203" applyNumberFormat="1" fontId="29" applyFont="1" fillId="14" applyFill="1" borderId="20" applyBorder="1" xfId="7145" applyProtection="1" applyAlignment="1">
      <alignment vertical="center"/>
    </xf>
    <xf numFmtId="219" applyNumberFormat="1" fontId="29" applyFont="1" fillId="13" applyFill="1" borderId="20" applyBorder="1" xfId="7145" applyProtection="1" applyAlignment="1">
      <alignment vertical="center"/>
      <protection hidden="1"/>
    </xf>
    <xf numFmtId="41" applyNumberFormat="1" fontId="29" applyFont="1" fillId="13" applyFill="1" borderId="13" applyBorder="1" xfId="16075" applyProtection="1"/>
    <xf numFmtId="219" applyNumberFormat="1" fontId="29" applyFont="1" fillId="13" applyFill="1" borderId="17" applyBorder="1" xfId="7145" applyProtection="1" applyAlignment="1">
      <alignment vertical="center"/>
      <protection hidden="1"/>
    </xf>
    <xf numFmtId="219" applyNumberFormat="1" fontId="29" applyFont="1" fillId="13" applyFill="1" borderId="12" applyBorder="1" xfId="7145" applyProtection="1" applyAlignment="1">
      <alignment vertical="center"/>
      <protection hidden="1"/>
    </xf>
    <xf numFmtId="219" applyNumberFormat="1" fontId="29" applyFont="1" fillId="14" applyFill="1" borderId="20" applyBorder="1" xfId="20106" applyProtection="1" applyAlignment="1">
      <alignment vertical="center"/>
      <protection hidden="1"/>
    </xf>
    <xf numFmtId="254" applyNumberFormat="1" fontId="29" applyFont="1" fillId="14" applyFill="1" borderId="12" applyBorder="1" xfId="2284" applyProtection="1" applyAlignment="1">
      <alignment horizontal="center" vertical="center"/>
    </xf>
    <xf numFmtId="0" applyNumberFormat="1" fontId="51" applyFont="1" fillId="14" applyFill="1" borderId="0" applyBorder="1" xfId="952" applyProtection="1" applyAlignment="1">
      <alignment vertical="center"/>
    </xf>
    <xf numFmtId="0" applyNumberFormat="1" fontId="29" applyFont="1" fillId="14" applyFill="1" borderId="0" applyBorder="1" xfId="16075" applyProtection="1"/>
    <xf numFmtId="0" applyNumberFormat="1" fontId="29" applyFont="1" fillId="13" applyFill="1" borderId="0" applyBorder="1" xfId="952" applyProtection="1" applyAlignment="1">
      <alignment vertical="center"/>
    </xf>
    <xf numFmtId="0" applyNumberFormat="1" fontId="29" applyFont="1" fillId="13" applyFill="1" borderId="0" applyBorder="1" xfId="16075" applyProtection="1"/>
    <xf numFmtId="16" applyNumberFormat="1" fontId="29" applyFont="1" fillId="13" applyFill="1" borderId="0" applyBorder="1" xfId="952" applyProtection="1" applyAlignment="1">
      <alignment vertical="center"/>
    </xf>
    <xf numFmtId="41" applyNumberFormat="1" fontId="29" applyFont="1" fillId="0" applyFill="1" borderId="0" applyBorder="1" xfId="16739" applyProtection="1" applyAlignment="1">
      <alignment horizontal="center" vertical="center"/>
    </xf>
    <xf numFmtId="0" applyNumberFormat="1" fontId="29" applyFont="1" fillId="22" applyFill="1" borderId="0" applyBorder="1" xfId="16075" applyProtection="1"/>
    <xf numFmtId="0" applyNumberFormat="1" fontId="57" applyFont="1" fillId="17" applyFill="1" borderId="0" applyBorder="1" xfId="16075" applyProtection="1"/>
    <xf numFmtId="0" applyNumberFormat="1" fontId="29" applyFont="1" fillId="17" applyFill="1" borderId="0" applyBorder="1" xfId="16075" applyProtection="1"/>
    <xf numFmtId="219" applyNumberFormat="1" fontId="46" applyFont="1" fillId="0" applyFill="1" borderId="0" applyBorder="1" xfId="7145" applyProtection="1" applyAlignment="1">
      <alignment vertical="center"/>
    </xf>
    <xf numFmtId="0" applyNumberFormat="1" fontId="68" applyFont="1" fillId="16" applyFill="1" borderId="13" applyBorder="1" xfId="22019" applyProtection="1" applyAlignment="1">
      <alignment vertical="center"/>
    </xf>
    <xf numFmtId="0" applyNumberFormat="1" fontId="49" applyFont="1" fillId="16" applyFill="1" borderId="13" applyBorder="1" xfId="952" applyProtection="1" applyAlignment="1">
      <alignment horizontal="center" vertical="center"/>
    </xf>
    <xf numFmtId="219" applyNumberFormat="1" fontId="29" applyFont="1" fillId="16" applyFill="1" borderId="13" applyBorder="1" xfId="7145" applyProtection="1" applyAlignment="1">
      <alignment vertical="center"/>
    </xf>
    <xf numFmtId="0" applyNumberFormat="1" fontId="29" applyFont="1" fillId="0" applyFill="1" borderId="13" applyBorder="1" xfId="2131" applyProtection="1" applyAlignment="1">
      <alignment horizontal="left" vertical="center"/>
    </xf>
    <xf numFmtId="219" applyNumberFormat="1" fontId="51" applyFont="1" fillId="0" applyFill="1" borderId="32" applyBorder="1" xfId="7145" applyProtection="1" applyAlignment="1">
      <alignment horizontal="left" vertical="center"/>
    </xf>
    <xf numFmtId="0" applyNumberFormat="1" fontId="62" applyFont="1" fillId="0" applyFill="1" borderId="0" applyBorder="1" xfId="1802" applyProtection="1" applyAlignment="1">
      <alignment horizontal="center" vertical="center"/>
    </xf>
    <xf numFmtId="219" applyNumberFormat="1" fontId="47" applyFont="1" fillId="10" applyFill="1" borderId="27" applyBorder="1" xfId="7145" applyProtection="1" applyAlignment="1">
      <alignment horizontal="center" vertical="center" wrapText="1"/>
    </xf>
    <xf numFmtId="219" applyNumberFormat="1" fontId="49" applyFont="1" fillId="23" applyFill="1" borderId="13" applyBorder="1" xfId="20106" applyProtection="1" applyAlignment="1">
      <alignment vertical="center"/>
    </xf>
    <xf numFmtId="219" applyNumberFormat="1" fontId="49" applyFont="1" fillId="16" applyFill="1" borderId="20" applyBorder="1" xfId="20106" applyProtection="1" applyAlignment="1">
      <alignment vertical="center"/>
      <protection hidden="1"/>
    </xf>
    <xf numFmtId="219" applyNumberFormat="1" fontId="49" applyFont="1" fillId="16" applyFill="1" borderId="17" applyBorder="1" xfId="20106" applyProtection="1" applyAlignment="1">
      <alignment vertical="center"/>
      <protection hidden="1"/>
    </xf>
    <xf numFmtId="219" applyNumberFormat="1" fontId="69" applyFont="1" fillId="0" applyFill="1" borderId="18" applyBorder="1" xfId="7145" applyProtection="1" applyAlignment="1">
      <alignment vertical="center"/>
      <protection hidden="1"/>
    </xf>
    <xf numFmtId="0" applyNumberFormat="1" fontId="53" applyFont="1" fillId="0" applyFill="1" borderId="0" applyBorder="1" xfId="2284" applyProtection="1" applyAlignment="1">
      <alignment vertical="center"/>
    </xf>
    <xf numFmtId="219" applyNumberFormat="1" fontId="53" applyFont="1" fillId="0" applyFill="1" borderId="0" applyBorder="1" xfId="7145" applyProtection="1" applyAlignment="1">
      <alignment vertical="center"/>
    </xf>
    <xf numFmtId="219" applyNumberFormat="1" fontId="53" applyFont="1" fillId="0" applyFill="1" borderId="0" applyBorder="1" xfId="7145" applyProtection="1" applyAlignment="1">
      <alignment vertical="center"/>
    </xf>
    <xf numFmtId="219" applyNumberFormat="1" fontId="47" applyFont="1" fillId="0" applyFill="1" borderId="0" applyBorder="1" xfId="7145" applyProtection="1" applyAlignment="1">
      <alignment horizontal="left" vertical="center"/>
    </xf>
    <xf numFmtId="219" applyNumberFormat="1" fontId="6" applyFont="1" fillId="0" applyFill="1" borderId="0" applyBorder="1" xfId="7145" applyProtection="1" applyAlignment="1">
      <alignment vertical="center"/>
    </xf>
    <xf numFmtId="219" applyNumberFormat="1" fontId="64" applyFont="1" fillId="0" applyFill="1" borderId="0" applyBorder="1" xfId="7145" applyProtection="1" applyAlignment="1">
      <alignment vertical="center"/>
    </xf>
    <xf numFmtId="41" applyNumberFormat="1" fontId="49" applyFont="1" fillId="16" applyFill="1" borderId="13" applyBorder="1" xfId="1150" applyProtection="1" applyAlignment="1">
      <alignment vertical="center"/>
      <protection hidden="1"/>
    </xf>
    <xf numFmtId="41" applyNumberFormat="1" fontId="49" applyFont="1" fillId="16" applyFill="1" borderId="13" applyBorder="1" xfId="952" applyProtection="1" applyAlignment="1">
      <alignment vertical="center"/>
    </xf>
    <xf numFmtId="15" applyNumberFormat="1" fontId="68" applyFont="1" fillId="16" applyFill="1" borderId="20" applyBorder="1" xfId="22015" applyProtection="1" applyAlignment="1">
      <alignment horizontal="center"/>
    </xf>
    <xf numFmtId="254" applyNumberFormat="1" fontId="52" applyFont="1" fillId="16" applyFill="1" borderId="0" applyBorder="1" xfId="16075" applyProtection="1" applyAlignment="1">
      <alignment vertical="center"/>
    </xf>
    <xf numFmtId="254" applyNumberFormat="1" fontId="29" applyFont="1" fillId="0" applyFill="1" borderId="13" applyBorder="1" xfId="1802" applyProtection="1" applyAlignment="1">
      <alignment horizontal="center" vertical="center"/>
    </xf>
    <xf numFmtId="0" applyNumberFormat="1" fontId="29" applyFont="1" fillId="0" applyFill="1" borderId="0" applyBorder="1" xfId="16075" applyProtection="1" applyAlignment="1">
      <alignment vertical="center"/>
    </xf>
    <xf numFmtId="0" applyNumberFormat="1" fontId="51" applyFont="1" fillId="0" applyFill="1" borderId="0" applyBorder="1" xfId="952" applyProtection="1" applyAlignment="1">
      <alignment vertical="center"/>
    </xf>
    <xf numFmtId="0" applyNumberFormat="1" fontId="69" applyFont="1" fillId="0" applyFill="1" borderId="13" applyBorder="1" xfId="22019" applyProtection="1" applyAlignment="1">
      <alignment vertical="center"/>
    </xf>
    <xf numFmtId="0" applyNumberFormat="1" fontId="47" applyFont="1" fillId="8" applyFill="1" borderId="87" applyBorder="1" xfId="1183" applyProtection="1" applyAlignment="1">
      <alignment horizontal="center" vertical="center" wrapText="1"/>
      <protection hidden="1"/>
    </xf>
    <xf numFmtId="0" applyNumberFormat="1" fontId="47" applyFont="1" fillId="8" applyFill="1" borderId="56" applyBorder="1" xfId="1183" applyProtection="1" applyAlignment="1">
      <alignment horizontal="center" vertical="center" wrapText="1"/>
      <protection hidden="1"/>
    </xf>
    <xf numFmtId="49" applyNumberFormat="1" fontId="47" applyFont="1" fillId="8" applyFill="1" borderId="56" applyBorder="1" xfId="1183" applyProtection="1" applyAlignment="1">
      <alignment horizontal="center" vertical="center" wrapText="1"/>
      <protection hidden="1"/>
    </xf>
    <xf numFmtId="219" applyNumberFormat="1" fontId="47" applyFont="1" fillId="8" applyFill="1" borderId="56" applyBorder="1" xfId="7145" applyProtection="1" applyAlignment="1">
      <alignment horizontal="center" vertical="center" wrapText="1"/>
      <protection hidden="1"/>
    </xf>
    <xf numFmtId="0" applyNumberFormat="1" fontId="49" applyFont="1" fillId="0" applyFill="1" borderId="13" applyBorder="1" xfId="2131" applyProtection="1" applyAlignment="1">
      <alignment horizontal="left" vertical="center"/>
    </xf>
    <xf numFmtId="0" applyNumberFormat="1" fontId="68" applyFont="1" fillId="0" applyFill="1" borderId="13" applyBorder="1" xfId="22019" applyProtection="1" applyAlignment="1">
      <alignment vertical="center"/>
    </xf>
    <xf numFmtId="219" applyNumberFormat="1" fontId="29" applyFont="1" fillId="0" applyFill="1" borderId="17" applyBorder="1" xfId="20106" applyProtection="1" applyAlignment="1">
      <alignment vertical="center"/>
      <protection hidden="1"/>
    </xf>
    <xf numFmtId="219" applyNumberFormat="1" fontId="29" applyFont="1" fillId="23" applyFill="1" borderId="13" applyBorder="1" xfId="20106" applyProtection="1" applyAlignment="1">
      <alignment vertical="center"/>
    </xf>
    <xf numFmtId="0" applyNumberFormat="1" fontId="47" applyFont="1" fillId="8" applyFill="1" borderId="56" applyBorder="1" xfId="2256" applyProtection="1" applyAlignment="1">
      <alignment horizontal="center" vertical="center" wrapText="1"/>
    </xf>
    <xf numFmtId="0" applyNumberFormat="1" fontId="47" applyFont="1" fillId="18" applyFill="1" borderId="56" applyBorder="1" xfId="1145" applyProtection="1" applyAlignment="1">
      <alignment horizontal="center" vertical="center" wrapText="1"/>
      <protection hidden="1"/>
    </xf>
    <xf numFmtId="0" applyNumberFormat="1" fontId="47" applyFont="1" fillId="10" applyFill="1" borderId="56" applyBorder="1" xfId="1145" applyProtection="1" applyAlignment="1">
      <alignment horizontal="center" vertical="center" wrapText="1"/>
      <protection hidden="1"/>
    </xf>
    <xf numFmtId="41" applyNumberFormat="1" fontId="47" applyFont="1" fillId="8" applyFill="1" borderId="56" applyBorder="1" xfId="2256" applyProtection="1" applyAlignment="1">
      <alignment horizontal="center" vertical="center"/>
    </xf>
    <xf numFmtId="41" applyNumberFormat="1" fontId="47" applyFont="1" fillId="8" applyFill="1" borderId="56" applyBorder="1" xfId="2256" applyProtection="1" applyAlignment="1">
      <alignment horizontal="center" vertical="center" wrapText="1"/>
    </xf>
    <xf numFmtId="0" applyNumberFormat="1" fontId="47" applyFont="1" fillId="10" applyFill="1" borderId="56" applyBorder="1" xfId="19674" applyProtection="1" applyAlignment="1">
      <alignment horizontal="center" vertical="center" wrapText="1"/>
    </xf>
    <xf numFmtId="219" applyNumberFormat="1" fontId="47" applyFont="1" fillId="8" applyFill="1" borderId="88" applyBorder="1" xfId="7145" applyProtection="1" applyAlignment="1">
      <alignment horizontal="center" vertical="center" wrapText="1"/>
    </xf>
    <xf numFmtId="219" applyNumberFormat="1" fontId="49" applyFont="1" fillId="0" applyFill="1" borderId="12" applyBorder="1" xfId="20106" applyProtection="1" applyAlignment="1">
      <alignment vertical="center"/>
      <protection hidden="1"/>
    </xf>
    <xf numFmtId="219" applyNumberFormat="1" fontId="49" applyFont="1" fillId="0" applyFill="1" borderId="17" applyBorder="1" xfId="20106" applyProtection="1" applyAlignment="1">
      <alignment vertical="center"/>
      <protection hidden="1"/>
    </xf>
    <xf numFmtId="219" applyNumberFormat="1" fontId="49" applyFont="1" fillId="0" applyFill="1" borderId="17" applyBorder="1" xfId="7145" applyProtection="1" applyAlignment="1">
      <alignment vertical="center"/>
      <protection hidden="1"/>
    </xf>
    <xf numFmtId="0" applyNumberFormat="1" fontId="51" applyFont="1" fillId="0" applyFill="1" borderId="0" applyBorder="1" xfId="16075" applyProtection="1" applyAlignment="1">
      <alignment vertical="center"/>
    </xf>
    <xf numFmtId="15" applyNumberFormat="1" fontId="69" applyFont="1" fillId="0" applyFill="1" borderId="20" applyBorder="1" xfId="22015" applyProtection="1" applyAlignment="1">
      <alignment horizontal="center"/>
    </xf>
    <xf numFmtId="254" applyNumberFormat="1" fontId="51" applyFont="1" fillId="0" applyFill="1" borderId="0" applyBorder="1" xfId="16075" applyProtection="1" applyAlignment="1">
      <alignment vertical="center"/>
    </xf>
    <xf numFmtId="9" applyNumberFormat="1" fontId="47" applyFont="1" fillId="8" applyFill="1" borderId="56" applyBorder="1" xfId="1084" applyProtection="1" applyAlignment="1">
      <alignment horizontal="center" vertical="center" wrapText="1"/>
    </xf>
    <xf numFmtId="41" applyNumberFormat="1" fontId="47" applyFont="1" fillId="8" applyFill="1" borderId="56" applyBorder="1" xfId="7450" applyProtection="1" applyAlignment="1">
      <alignment horizontal="center" vertical="center" wrapText="1"/>
      <protection hidden="1"/>
    </xf>
    <xf numFmtId="41" applyNumberFormat="1" fontId="53" applyFont="1" fillId="8" applyFill="1" borderId="56" applyBorder="1" xfId="7450" applyProtection="1" applyAlignment="1">
      <alignment horizontal="center" vertical="center" wrapText="1"/>
      <protection hidden="1"/>
    </xf>
    <xf numFmtId="41" applyNumberFormat="1" fontId="53" applyFont="1" fillId="8" applyFill="1" borderId="58" applyBorder="1" xfId="7450" applyProtection="1" applyAlignment="1">
      <alignment horizontal="center" vertical="center" wrapText="1"/>
      <protection hidden="1"/>
    </xf>
    <xf numFmtId="254" applyNumberFormat="1" fontId="49" applyFont="1" fillId="0" applyFill="1" borderId="13" applyBorder="1" xfId="1802" applyProtection="1" applyAlignment="1">
      <alignment horizontal="center" vertical="center"/>
    </xf>
    <xf numFmtId="254" applyNumberFormat="1" fontId="52" applyFont="1" fillId="0" applyFill="1" borderId="0" applyBorder="1" xfId="16075" applyProtection="1" applyAlignment="1">
      <alignment vertical="center"/>
    </xf>
    <xf numFmtId="15" applyNumberFormat="1" fontId="68" applyFont="1" fillId="0" applyFill="1" borderId="13" applyBorder="1" xfId="22015" applyProtection="1" applyAlignment="1">
      <alignment horizontal="center"/>
    </xf>
    <xf numFmtId="15" applyNumberFormat="1" fontId="68" applyFont="1" fillId="0" applyFill="1" borderId="18" applyBorder="1" xfId="22015" applyProtection="1" applyAlignment="1">
      <alignment horizontal="center"/>
    </xf>
    <xf numFmtId="15" applyNumberFormat="1" fontId="68" applyFont="1" fillId="0" applyFill="1" borderId="18" applyBorder="1" xfId="21653" applyProtection="1" applyAlignment="1">
      <alignment horizontal="center"/>
    </xf>
    <xf numFmtId="15" applyNumberFormat="1" fontId="68" applyFont="1" fillId="0" applyFill="1" borderId="43" applyBorder="1" xfId="22015" applyProtection="1" applyAlignment="1">
      <alignment horizontal="center"/>
    </xf>
    <xf numFmtId="254" applyNumberFormat="1" fontId="49" applyFont="1" fillId="0" applyFill="1" borderId="43" applyBorder="1" xfId="1802" applyProtection="1" applyAlignment="1">
      <alignment horizontal="center" vertical="center"/>
    </xf>
    <xf numFmtId="15" applyNumberFormat="1" fontId="68" applyFont="1" fillId="0" applyFill="1" borderId="20" applyBorder="1" xfId="22015" applyProtection="1" applyAlignment="1">
      <alignment horizontal="center"/>
    </xf>
    <xf numFmtId="254" applyNumberFormat="1" fontId="49" applyFont="1" fillId="0" applyFill="1" borderId="20" applyBorder="1" xfId="1802" applyProtection="1" applyAlignment="1">
      <alignment horizontal="center" vertical="center"/>
    </xf>
    <xf numFmtId="0" applyNumberFormat="1" fontId="68" applyFont="1" fillId="14" applyFill="1" borderId="13" applyBorder="1" xfId="22019" applyProtection="1" applyAlignment="1">
      <alignment vertical="center"/>
    </xf>
    <xf numFmtId="0" applyNumberFormat="1" fontId="68" applyFont="1" fillId="13" applyFill="1" borderId="13" applyBorder="1" xfId="22019" applyProtection="1" applyAlignment="1">
      <alignment vertical="center"/>
    </xf>
    <xf numFmtId="0" applyNumberFormat="1" fontId="49" applyFont="1" fillId="13" applyFill="1" borderId="13" applyBorder="1" xfId="952" applyProtection="1" applyAlignment="1">
      <alignment horizontal="center" vertical="center"/>
    </xf>
    <xf numFmtId="219" applyNumberFormat="1" fontId="49" applyFont="1" fillId="13" applyFill="1" borderId="13" applyBorder="1" xfId="7145" applyProtection="1" applyAlignment="1">
      <alignment vertical="center"/>
    </xf>
    <xf numFmtId="0" applyNumberFormat="1" fontId="49" applyFont="1" fillId="13" applyFill="1" borderId="13" applyBorder="1" xfId="2131" applyProtection="1" applyAlignment="1">
      <alignment horizontal="left" vertical="center"/>
    </xf>
    <xf numFmtId="0" applyNumberFormat="1" fontId="6" applyFont="1" fillId="4" applyFill="1" borderId="32" applyBorder="1" xfId="952" applyProtection="1" applyAlignment="1">
      <alignment vertical="center"/>
    </xf>
    <xf numFmtId="219" applyNumberFormat="1" fontId="49" applyFont="1" fillId="14" applyFill="1" borderId="17" applyBorder="1" xfId="20106" applyProtection="1" applyAlignment="1">
      <alignment vertical="center"/>
      <protection hidden="1"/>
    </xf>
    <xf numFmtId="219" applyNumberFormat="1" fontId="49" applyFont="1" fillId="13" applyFill="1" borderId="13" applyBorder="1" xfId="20106" applyProtection="1" applyAlignment="1">
      <alignment vertical="center"/>
    </xf>
    <xf numFmtId="219" applyNumberFormat="1" fontId="49" applyFont="1" fillId="13" applyFill="1" borderId="20" applyBorder="1" xfId="20106" applyProtection="1" applyAlignment="1">
      <alignment vertical="center"/>
      <protection hidden="1"/>
    </xf>
    <xf numFmtId="219" applyNumberFormat="1" fontId="49" applyFont="1" fillId="13" applyFill="1" borderId="17" applyBorder="1" xfId="20106" applyProtection="1" applyAlignment="1">
      <alignment vertical="center"/>
      <protection hidden="1"/>
    </xf>
    <xf numFmtId="219" applyNumberFormat="1" fontId="49" applyFont="1" fillId="13" applyFill="1" borderId="12" applyBorder="1" xfId="20106" applyProtection="1" applyAlignment="1">
      <alignment vertical="center"/>
      <protection hidden="1"/>
    </xf>
    <xf numFmtId="219" applyNumberFormat="1" fontId="49" applyFont="1" fillId="14" applyFill="1" borderId="18" applyBorder="1" xfId="20106" applyProtection="1" applyAlignment="1">
      <alignment vertical="center"/>
      <protection hidden="1"/>
    </xf>
    <xf numFmtId="15" applyNumberFormat="1" fontId="68" applyFont="1" fillId="14" applyFill="1" borderId="20" applyBorder="1" xfId="22015" applyProtection="1" applyAlignment="1">
      <alignment horizontal="center"/>
    </xf>
    <xf numFmtId="254" applyNumberFormat="1" fontId="52" applyFont="1" fillId="14" applyFill="1" borderId="0" applyBorder="1" xfId="16075" applyProtection="1" applyAlignment="1">
      <alignment vertical="center"/>
    </xf>
    <xf numFmtId="219" applyNumberFormat="1" fontId="49" applyFont="1" fillId="13" applyFill="1" borderId="18" applyBorder="1" xfId="20106" applyProtection="1" applyAlignment="1">
      <alignment vertical="center"/>
      <protection hidden="1"/>
    </xf>
    <xf numFmtId="41" applyNumberFormat="1" fontId="49" applyFont="1" fillId="13" applyFill="1" borderId="13" applyBorder="1" xfId="1150" applyProtection="1" applyAlignment="1">
      <alignment vertical="center"/>
      <protection hidden="1"/>
    </xf>
    <xf numFmtId="41" applyNumberFormat="1" fontId="49" applyFont="1" fillId="13" applyFill="1" borderId="13" applyBorder="1" xfId="952" applyProtection="1" applyAlignment="1">
      <alignment vertical="center"/>
    </xf>
    <xf numFmtId="15" applyNumberFormat="1" fontId="68" applyFont="1" fillId="13" applyFill="1" borderId="20" applyBorder="1" xfId="22015" applyProtection="1" applyAlignment="1">
      <alignment horizontal="center"/>
    </xf>
    <xf numFmtId="254" applyNumberFormat="1" fontId="49" applyFont="1" fillId="13" applyFill="1" borderId="13" applyBorder="1" xfId="2284" applyProtection="1" applyAlignment="1">
      <alignment horizontal="center" vertical="center"/>
    </xf>
    <xf numFmtId="254" applyNumberFormat="1" fontId="52" applyFont="1" fillId="13" applyFill="1" borderId="0" applyBorder="1" xfId="16075" applyProtection="1" applyAlignment="1">
      <alignment vertical="center"/>
    </xf>
    <xf numFmtId="0" applyNumberFormat="1" fontId="29" applyFont="1" fillId="13" applyFill="1" borderId="0" applyBorder="1" xfId="16075" applyProtection="1" applyAlignment="1">
      <alignment vertical="center"/>
    </xf>
    <xf numFmtId="219" applyNumberFormat="1" fontId="49" applyFont="1" fillId="13" applyFill="1" borderId="13" applyBorder="1" xfId="20106" applyProtection="1" applyAlignment="1">
      <alignment vertical="center"/>
      <protection hidden="1"/>
    </xf>
    <xf numFmtId="254" applyNumberFormat="1" fontId="49" applyFont="1" fillId="13" applyFill="1" borderId="13" applyBorder="1" xfId="1802" applyProtection="1" applyAlignment="1">
      <alignment horizontal="center" vertical="center"/>
    </xf>
    <xf numFmtId="254" applyNumberFormat="1" fontId="49" applyFont="1" fillId="13" applyFill="1" borderId="40" applyBorder="1" xfId="2284" applyProtection="1" applyAlignment="1">
      <alignment horizontal="center" vertical="center"/>
    </xf>
    <xf numFmtId="41" applyNumberFormat="1" fontId="29" applyFont="1" fillId="0" applyFill="1" borderId="89" applyBorder="1" xfId="952" applyProtection="1" applyAlignment="1">
      <alignment horizontal="center" vertical="center"/>
    </xf>
    <xf numFmtId="0" applyNumberFormat="1" fontId="62" applyFont="1" fillId="0" applyFill="1" borderId="6" applyBorder="1" xfId="1802" applyProtection="1" applyAlignment="1">
      <alignment horizontal="center" vertical="center"/>
    </xf>
    <xf numFmtId="219" applyNumberFormat="1" fontId="6" applyFont="1" fillId="0" applyFill="1" borderId="6" applyBorder="1" xfId="7145" applyProtection="1" applyAlignment="1">
      <alignment horizontal="left" vertical="center"/>
    </xf>
    <xf numFmtId="0" applyNumberFormat="1" fontId="47" applyFont="1" fillId="8" applyFill="1" borderId="71" applyBorder="1" xfId="1183" applyProtection="1" applyAlignment="1">
      <alignment horizontal="center" vertical="center" wrapText="1"/>
      <protection hidden="1"/>
    </xf>
    <xf numFmtId="0" applyNumberFormat="1" fontId="47" applyFont="1" fillId="8" applyFill="1" borderId="68" applyBorder="1" xfId="1183" applyProtection="1" applyAlignment="1">
      <alignment horizontal="center" vertical="center" wrapText="1"/>
      <protection hidden="1"/>
    </xf>
    <xf numFmtId="49" applyNumberFormat="1" fontId="47" applyFont="1" fillId="8" applyFill="1" borderId="68" applyBorder="1" xfId="1183" applyProtection="1" applyAlignment="1">
      <alignment horizontal="center" vertical="center" wrapText="1"/>
      <protection hidden="1"/>
    </xf>
    <xf numFmtId="219" applyNumberFormat="1" fontId="47" applyFont="1" fillId="8" applyFill="1" borderId="68" applyBorder="1" xfId="7145" applyProtection="1" applyAlignment="1">
      <alignment horizontal="center" vertical="center" wrapText="1"/>
      <protection hidden="1"/>
    </xf>
    <xf numFmtId="0" applyNumberFormat="1" fontId="29" applyFont="1" fillId="22" applyFill="1" borderId="18" applyBorder="1" xfId="2522" applyProtection="1" applyAlignment="1">
      <alignment horizontal="left" vertical="center"/>
    </xf>
    <xf numFmtId="0" applyNumberFormat="1" fontId="29" applyFont="1" fillId="22" applyFill="1" borderId="18" applyBorder="1" xfId="952" applyProtection="1" applyAlignment="1">
      <alignment horizontal="center" vertical="center"/>
    </xf>
    <xf numFmtId="0" applyNumberFormat="1" fontId="6" applyFont="1" fillId="0" applyFill="1" borderId="90" applyBorder="1" xfId="952" applyProtection="1" applyAlignment="1">
      <alignment horizontal="center" vertical="center"/>
    </xf>
    <xf numFmtId="0" applyNumberFormat="1" fontId="6" applyFont="1" fillId="0" applyFill="1" borderId="91" applyBorder="1" xfId="952" applyProtection="1" applyAlignment="1">
      <alignment horizontal="center" vertical="center"/>
    </xf>
    <xf numFmtId="219" applyNumberFormat="1" fontId="6" applyFont="1" fillId="0" applyFill="1" borderId="91" applyBorder="1" xfId="7145" applyProtection="1" applyAlignment="1">
      <alignment vertical="center"/>
    </xf>
    <xf numFmtId="219" applyNumberFormat="1" fontId="79" applyFont="1" fillId="0" applyFill="1" borderId="0" applyBorder="1" xfId="7145" applyProtection="1" applyAlignment="1">
      <alignment vertical="center"/>
    </xf>
    <xf numFmtId="219" applyNumberFormat="1" fontId="47" applyFont="1" fillId="0" applyFill="1" borderId="6" applyBorder="1" xfId="7145" applyProtection="1" applyAlignment="1">
      <alignment horizontal="left" vertical="center"/>
    </xf>
    <xf numFmtId="0" applyNumberFormat="1" fontId="47" applyFont="1" fillId="8" applyFill="1" borderId="68" applyBorder="1" xfId="2256" applyProtection="1" applyAlignment="1">
      <alignment horizontal="center" vertical="center" wrapText="1"/>
    </xf>
    <xf numFmtId="0" applyNumberFormat="1" fontId="47" applyFont="1" fillId="18" applyFill="1" borderId="68" applyBorder="1" xfId="1145" applyProtection="1" applyAlignment="1">
      <alignment horizontal="center" vertical="center" wrapText="1"/>
      <protection hidden="1"/>
    </xf>
    <xf numFmtId="41" applyNumberFormat="1" fontId="47" applyFont="1" fillId="8" applyFill="1" borderId="68" applyBorder="1" xfId="2256" applyProtection="1" applyAlignment="1">
      <alignment horizontal="center" vertical="center" wrapText="1"/>
    </xf>
    <xf numFmtId="41" applyNumberFormat="1" fontId="47" applyFont="1" fillId="8" applyFill="1" borderId="68" applyBorder="1" xfId="19674" applyProtection="1" applyAlignment="1">
      <alignment horizontal="center" vertical="center" wrapText="1"/>
    </xf>
    <xf numFmtId="219" applyNumberFormat="1" fontId="29" applyFont="1" fillId="22" applyFill="1" borderId="13" applyBorder="1" xfId="20106" applyProtection="1" applyAlignment="1">
      <alignment vertical="center"/>
    </xf>
    <xf numFmtId="219" applyNumberFormat="1" fontId="29" applyFont="1" fillId="22" applyFill="1" borderId="13" applyBorder="1" xfId="20106" applyProtection="1" applyAlignment="1">
      <alignment vertical="center"/>
      <protection hidden="1"/>
    </xf>
    <xf numFmtId="219" applyNumberFormat="1" fontId="29" applyFont="1" fillId="22" applyFill="1" borderId="18" applyBorder="1" xfId="20106" applyProtection="1" applyAlignment="1">
      <alignment vertical="center"/>
      <protection hidden="1"/>
    </xf>
    <xf numFmtId="219" applyNumberFormat="1" fontId="8" applyFont="1" fillId="0" applyFill="1" borderId="0" applyBorder="1" xfId="952" applyProtection="1" applyAlignment="1">
      <alignment vertical="center"/>
    </xf>
    <xf numFmtId="254" applyNumberFormat="1" fontId="29" applyFont="1" fillId="0" applyFill="1" borderId="0" applyBorder="1" xfId="952" applyProtection="1" applyAlignment="1">
      <alignment horizontal="center" vertical="center"/>
    </xf>
    <xf numFmtId="254" applyNumberFormat="1" fontId="51" applyFont="1" fillId="0" applyFill="1" borderId="6" applyBorder="1" xfId="952" applyProtection="1" applyAlignment="1">
      <alignment vertical="center"/>
    </xf>
    <xf numFmtId="0" applyNumberFormat="1" fontId="51" applyFont="1" fillId="0" applyFill="1" borderId="6" applyBorder="1" xfId="952" applyProtection="1" applyAlignment="1">
      <alignment vertical="center"/>
    </xf>
    <xf numFmtId="0" applyNumberFormat="1" fontId="47" applyFont="1" fillId="8" applyFill="1" borderId="68" applyBorder="1" xfId="1655" applyProtection="1" applyAlignment="1">
      <alignment horizontal="center" vertical="center" wrapText="1"/>
      <protection hidden="1"/>
    </xf>
    <xf numFmtId="254" applyNumberFormat="1" fontId="53" applyFont="1" fillId="8" applyFill="1" borderId="68" applyBorder="1" xfId="7450" applyProtection="1" applyAlignment="1">
      <alignment horizontal="center" vertical="center" wrapText="1"/>
      <protection hidden="1"/>
    </xf>
    <xf numFmtId="41" applyNumberFormat="1" fontId="53" applyFont="1" fillId="8" applyFill="1" borderId="74" applyBorder="1" xfId="7450" applyProtection="1" applyAlignment="1">
      <alignment horizontal="center" vertical="center" wrapText="1"/>
      <protection hidden="1"/>
    </xf>
    <xf numFmtId="41" applyNumberFormat="1" fontId="29" applyFont="1" fillId="22" applyFill="1" borderId="13" applyBorder="1" xfId="1150" applyProtection="1" applyAlignment="1">
      <alignment vertical="center"/>
      <protection hidden="1"/>
    </xf>
    <xf numFmtId="41" applyNumberFormat="1" fontId="29" applyFont="1" fillId="22" applyFill="1" borderId="13" applyBorder="1" xfId="952" applyProtection="1" applyAlignment="1">
      <alignment vertical="center"/>
    </xf>
    <xf numFmtId="254" applyNumberFormat="1" fontId="29" applyFont="1" fillId="22" applyFill="1" borderId="18" applyBorder="1" xfId="952" applyProtection="1" applyAlignment="1">
      <alignment horizontal="center" vertical="center"/>
    </xf>
    <xf numFmtId="254" applyNumberFormat="1" fontId="29" applyFont="1" fillId="0" applyFill="1" borderId="32" applyBorder="1" xfId="952" applyProtection="1" applyAlignment="1">
      <alignment horizontal="center" vertical="center"/>
    </xf>
    <xf numFmtId="254" applyNumberFormat="1" fontId="8" applyFont="1" fillId="0" applyFill="1" borderId="0" applyBorder="1" xfId="16075" applyProtection="1" applyAlignment="1">
      <alignment vertical="center"/>
    </xf>
    <xf numFmtId="254" applyNumberFormat="1" fontId="29" applyFont="1" fillId="0" applyFill="1" borderId="91" applyBorder="1" xfId="952" applyProtection="1" applyAlignment="1">
      <alignment horizontal="center" vertical="center"/>
    </xf>
    <xf numFmtId="41" applyNumberFormat="1" fontId="29" applyFont="1" fillId="0" applyFill="1" borderId="92" applyBorder="1" xfId="952" applyProtection="1" applyAlignment="1">
      <alignment horizontal="center" vertical="center"/>
    </xf>
    <xf numFmtId="254" applyNumberFormat="1" fontId="29" applyFont="1" fillId="0" applyFill="1" borderId="0" applyBorder="1" xfId="2284" applyProtection="1" applyAlignment="1">
      <alignment vertical="center"/>
    </xf>
    <xf numFmtId="219" applyNumberFormat="1" fontId="29" applyFont="1" fillId="0" applyFill="1" borderId="0" applyBorder="1" xfId="7145" applyProtection="1" applyAlignment="1">
      <alignment vertical="center"/>
    </xf>
    <xf numFmtId="254" applyNumberFormat="1" fontId="29" applyFont="1" fillId="0" applyFill="1" borderId="0" applyBorder="1" xfId="952" applyProtection="1" applyAlignment="1">
      <alignment vertical="center"/>
    </xf>
    <xf numFmtId="254" applyNumberFormat="1" fontId="69" applyFont="1" fillId="0" applyFill="1" borderId="0" applyBorder="1" xfId="952" applyProtection="1" applyAlignment="1">
      <alignment vertical="center"/>
    </xf>
    <xf numFmtId="254" applyNumberFormat="1" fontId="65" applyFont="1" fillId="0" applyFill="1" borderId="0" applyBorder="1" xfId="16075" applyProtection="1"/>
    <xf numFmtId="0" applyNumberFormat="1" fontId="50" applyFont="1" fillId="0" applyFill="1" borderId="18" applyBorder="1" xfId="2284" applyProtection="1" applyAlignment="1">
      <alignment horizontal="center" vertical="center"/>
    </xf>
    <xf numFmtId="0" applyNumberFormat="1" fontId="29" applyFont="1" fillId="14" applyFill="1" borderId="13" applyBorder="1" xfId="2131" applyProtection="1" applyAlignment="1">
      <alignment horizontal="left" vertical="center"/>
    </xf>
    <xf numFmtId="0" applyNumberFormat="1" fontId="29" applyFont="1" fillId="14" applyFill="1" borderId="13" applyBorder="1" xfId="952" applyProtection="1" applyAlignment="1">
      <alignment horizontal="center" vertical="center"/>
    </xf>
    <xf numFmtId="0" applyNumberFormat="1" fontId="29" applyFont="1" fillId="13" applyFill="1" borderId="13" applyBorder="1" xfId="2131" applyProtection="1" applyAlignment="1">
      <alignment horizontal="left" vertical="center"/>
    </xf>
    <xf numFmtId="0" applyNumberFormat="1" fontId="29" applyFont="1" fillId="13" applyFill="1" borderId="13" applyBorder="1" xfId="952" applyProtection="1" applyAlignment="1">
      <alignment horizontal="center" vertical="center"/>
    </xf>
    <xf numFmtId="0" applyNumberFormat="1" fontId="29" applyFont="1" fillId="0" applyFill="1" borderId="0" applyBorder="1" xfId="952" applyProtection="1" applyAlignment="1">
      <alignment horizontal="left" vertical="center"/>
    </xf>
    <xf numFmtId="219" applyNumberFormat="1" fontId="29" applyFont="1" fillId="0" applyFill="1" borderId="0" applyBorder="1" xfId="7145" applyProtection="1" applyAlignment="1">
      <alignment vertical="center"/>
    </xf>
    <xf numFmtId="0" applyNumberFormat="1" fontId="47" applyFont="1" fillId="8" applyFill="1" borderId="93" applyBorder="1" xfId="1183" applyProtection="1" applyAlignment="1">
      <alignment horizontal="center" vertical="center" wrapText="1"/>
      <protection hidden="1"/>
    </xf>
    <xf numFmtId="0" applyNumberFormat="1" fontId="47" applyFont="1" fillId="8" applyFill="1" borderId="69" applyBorder="1" xfId="1183" applyProtection="1" applyAlignment="1">
      <alignment horizontal="center" vertical="center" wrapText="1"/>
      <protection hidden="1"/>
    </xf>
    <xf numFmtId="49" applyNumberFormat="1" fontId="47" applyFont="1" fillId="8" applyFill="1" borderId="69" applyBorder="1" xfId="1183" applyProtection="1" applyAlignment="1">
      <alignment horizontal="center" vertical="center" wrapText="1"/>
      <protection hidden="1"/>
    </xf>
    <xf numFmtId="0" applyNumberFormat="1" fontId="29" applyFont="1" fillId="22" applyFill="1" borderId="13" applyBorder="1" xfId="2284" applyProtection="1" applyAlignment="1">
      <alignment horizontal="center" vertical="center"/>
    </xf>
    <xf numFmtId="0" applyNumberFormat="1" fontId="29" applyFont="1" fillId="22" applyFill="1" borderId="13" applyBorder="1" xfId="2131" applyProtection="1" applyAlignment="1">
      <alignment horizontal="left" vertical="center"/>
    </xf>
    <xf numFmtId="219" applyNumberFormat="1" fontId="29" applyFont="1" fillId="24" applyFill="1" borderId="13" applyBorder="1" xfId="7145" applyProtection="1" applyAlignment="1">
      <alignment vertical="center"/>
    </xf>
    <xf numFmtId="0" applyNumberFormat="1" fontId="29" applyFont="1" fillId="22" applyFill="1" borderId="13" applyBorder="1" xfId="952" applyProtection="1" applyAlignment="1">
      <alignment horizontal="left" vertical="center"/>
    </xf>
    <xf numFmtId="219" applyNumberFormat="1" fontId="29" applyFont="1" fillId="14" applyFill="1" borderId="18" applyBorder="1" xfId="20106" applyProtection="1" applyAlignment="1">
      <alignment vertical="center"/>
      <protection hidden="1"/>
    </xf>
    <xf numFmtId="219" applyNumberFormat="1" fontId="29" applyFont="1" fillId="0" applyFill="1" borderId="0" applyBorder="1" xfId="20106" applyProtection="1" applyAlignment="1">
      <alignment vertical="center"/>
    </xf>
    <xf numFmtId="219" applyNumberFormat="1" fontId="29" applyFont="1" fillId="0" applyFill="1" borderId="0" applyBorder="1" xfId="20106" applyProtection="1" applyAlignment="1">
      <alignment vertical="center"/>
      <protection hidden="1"/>
    </xf>
    <xf numFmtId="0" applyNumberFormat="1" fontId="47" applyFont="1" fillId="8" applyFill="1" borderId="69" applyBorder="1" xfId="2256" applyProtection="1" applyAlignment="1">
      <alignment horizontal="center" vertical="center" wrapText="1"/>
    </xf>
    <xf numFmtId="0" applyNumberFormat="1" fontId="47" applyFont="1" fillId="18" applyFill="1" borderId="69" applyBorder="1" xfId="1145" applyProtection="1" applyAlignment="1">
      <alignment horizontal="center" vertical="center" wrapText="1"/>
      <protection hidden="1"/>
    </xf>
    <xf numFmtId="41" applyNumberFormat="1" fontId="47" applyFont="1" fillId="8" applyFill="1" borderId="69" applyBorder="1" xfId="2256" applyProtection="1" applyAlignment="1">
      <alignment horizontal="center" vertical="center" wrapText="1"/>
    </xf>
    <xf numFmtId="0" applyNumberFormat="1" fontId="47" applyFont="1" fillId="10" applyFill="1" borderId="69" applyBorder="1" xfId="19674" applyProtection="1" applyAlignment="1">
      <alignment horizontal="center" vertical="center" wrapText="1"/>
    </xf>
    <xf numFmtId="41" applyNumberFormat="1" fontId="47" applyFont="1" fillId="8" applyFill="1" borderId="69" applyBorder="1" xfId="19674" applyProtection="1" applyAlignment="1">
      <alignment horizontal="center" vertical="center" wrapText="1"/>
    </xf>
    <xf numFmtId="219" applyNumberFormat="1" fontId="29" applyFont="1" fillId="9" applyFill="1" borderId="18" applyBorder="1" xfId="20106" applyProtection="1" applyAlignment="1">
      <alignment vertical="center"/>
      <protection hidden="1"/>
    </xf>
    <xf numFmtId="254" applyNumberFormat="1" fontId="29" applyFont="1" fillId="22" applyFill="1" borderId="18" applyBorder="1" xfId="1802" applyProtection="1" applyAlignment="1">
      <alignment horizontal="center" vertical="center"/>
    </xf>
    <xf numFmtId="254" applyNumberFormat="1" fontId="29" applyFont="1" fillId="22" applyFill="1" borderId="18" applyBorder="1" xfId="2284" applyProtection="1" applyAlignment="1">
      <alignment horizontal="center" vertical="center"/>
    </xf>
    <xf numFmtId="254" applyNumberFormat="1" fontId="29" applyFont="1" fillId="0" applyFill="1" borderId="18" applyBorder="1" xfId="1802" applyProtection="1" applyAlignment="1">
      <alignment horizontal="center" vertical="center"/>
    </xf>
    <xf numFmtId="254" applyNumberFormat="1" fontId="50" applyFont="1" fillId="0" applyFill="1" borderId="13" applyBorder="1" xfId="2284" applyProtection="1" applyAlignment="1">
      <alignment horizontal="center" vertical="center"/>
    </xf>
    <xf numFmtId="254" applyNumberFormat="1" fontId="50" applyFont="1" fillId="0" applyFill="1" borderId="40" applyBorder="1" xfId="2284" applyProtection="1" applyAlignment="1">
      <alignment horizontal="center" vertical="center"/>
    </xf>
    <xf numFmtId="254" applyNumberFormat="1" fontId="29" applyFont="1" fillId="14" applyFill="1" borderId="18" applyBorder="1" xfId="1802" applyProtection="1" applyAlignment="1">
      <alignment horizontal="center" vertical="center"/>
    </xf>
    <xf numFmtId="254" applyNumberFormat="1" fontId="29" applyFont="1" fillId="14" applyFill="1" borderId="0" applyBorder="1" xfId="16075" applyProtection="1" applyAlignment="1">
      <alignment vertical="center"/>
    </xf>
    <xf numFmtId="0" applyNumberFormat="1" fontId="29" applyFont="1" fillId="14" applyFill="1" borderId="0" applyBorder="1" xfId="16075" applyProtection="1" applyAlignment="1">
      <alignment vertical="center"/>
    </xf>
    <xf numFmtId="254" applyNumberFormat="1" fontId="29" applyFont="1" fillId="13" applyFill="1" borderId="18" applyBorder="1" xfId="1802" applyProtection="1" applyAlignment="1">
      <alignment horizontal="center" vertical="center"/>
    </xf>
    <xf numFmtId="254" applyNumberFormat="1" fontId="51" applyFont="1" fillId="13" applyFill="1" borderId="0" applyBorder="1" xfId="16075" applyProtection="1" applyAlignment="1">
      <alignment vertical="center"/>
    </xf>
    <xf numFmtId="41" applyNumberFormat="1" fontId="29" applyFont="1" fillId="0" applyFill="1" borderId="0" applyBorder="1" xfId="1150" applyProtection="1" applyAlignment="1">
      <alignment vertical="center"/>
      <protection hidden="1"/>
    </xf>
    <xf numFmtId="41" applyNumberFormat="1" fontId="29" applyFont="1" fillId="0" applyFill="1" borderId="0" applyBorder="1" xfId="952" applyProtection="1" applyAlignment="1">
      <alignment vertical="center"/>
    </xf>
    <xf numFmtId="254" applyNumberFormat="1" fontId="29" applyFont="1" fillId="0" applyFill="1" borderId="0" applyBorder="1" xfId="1802" applyProtection="1" applyAlignment="1">
      <alignment horizontal="center" vertical="center"/>
    </xf>
    <xf numFmtId="254" applyNumberFormat="1" fontId="29" applyFont="1" fillId="0" applyFill="1" borderId="0" applyBorder="1" xfId="2284" applyProtection="1" applyAlignment="1">
      <alignment horizontal="center" vertical="center"/>
    </xf>
    <xf numFmtId="254" applyNumberFormat="1" fontId="8" applyFont="1" fillId="0" applyFill="1" borderId="0" applyBorder="1" xfId="952" applyProtection="1" applyAlignment="1">
      <alignment vertical="center"/>
    </xf>
    <xf numFmtId="0" applyNumberFormat="1" fontId="47" applyFont="1" fillId="8" applyFill="1" borderId="69" applyBorder="1" xfId="1655" applyProtection="1" applyAlignment="1">
      <alignment horizontal="center" vertical="center" wrapText="1"/>
      <protection hidden="1"/>
    </xf>
    <xf numFmtId="9" applyNumberFormat="1" fontId="47" applyFont="1" fillId="8" applyFill="1" borderId="69" applyBorder="1" xfId="1084" applyProtection="1" applyAlignment="1">
      <alignment horizontal="center" vertical="center" wrapText="1"/>
    </xf>
    <xf numFmtId="41" applyNumberFormat="1" fontId="47" applyFont="1" fillId="8" applyFill="1" borderId="69" applyBorder="1" xfId="7450" applyProtection="1" applyAlignment="1">
      <alignment horizontal="center" vertical="center" wrapText="1"/>
      <protection hidden="1"/>
    </xf>
    <xf numFmtId="0" applyNumberFormat="1" fontId="29" applyFont="1" fillId="22" applyFill="1" borderId="0" applyBorder="1" xfId="16075" applyProtection="1" applyAlignment="1">
      <alignment vertical="center"/>
    </xf>
    <xf numFmtId="254" applyNumberFormat="1" fontId="29" applyFont="1" fillId="22" applyFill="1" borderId="13" applyBorder="1" xfId="1802" applyProtection="1" applyAlignment="1">
      <alignment horizontal="center" vertical="center"/>
    </xf>
    <xf numFmtId="254" applyNumberFormat="1" fontId="49" applyFont="1" fillId="0" applyFill="1" borderId="0" applyBorder="1" xfId="16075" applyProtection="1" applyAlignment="1">
      <alignment vertical="center"/>
    </xf>
    <xf numFmtId="15" applyNumberFormat="1" fontId="29" applyFont="1" fillId="22" applyFill="1" borderId="18" applyBorder="1" xfId="952" applyProtection="1" applyAlignment="1">
      <alignment horizontal="center" vertical="center"/>
    </xf>
    <xf numFmtId="0" applyNumberFormat="1" fontId="49" applyFont="1" fillId="0" applyFill="1" borderId="0" applyBorder="1" xfId="18916" applyProtection="1" applyAlignment="1">
      <alignment vertical="center"/>
    </xf>
    <xf numFmtId="0" applyNumberFormat="1" fontId="29" applyFont="1" fillId="22" applyFill="1" borderId="0" applyBorder="1" xfId="18916" applyProtection="1" applyAlignment="1">
      <alignment vertical="center"/>
    </xf>
    <xf numFmtId="0" applyNumberFormat="1" fontId="29" applyFont="1" fillId="0" applyFill="1" borderId="0" applyBorder="1" xfId="18916" applyProtection="1" applyAlignment="1">
      <alignment vertical="center"/>
    </xf>
    <xf numFmtId="0" applyNumberFormat="1" fontId="29" applyFont="1" fillId="22" applyFill="1" borderId="13" applyBorder="1" xfId="3176" applyProtection="1" applyAlignment="1">
      <alignment horizontal="left" vertical="center"/>
    </xf>
    <xf numFmtId="0" applyNumberFormat="1" fontId="49" applyFont="1" fillId="14" applyFill="1" borderId="13" applyBorder="1" xfId="2131" applyProtection="1" applyAlignment="1">
      <alignment horizontal="left" vertical="center"/>
    </xf>
    <xf numFmtId="0" applyNumberFormat="1" fontId="29" applyFont="1" fillId="13" applyFill="1" borderId="18" applyBorder="1" xfId="2131" applyProtection="1" applyAlignment="1">
      <alignment horizontal="left" vertical="center"/>
    </xf>
    <xf numFmtId="254" applyNumberFormat="1" fontId="49" applyFont="1" fillId="14" applyFill="1" borderId="18" applyBorder="1" xfId="1802" applyProtection="1" applyAlignment="1">
      <alignment horizontal="center" vertical="center"/>
    </xf>
    <xf numFmtId="254" applyNumberFormat="1" fontId="49" applyFont="1" fillId="14" applyFill="1" borderId="18" applyBorder="1" xfId="2284" applyProtection="1" applyAlignment="1">
      <alignment horizontal="center" vertical="center"/>
    </xf>
    <xf numFmtId="254" applyNumberFormat="1" fontId="49" applyFont="1" fillId="14" applyFill="1" borderId="0" applyBorder="1" xfId="16075" applyProtection="1" applyAlignment="1">
      <alignment vertical="center"/>
    </xf>
    <xf numFmtId="254" applyNumberFormat="1" fontId="49" applyFont="1" fillId="13" applyFill="1" borderId="18" applyBorder="1" xfId="1802" applyProtection="1" applyAlignment="1">
      <alignment horizontal="center" vertical="center"/>
    </xf>
    <xf numFmtId="254" applyNumberFormat="1" fontId="49" applyFont="1" fillId="13" applyFill="1" borderId="18" applyBorder="1" xfId="2284" applyProtection="1" applyAlignment="1">
      <alignment horizontal="center" vertical="center"/>
    </xf>
    <xf numFmtId="254" applyNumberFormat="1" fontId="29" applyFont="1" fillId="0" applyFill="1" borderId="60" applyBorder="1" xfId="952" applyProtection="1" applyAlignment="1">
      <alignment horizontal="center" vertical="center"/>
    </xf>
    <xf numFmtId="0" applyNumberFormat="1" fontId="29" applyFont="1" fillId="22" applyFill="1" borderId="0" applyBorder="1" xfId="952" applyProtection="1" applyAlignment="1">
      <alignment vertical="center"/>
    </xf>
    <xf numFmtId="0" applyNumberFormat="1" fontId="7" applyFont="1" fillId="0" applyFill="1" borderId="0" applyBorder="1" xfId="437" applyProtection="1" applyAlignment="1">
      <alignment horizontal="left" vertical="center"/>
      <protection hidden="1"/>
    </xf>
    <xf numFmtId="0" applyNumberFormat="1" fontId="8" applyFont="1" fillId="0" applyFill="1" borderId="0" applyBorder="1" xfId="952" applyProtection="1" applyAlignment="1">
      <alignment horizontal="left" vertical="center"/>
    </xf>
    <xf numFmtId="0" applyNumberFormat="1" fontId="6" applyFont="1" fillId="0" applyFill="1" borderId="0" applyBorder="1" xfId="437" applyProtection="1" applyAlignment="1">
      <alignment horizontal="left" vertical="center"/>
      <protection hidden="1"/>
    </xf>
    <xf numFmtId="219" applyNumberFormat="1" fontId="80" applyFont="1" fillId="0" applyFill="1" borderId="0" applyBorder="1" xfId="7145" applyProtection="1" applyAlignment="1">
      <alignment vertical="center"/>
    </xf>
    <xf numFmtId="0" applyNumberFormat="1" fontId="47" applyFont="1" fillId="8" applyFill="1" borderId="26" applyBorder="1" xfId="1183" applyProtection="1" applyAlignment="1">
      <alignment horizontal="center" vertical="center" wrapText="1"/>
      <protection hidden="1"/>
    </xf>
    <xf numFmtId="0" applyNumberFormat="1" fontId="47" applyFont="1" fillId="8" applyFill="1" borderId="27" applyBorder="1" xfId="1183" applyProtection="1" applyAlignment="1">
      <alignment horizontal="center" vertical="center" wrapText="1"/>
      <protection hidden="1"/>
    </xf>
    <xf numFmtId="254" applyNumberFormat="1" fontId="75" applyFont="1" fillId="0" applyFill="1" borderId="13" applyBorder="1" xfId="20255" applyProtection="1" applyAlignment="1">
      <alignment vertical="center"/>
    </xf>
    <xf numFmtId="0" applyNumberFormat="1" fontId="75" applyFont="1" fillId="0" applyFill="1" borderId="13" applyBorder="1" xfId="952" applyProtection="1" applyAlignment="1">
      <alignment horizontal="center" vertical="center"/>
    </xf>
    <xf numFmtId="219" applyNumberFormat="1" fontId="75" applyFont="1" fillId="0" applyFill="1" borderId="13" applyBorder="1" xfId="7145" applyProtection="1" applyAlignment="1">
      <alignment vertical="center"/>
    </xf>
    <xf numFmtId="0" applyNumberFormat="1" fontId="6" applyFont="1" fillId="0" applyFill="1" borderId="0" applyBorder="1" xfId="952" applyProtection="1" applyAlignment="1">
      <alignment horizontal="left" vertical="center"/>
    </xf>
    <xf numFmtId="219" applyNumberFormat="1" fontId="8" applyFont="1" fillId="0" applyFill="1" borderId="0" applyBorder="1" xfId="7145" applyProtection="1" applyAlignment="1">
      <alignment vertical="center"/>
    </xf>
    <xf numFmtId="0" applyNumberFormat="1" fontId="8" applyFont="1" fillId="0" applyFill="1" borderId="0" applyBorder="1" xfId="2284" applyProtection="1" applyAlignment="1">
      <alignment vertical="center"/>
    </xf>
    <xf numFmtId="41" applyNumberFormat="1" fontId="47" applyFont="1" fillId="10" applyFill="1" borderId="27" applyBorder="1" xfId="2256" applyProtection="1" applyAlignment="1">
      <alignment horizontal="center" vertical="center" wrapText="1"/>
    </xf>
    <xf numFmtId="0" applyNumberFormat="1" fontId="29" applyFont="1" fillId="0" applyFill="1" borderId="0" applyBorder="1" xfId="2284" applyProtection="1" applyAlignment="1">
      <alignment horizontal="center" vertical="center"/>
    </xf>
    <xf numFmtId="254" applyNumberFormat="1" fontId="75" applyFont="1" fillId="0" applyFill="1" borderId="13" applyBorder="1" xfId="2284" applyProtection="1" applyAlignment="1">
      <alignment horizontal="center" vertical="center"/>
    </xf>
    <xf numFmtId="254" applyNumberFormat="1" fontId="75" applyFont="1" fillId="0" applyFill="1" borderId="40" applyBorder="1" xfId="2284" applyProtection="1" applyAlignment="1">
      <alignment horizontal="center" vertical="center"/>
    </xf>
    <xf numFmtId="0" applyNumberFormat="1" fontId="81" applyFont="1" fillId="0" applyFill="1" borderId="0" applyBorder="1" xfId="952" applyProtection="1" applyAlignment="1">
      <alignment vertical="center"/>
    </xf>
    <xf numFmtId="41" applyNumberFormat="1" fontId="29" applyFont="1" fillId="0" applyFill="1" borderId="39" applyBorder="1" xfId="952" applyProtection="1" applyAlignment="1">
      <alignment horizontal="center" vertical="center"/>
    </xf>
    <xf numFmtId="41" applyNumberFormat="1" fontId="82" applyFont="1" fillId="0" applyFill="1" borderId="0" applyBorder="1" xfId="952" applyProtection="1" applyAlignment="1">
      <alignment vertical="center"/>
    </xf>
    <xf numFmtId="0" applyNumberFormat="1" fontId="29" applyFont="1" fillId="0" applyFill="1" borderId="0" applyBorder="1" xfId="952" applyProtection="1" applyAlignment="1">
      <alignment vertical="center"/>
    </xf>
    <xf numFmtId="0" applyNumberFormat="1" fontId="81" applyFont="1" fillId="0" applyFill="1" borderId="13" applyBorder="1" xfId="952" applyProtection="1" applyAlignment="1">
      <alignment horizontal="center" vertical="center"/>
    </xf>
    <xf numFmtId="254" applyNumberFormat="1" fontId="81" applyFont="1" fillId="0" applyFill="1" borderId="13" applyBorder="1" xfId="20255" applyProtection="1" applyAlignment="1">
      <alignment vertical="center"/>
    </xf>
    <xf numFmtId="219" applyNumberFormat="1" fontId="81" applyFont="1" fillId="0" applyFill="1" borderId="13" applyBorder="1" xfId="7145" applyProtection="1" applyAlignment="1">
      <alignment vertical="center"/>
    </xf>
    <xf numFmtId="0" applyNumberFormat="1" fontId="75" applyFont="1" fillId="0" applyFill="1" borderId="0" applyBorder="1" xfId="952" applyProtection="1" applyAlignment="1">
      <alignment horizontal="center" vertical="center"/>
    </xf>
    <xf numFmtId="254" applyNumberFormat="1" fontId="75" applyFont="1" fillId="0" applyFill="1" borderId="0" applyBorder="1" xfId="20255" applyProtection="1" applyAlignment="1">
      <alignment vertical="center"/>
    </xf>
    <xf numFmtId="219" applyNumberFormat="1" fontId="75" applyFont="1" fillId="0" applyFill="1" borderId="0" applyBorder="1" xfId="7145" applyProtection="1" applyAlignment="1">
      <alignment vertical="center"/>
    </xf>
    <xf numFmtId="219" applyNumberFormat="1" fontId="75" applyFont="1" fillId="5" applyFill="1" borderId="13" applyBorder="1" xfId="20106" applyProtection="1" applyAlignment="1">
      <alignment vertical="center"/>
      <protection hidden="1"/>
    </xf>
    <xf numFmtId="219" applyNumberFormat="1" fontId="75" applyFont="1" fillId="0" applyFill="1" borderId="0" applyBorder="1" xfId="20106" applyProtection="1" applyAlignment="1">
      <alignment vertical="center"/>
    </xf>
    <xf numFmtId="219" applyNumberFormat="1" fontId="50" applyFont="1" fillId="0" applyFill="1" borderId="0" applyBorder="1" xfId="20106" applyProtection="1" applyAlignment="1">
      <alignment vertical="center"/>
      <protection hidden="1"/>
    </xf>
    <xf numFmtId="219" applyNumberFormat="1" fontId="75" applyFont="1" fillId="0" applyFill="1" borderId="0" applyBorder="1" xfId="20106" applyProtection="1" applyAlignment="1">
      <alignment vertical="center"/>
      <protection hidden="1"/>
    </xf>
    <xf numFmtId="0" applyNumberFormat="1" fontId="83" applyFont="1" fillId="5" applyFill="1" borderId="0" applyBorder="1" xfId="952" applyProtection="1" applyAlignment="1">
      <alignment vertical="center"/>
    </xf>
    <xf numFmtId="254" applyNumberFormat="1" fontId="81" applyFont="1" fillId="0" applyFill="1" borderId="13" applyBorder="1" xfId="2284" applyProtection="1" applyAlignment="1">
      <alignment horizontal="center" vertical="center"/>
    </xf>
    <xf numFmtId="0" applyNumberFormat="1" fontId="83" applyFont="1" fillId="5" applyFill="1" borderId="0" applyBorder="1" xfId="952" applyProtection="1" applyAlignment="1">
      <alignment vertical="center"/>
    </xf>
    <xf numFmtId="41" applyNumberFormat="1" fontId="75" applyFont="1" fillId="0" applyFill="1" borderId="0" applyBorder="1" xfId="1150" applyProtection="1" applyAlignment="1">
      <alignment vertical="center"/>
      <protection hidden="1"/>
    </xf>
    <xf numFmtId="41" applyNumberFormat="1" fontId="75" applyFont="1" fillId="0" applyFill="1" borderId="0" applyBorder="1" xfId="952" applyProtection="1" applyAlignment="1">
      <alignment vertical="center"/>
    </xf>
    <xf numFmtId="254" applyNumberFormat="1" fontId="75" applyFont="1" fillId="0" applyFill="1" borderId="0" applyBorder="1" xfId="2284" applyProtection="1" applyAlignment="1">
      <alignment horizontal="center" vertical="center"/>
    </xf>
    <xf numFmtId="0" applyNumberFormat="1" fontId="47" applyFont="1" fillId="8" applyFill="1" borderId="94" applyBorder="1" xfId="1183" applyProtection="1" applyAlignment="1">
      <alignment horizontal="center" vertical="center" wrapText="1"/>
      <protection hidden="1"/>
    </xf>
    <xf numFmtId="0" applyNumberFormat="1" fontId="47" applyFont="1" fillId="8" applyFill="1" borderId="69" applyBorder="1" xfId="1183" applyProtection="1" applyAlignment="1">
      <alignment horizontal="center" vertical="center" wrapText="1"/>
      <protection hidden="1"/>
    </xf>
    <xf numFmtId="219" applyNumberFormat="1" fontId="48" applyFont="1" fillId="8" applyFill="1" borderId="69" applyBorder="1" xfId="7145" applyProtection="1" applyAlignment="1">
      <alignment horizontal="center" vertical="center" wrapText="1"/>
      <protection hidden="1"/>
    </xf>
    <xf numFmtId="0" applyNumberFormat="1" fontId="47" applyFont="1" fillId="10" applyFill="1" borderId="69" applyBorder="1" xfId="1145" applyProtection="1" applyAlignment="1">
      <alignment horizontal="center" vertical="center" wrapText="1"/>
      <protection hidden="1"/>
    </xf>
    <xf numFmtId="41" applyNumberFormat="1" fontId="47" applyFont="1" fillId="10" applyFill="1" borderId="69" applyBorder="1" xfId="2256" applyProtection="1" applyAlignment="1">
      <alignment horizontal="center" vertical="center" wrapText="1"/>
    </xf>
    <xf numFmtId="41" applyNumberFormat="1" fontId="53" applyFont="1" fillId="8" applyFill="1" borderId="69" applyBorder="1" xfId="7450" applyProtection="1" applyAlignment="1">
      <alignment horizontal="center" vertical="center" wrapText="1"/>
      <protection hidden="1"/>
    </xf>
    <xf numFmtId="41" applyNumberFormat="1" fontId="53" applyFont="1" fillId="8" applyFill="1" borderId="95" applyBorder="1" xfId="7450" applyProtection="1" applyAlignment="1">
      <alignment horizontal="center" vertical="center" wrapText="1"/>
      <protection hidden="1"/>
    </xf>
    <xf numFmtId="0" applyNumberFormat="1" fontId="60" applyFont="1" fillId="0" applyFill="1" borderId="0" applyBorder="1" xfId="952" applyProtection="1" applyAlignment="1">
      <alignment vertical="center"/>
    </xf>
    <xf numFmtId="219" applyNumberFormat="1" fontId="75" applyFont="1" fillId="0" applyFill="1" borderId="20" applyBorder="1" xfId="20106" applyProtection="1" applyAlignment="1">
      <alignment vertical="center"/>
      <protection hidden="1"/>
    </xf>
    <xf numFmtId="219" applyNumberFormat="1" fontId="75" applyFont="1" fillId="0" applyFill="1" borderId="12" applyBorder="1" xfId="20106" applyProtection="1" applyAlignment="1">
      <alignment vertical="center"/>
      <protection hidden="1"/>
    </xf>
    <xf numFmtId="219" applyNumberFormat="1" fontId="49" applyFont="1" fillId="0" applyFill="1" borderId="8" applyBorder="1" xfId="20106" applyProtection="1" applyAlignment="1">
      <alignment vertical="center"/>
    </xf>
    <xf numFmtId="219" applyNumberFormat="1" fontId="49" applyFont="1" fillId="0" applyFill="1" borderId="8" applyBorder="1" xfId="20106" applyProtection="1" applyAlignment="1">
      <alignment vertical="center"/>
      <protection hidden="1"/>
    </xf>
    <xf numFmtId="203" applyNumberFormat="1" fontId="49" applyFont="1" fillId="0" applyFill="1" borderId="13" applyBorder="1" xfId="7145" applyProtection="1" applyAlignment="1">
      <alignment vertical="center"/>
    </xf>
    <xf numFmtId="0" applyNumberFormat="1" fontId="51" applyFont="1" fillId="0" applyFill="1" borderId="0" applyBorder="1" xfId="437" applyProtection="1" applyAlignment="1">
      <alignment horizontal="left" vertical="center"/>
      <protection hidden="1"/>
    </xf>
    <xf numFmtId="0" applyNumberFormat="1" fontId="49" applyFont="1" fillId="0" applyFill="1" borderId="87" applyBorder="1" xfId="952" applyProtection="1" applyAlignment="1">
      <alignment horizontal="center" vertical="center"/>
    </xf>
    <xf numFmtId="0" applyNumberFormat="1" fontId="49" applyFont="1" fillId="0" applyFill="1" borderId="56" applyBorder="1" xfId="2284" applyProtection="1" applyAlignment="1">
      <alignment horizontal="center" vertical="center"/>
    </xf>
    <xf numFmtId="0" applyNumberFormat="1" fontId="49" applyFont="1" fillId="0" applyFill="1" borderId="56" applyBorder="1" xfId="952" applyProtection="1" applyAlignment="1">
      <alignment horizontal="left" vertical="center"/>
    </xf>
    <xf numFmtId="0" applyNumberFormat="1" fontId="49" applyFont="1" fillId="0" applyFill="1" borderId="97" applyBorder="1" xfId="2284" applyProtection="1" applyAlignment="1">
      <alignment horizontal="center" vertical="center"/>
    </xf>
    <xf numFmtId="0" applyNumberFormat="1" fontId="49" applyFont="1" fillId="0" applyFill="1" borderId="98" applyBorder="1" xfId="2284" applyProtection="1" applyAlignment="1">
      <alignment horizontal="center" vertical="center"/>
    </xf>
    <xf numFmtId="0" applyNumberFormat="1" fontId="49" applyFont="1" fillId="0" applyFill="1" borderId="99" applyBorder="1" xfId="2284" applyProtection="1" applyAlignment="1">
      <alignment horizontal="center" vertical="center"/>
    </xf>
    <xf numFmtId="219" applyNumberFormat="1" fontId="49" applyFont="1" fillId="0" applyFill="1" borderId="100" applyBorder="1" xfId="7145" applyProtection="1" applyAlignment="1">
      <alignment horizontal="left" vertical="center"/>
    </xf>
    <xf numFmtId="219" applyNumberFormat="1" fontId="49" applyFont="1" fillId="0" applyFill="1" borderId="6" applyBorder="1" xfId="7145" applyProtection="1" applyAlignment="1">
      <alignment horizontal="left" vertical="center"/>
    </xf>
    <xf numFmtId="0" applyNumberFormat="1" fontId="49" applyFont="1" fillId="0" applyFill="1" borderId="11" applyBorder="1" xfId="2284" applyProtection="1" applyAlignment="1">
      <alignment horizontal="center" vertical="center"/>
    </xf>
    <xf numFmtId="219" applyNumberFormat="1" fontId="49" applyFont="1" fillId="0" applyFill="1" borderId="56" applyBorder="1" xfId="20106" applyProtection="1" applyAlignment="1">
      <alignment vertical="center"/>
    </xf>
    <xf numFmtId="219" applyNumberFormat="1" fontId="49" applyFont="1" fillId="0" applyFill="1" borderId="56" applyBorder="1" xfId="20106" applyProtection="1" applyAlignment="1">
      <alignment vertical="center"/>
      <protection hidden="1"/>
    </xf>
    <xf numFmtId="203" applyNumberFormat="1" fontId="49" applyFont="1" fillId="0" applyFill="1" borderId="52" applyBorder="1" xfId="7145" applyProtection="1" applyAlignment="1">
      <alignment vertical="center"/>
    </xf>
    <xf numFmtId="203" applyNumberFormat="1" fontId="49" applyFont="1" fillId="0" applyFill="1" borderId="20" applyBorder="1" xfId="7145" applyProtection="1" applyAlignment="1">
      <alignment vertical="center"/>
    </xf>
    <xf numFmtId="219" applyNumberFormat="1" fontId="49" applyFont="1" fillId="0" applyFill="1" borderId="57" applyBorder="1" xfId="20106" applyProtection="1" applyAlignment="1">
      <alignment vertical="center"/>
      <protection hidden="1"/>
    </xf>
    <xf numFmtId="254" applyNumberFormat="1" fontId="49" applyFont="1" fillId="0" applyFill="1" borderId="55" applyBorder="1" xfId="2284" applyProtection="1" applyAlignment="1">
      <alignment horizontal="center" vertical="center"/>
    </xf>
    <xf numFmtId="0" applyNumberFormat="1" fontId="49" applyFont="1" fillId="16" applyFill="1" borderId="28" applyBorder="1" xfId="952" applyProtection="1" applyAlignment="1">
      <alignment horizontal="center" vertical="center"/>
    </xf>
    <xf numFmtId="0" applyNumberFormat="1" fontId="49" applyFont="1" fillId="16" applyFill="1" borderId="13" applyBorder="1" xfId="952" applyProtection="1" applyAlignment="1">
      <alignment horizontal="left" vertical="center"/>
    </xf>
    <xf numFmtId="219" applyNumberFormat="1" fontId="49" applyFont="1" fillId="16" applyFill="1" borderId="8" applyBorder="1" xfId="7145" applyProtection="1" applyAlignment="1">
      <alignment horizontal="left" vertical="center"/>
    </xf>
    <xf numFmtId="0" applyNumberFormat="1" fontId="49" applyFont="1" fillId="22" applyFill="1" borderId="87" applyBorder="1" xfId="952" applyProtection="1" applyAlignment="1">
      <alignment horizontal="center" vertical="center"/>
    </xf>
    <xf numFmtId="0" applyNumberFormat="1" fontId="49" applyFont="1" fillId="22" applyFill="1" borderId="56" applyBorder="1" xfId="2284" applyProtection="1" applyAlignment="1">
      <alignment horizontal="center" vertical="center"/>
    </xf>
    <xf numFmtId="0" applyNumberFormat="1" fontId="49" applyFont="1" fillId="22" applyFill="1" borderId="56" applyBorder="1" xfId="952" applyProtection="1" applyAlignment="1">
      <alignment horizontal="left" vertical="center"/>
    </xf>
    <xf numFmtId="219" applyNumberFormat="1" fontId="49" applyFont="1" fillId="22" applyFill="1" borderId="88" applyBorder="1" xfId="7145" applyProtection="1" applyAlignment="1">
      <alignment horizontal="left" vertical="center"/>
    </xf>
    <xf numFmtId="0" applyNumberFormat="1" fontId="49" applyFont="1" fillId="22" applyFill="1" borderId="28" applyBorder="1" xfId="952" applyProtection="1" applyAlignment="1">
      <alignment horizontal="center" vertical="center"/>
    </xf>
    <xf numFmtId="0" applyNumberFormat="1" fontId="49" applyFont="1" fillId="22" applyFill="1" borderId="13" applyBorder="1" xfId="2284" applyProtection="1" applyAlignment="1">
      <alignment horizontal="center" vertical="center"/>
    </xf>
    <xf numFmtId="0" applyNumberFormat="1" fontId="49" applyFont="1" fillId="22" applyFill="1" borderId="13" applyBorder="1" xfId="952" applyProtection="1" applyAlignment="1">
      <alignment horizontal="left" vertical="center"/>
    </xf>
    <xf numFmtId="219" applyNumberFormat="1" fontId="49" applyFont="1" fillId="22" applyFill="1" borderId="8" applyBorder="1" xfId="7145" applyProtection="1" applyAlignment="1">
      <alignment horizontal="left" vertical="center"/>
    </xf>
    <xf numFmtId="219" applyNumberFormat="1" fontId="49" applyFont="1" fillId="22" applyFill="1" borderId="88" applyBorder="1" xfId="20106" applyProtection="1" applyAlignment="1">
      <alignment vertical="center"/>
    </xf>
    <xf numFmtId="219" applyNumberFormat="1" fontId="49" applyFont="1" fillId="22" applyFill="1" borderId="88" applyBorder="1" xfId="7145" applyProtection="1" applyAlignment="1">
      <alignment vertical="center"/>
    </xf>
    <xf numFmtId="219" applyNumberFormat="1" fontId="49" applyFont="1" fillId="22" applyFill="1" borderId="88" applyBorder="1" xfId="20106" applyProtection="1" applyAlignment="1">
      <alignment vertical="center"/>
      <protection hidden="1"/>
    </xf>
    <xf numFmtId="219" applyNumberFormat="1" fontId="49" applyFont="1" fillId="22" applyFill="1" borderId="13" applyBorder="1" xfId="20106" applyProtection="1" applyAlignment="1">
      <alignment vertical="center"/>
    </xf>
    <xf numFmtId="219" applyNumberFormat="1" fontId="49" applyFont="1" fillId="22" applyFill="1" borderId="13" applyBorder="1" xfId="7145" applyProtection="1" applyAlignment="1">
      <alignment vertical="center"/>
    </xf>
    <xf numFmtId="219" applyNumberFormat="1" fontId="49" applyFont="1" fillId="22" applyFill="1" borderId="13" applyBorder="1" xfId="20106" applyProtection="1" applyAlignment="1">
      <alignment vertical="center"/>
      <protection hidden="1"/>
    </xf>
    <xf numFmtId="219" applyNumberFormat="1" fontId="49" applyFont="1" fillId="22" applyFill="1" borderId="56" applyBorder="1" xfId="20106" applyProtection="1" applyAlignment="1">
      <alignment vertical="center"/>
      <protection hidden="1"/>
    </xf>
    <xf numFmtId="41" applyNumberFormat="1" fontId="49" applyFont="1" fillId="22" applyFill="1" borderId="56" applyBorder="1" xfId="1150" applyProtection="1" applyAlignment="1">
      <alignment vertical="center"/>
      <protection hidden="1"/>
    </xf>
    <xf numFmtId="41" applyNumberFormat="1" fontId="49" applyFont="1" fillId="22" applyFill="1" borderId="56" applyBorder="1" xfId="952" applyProtection="1" applyAlignment="1">
      <alignment vertical="center"/>
    </xf>
    <xf numFmtId="254" applyNumberFormat="1" fontId="49" applyFont="1" fillId="22" applyFill="1" borderId="56" applyBorder="1" xfId="2284" applyProtection="1" applyAlignment="1">
      <alignment horizontal="center" vertical="center"/>
    </xf>
    <xf numFmtId="254" applyNumberFormat="1" fontId="49" applyFont="1" fillId="22" applyFill="1" borderId="58" applyBorder="1" xfId="2284" applyProtection="1" applyAlignment="1">
      <alignment horizontal="center" vertical="center"/>
    </xf>
    <xf numFmtId="41" applyNumberFormat="1" fontId="49" applyFont="1" fillId="22" applyFill="1" borderId="13" applyBorder="1" xfId="1150" applyProtection="1" applyAlignment="1">
      <alignment vertical="center"/>
      <protection hidden="1"/>
    </xf>
    <xf numFmtId="41" applyNumberFormat="1" fontId="49" applyFont="1" fillId="22" applyFill="1" borderId="13" applyBorder="1" xfId="952" applyProtection="1" applyAlignment="1">
      <alignment vertical="center"/>
    </xf>
    <xf numFmtId="254" applyNumberFormat="1" fontId="49" applyFont="1" fillId="22" applyFill="1" borderId="13" applyBorder="1" xfId="2284" applyProtection="1" applyAlignment="1">
      <alignment horizontal="center" vertical="center"/>
    </xf>
    <xf numFmtId="254" applyNumberFormat="1" fontId="49" applyFont="1" fillId="22" applyFill="1" borderId="40" applyBorder="1" xfId="2284" applyProtection="1" applyAlignment="1">
      <alignment horizontal="center" vertical="center"/>
    </xf>
    <xf numFmtId="0" applyNumberFormat="1" fontId="49" applyFont="1" fillId="22" applyFill="1" borderId="0" applyBorder="1" xfId="952" applyProtection="1" applyAlignment="1">
      <alignment vertical="center"/>
    </xf>
    <xf numFmtId="0" applyNumberFormat="1" fontId="48" applyFont="1" fillId="8" applyFill="1" borderId="26" applyBorder="1" xfId="1183" applyProtection="1" applyAlignment="1">
      <alignment horizontal="center" vertical="center" wrapText="1"/>
      <protection hidden="1"/>
    </xf>
    <xf numFmtId="0" applyNumberFormat="1" fontId="48" applyFont="1" fillId="8" applyFill="1" borderId="27" applyBorder="1" xfId="1183" applyProtection="1" applyAlignment="1">
      <alignment horizontal="center" vertical="center" wrapText="1"/>
      <protection hidden="1"/>
    </xf>
    <xf numFmtId="49" applyNumberFormat="1" fontId="48" applyFont="1" fillId="8" applyFill="1" borderId="27" applyBorder="1" xfId="1183" applyProtection="1" applyAlignment="1">
      <alignment horizontal="center" vertical="center" wrapText="1"/>
      <protection hidden="1"/>
    </xf>
    <xf numFmtId="219" applyNumberFormat="1" fontId="62" applyFont="1" fillId="0" applyFill="1" borderId="51" applyBorder="1" xfId="7145" applyProtection="1" applyAlignment="1">
      <alignment horizontal="left" vertical="center"/>
    </xf>
    <xf numFmtId="0" applyNumberFormat="1" fontId="62" applyFont="1" fillId="0" applyFill="1" borderId="102" applyBorder="1" xfId="1802" applyProtection="1" applyAlignment="1">
      <alignment horizontal="center" vertical="center"/>
    </xf>
    <xf numFmtId="219" applyNumberFormat="1" fontId="62" applyFont="1" fillId="0" applyFill="1" borderId="0" applyBorder="1" xfId="7145" applyProtection="1" applyAlignment="1">
      <alignment horizontal="left" vertical="center"/>
    </xf>
    <xf numFmtId="0" applyNumberFormat="1" fontId="48" applyFont="1" fillId="8" applyFill="1" borderId="27" applyBorder="1" xfId="2256" applyProtection="1" applyAlignment="1">
      <alignment horizontal="center" vertical="center" wrapText="1"/>
    </xf>
    <xf numFmtId="0" applyNumberFormat="1" fontId="48" applyFont="1" fillId="10" applyFill="1" borderId="27" applyBorder="1" xfId="1145" applyProtection="1" applyAlignment="1">
      <alignment horizontal="center" vertical="center" wrapText="1"/>
      <protection hidden="1"/>
    </xf>
    <xf numFmtId="41" applyNumberFormat="1" fontId="48" applyFont="1" fillId="8" applyFill="1" borderId="27" applyBorder="1" xfId="2256" applyProtection="1" applyAlignment="1">
      <alignment horizontal="center" vertical="center" wrapText="1"/>
    </xf>
    <xf numFmtId="0" applyNumberFormat="1" fontId="48" applyFont="1" fillId="10" applyFill="1" borderId="27" applyBorder="1" xfId="19674" applyProtection="1" applyAlignment="1">
      <alignment horizontal="center" vertical="center" wrapText="1"/>
    </xf>
    <xf numFmtId="9" applyNumberFormat="1" fontId="48" applyFont="1" fillId="8" applyFill="1" borderId="27" applyBorder="1" xfId="1084" applyProtection="1" applyAlignment="1">
      <alignment horizontal="center" vertical="center" wrapText="1"/>
    </xf>
    <xf numFmtId="41" applyNumberFormat="1" fontId="48" applyFont="1" fillId="8" applyFill="1" borderId="27" applyBorder="1" xfId="7450" applyProtection="1" applyAlignment="1">
      <alignment horizontal="center" vertical="center" wrapText="1"/>
      <protection hidden="1"/>
    </xf>
    <xf numFmtId="41" applyNumberFormat="1" fontId="84" applyFont="1" fillId="8" applyFill="1" borderId="27" applyBorder="1" xfId="7450" applyProtection="1" applyAlignment="1">
      <alignment horizontal="center" vertical="center" wrapText="1"/>
      <protection hidden="1"/>
    </xf>
    <xf numFmtId="41" applyNumberFormat="1" fontId="84" applyFont="1" fillId="8" applyFill="1" borderId="37" applyBorder="1" xfId="7450" applyProtection="1" applyAlignment="1">
      <alignment horizontal="center" vertical="center" wrapText="1"/>
      <protection hidden="1"/>
    </xf>
    <xf numFmtId="15" applyNumberFormat="1" fontId="50" applyFont="1" fillId="0" applyFill="1" borderId="89" applyBorder="1" xfId="952" applyProtection="1" applyAlignment="1">
      <alignment horizontal="center" vertical="center"/>
    </xf>
    <xf numFmtId="15" applyNumberFormat="1" fontId="50" applyFont="1" fillId="0" applyFill="1" borderId="0" applyBorder="1" xfId="952" applyProtection="1" applyAlignment="1">
      <alignment horizontal="center" vertical="center"/>
    </xf>
    <xf numFmtId="0" applyNumberFormat="1" fontId="48" applyFont="1" fillId="8" applyFill="1" borderId="36" applyBorder="1" xfId="1183" applyProtection="1" applyAlignment="1">
      <alignment horizontal="center" vertical="center" wrapText="1"/>
      <protection hidden="1"/>
    </xf>
    <xf numFmtId="49" applyNumberFormat="1" fontId="48" applyFont="1" fillId="8" applyFill="1" borderId="36" applyBorder="1" xfId="1183" applyProtection="1" applyAlignment="1">
      <alignment horizontal="center" vertical="center" wrapText="1"/>
      <protection hidden="1"/>
    </xf>
    <xf numFmtId="0" applyNumberFormat="1" fontId="69" applyFont="1" fillId="13" applyFill="1" borderId="28" applyBorder="1" xfId="952" applyProtection="1" applyAlignment="1">
      <alignment horizontal="center" vertical="center"/>
    </xf>
    <xf numFmtId="0" applyNumberFormat="1" fontId="69" applyFont="1" fillId="13" applyFill="1" borderId="20" applyBorder="1" xfId="952" applyProtection="1" applyAlignment="1">
      <alignment horizontal="left" vertical="center"/>
    </xf>
    <xf numFmtId="0" applyNumberFormat="1" fontId="68" applyFont="1" fillId="13" applyFill="1" borderId="13" applyBorder="1" xfId="2284" applyProtection="1" applyAlignment="1">
      <alignment horizontal="center" vertical="center"/>
    </xf>
    <xf numFmtId="219" applyNumberFormat="1" fontId="69" applyFont="1" fillId="13" applyFill="1" borderId="12" applyBorder="1" xfId="7145" applyProtection="1" applyAlignment="1">
      <alignment vertical="center"/>
    </xf>
    <xf numFmtId="219" applyNumberFormat="1" fontId="69" applyFont="1" fillId="13" applyFill="1" borderId="13" applyBorder="1" xfId="7145" applyProtection="1" applyAlignment="1">
      <alignment vertical="center"/>
    </xf>
    <xf numFmtId="0" applyNumberFormat="1" fontId="69" applyFont="1" fillId="0" applyFill="1" borderId="28" applyBorder="1" xfId="952" applyProtection="1" applyAlignment="1">
      <alignment horizontal="center" vertical="center"/>
    </xf>
    <xf numFmtId="0" applyNumberFormat="1" fontId="69" applyFont="1" fillId="0" applyFill="1" borderId="13" applyBorder="1" xfId="2284" applyProtection="1" applyAlignment="1">
      <alignment horizontal="center" vertical="center"/>
    </xf>
    <xf numFmtId="0" applyNumberFormat="1" fontId="69" applyFont="1" fillId="0" applyFill="1" borderId="20" applyBorder="1" xfId="952" applyProtection="1" applyAlignment="1">
      <alignment horizontal="left" vertical="center"/>
    </xf>
    <xf numFmtId="219" applyNumberFormat="1" fontId="69" applyFont="1" fillId="0" applyFill="1" borderId="12" applyBorder="1" xfId="7145" applyProtection="1" applyAlignment="1">
      <alignment vertical="center"/>
    </xf>
    <xf numFmtId="219" applyNumberFormat="1" fontId="69" applyFont="1" fillId="0" applyFill="1" borderId="13" applyBorder="1" xfId="7145" applyProtection="1" applyAlignment="1">
      <alignment vertical="center"/>
    </xf>
    <xf numFmtId="219" applyNumberFormat="1" fontId="62" applyFont="1" fillId="0" applyFill="1" borderId="32" applyBorder="1" xfId="7145" applyProtection="1" applyAlignment="1">
      <alignment horizontal="left" vertical="center"/>
    </xf>
    <xf numFmtId="219" applyNumberFormat="1" fontId="49" applyFont="1" fillId="0" applyFill="1" borderId="88" applyBorder="1" xfId="7145" applyProtection="1" applyAlignment="1">
      <alignment horizontal="left" vertical="center"/>
    </xf>
    <xf numFmtId="219" applyNumberFormat="1" fontId="69" applyFont="1" fillId="0" applyFill="1" borderId="13" applyBorder="1" xfId="20106" applyProtection="1" applyAlignment="1">
      <alignment vertical="center"/>
    </xf>
    <xf numFmtId="219" applyNumberFormat="1" fontId="69" applyFont="1" fillId="0" applyFill="1" borderId="13" applyBorder="1" xfId="20106" applyProtection="1" applyAlignment="1">
      <alignment vertical="center"/>
      <protection hidden="1"/>
    </xf>
    <xf numFmtId="219" applyNumberFormat="1" fontId="49" applyFont="1" fillId="0" applyFill="1" borderId="88" applyBorder="1" xfId="20106" applyProtection="1" applyAlignment="1">
      <alignment vertical="center"/>
    </xf>
    <xf numFmtId="219" applyNumberFormat="1" fontId="49" applyFont="1" fillId="0" applyFill="1" borderId="88" applyBorder="1" xfId="7145" applyProtection="1" applyAlignment="1">
      <alignment vertical="center"/>
    </xf>
    <xf numFmtId="219" applyNumberFormat="1" fontId="49" applyFont="1" fillId="0" applyFill="1" borderId="88" applyBorder="1" xfId="20106" applyProtection="1" applyAlignment="1">
      <alignment vertical="center"/>
      <protection hidden="1"/>
    </xf>
    <xf numFmtId="219" applyNumberFormat="1" fontId="69" applyFont="1" fillId="9" applyFill="1" borderId="13" applyBorder="1" xfId="20106" applyProtection="1" applyAlignment="1">
      <alignment vertical="center"/>
      <protection hidden="1"/>
    </xf>
    <xf numFmtId="254" applyNumberFormat="1" fontId="69" applyFont="1" fillId="13" applyFill="1" borderId="40" applyBorder="1" xfId="2284" applyProtection="1" applyAlignment="1">
      <alignment horizontal="center" vertical="center"/>
    </xf>
    <xf numFmtId="41" applyNumberFormat="1" fontId="69" applyFont="1" fillId="0" applyFill="1" borderId="13" applyBorder="1" xfId="1150" applyProtection="1" applyAlignment="1">
      <alignment vertical="center"/>
      <protection hidden="1"/>
    </xf>
    <xf numFmtId="41" applyNumberFormat="1" fontId="69" applyFont="1" fillId="0" applyFill="1" borderId="13" applyBorder="1" xfId="952" applyProtection="1" applyAlignment="1">
      <alignment vertical="center"/>
    </xf>
    <xf numFmtId="254" applyNumberFormat="1" fontId="69" applyFont="1" fillId="0" applyFill="1" borderId="13" applyBorder="1" xfId="2284" applyProtection="1" applyAlignment="1">
      <alignment horizontal="center" vertical="center"/>
    </xf>
    <xf numFmtId="254" applyNumberFormat="1" fontId="69" applyFont="1" fillId="0" applyFill="1" borderId="40" applyBorder="1" xfId="2284" applyProtection="1" applyAlignment="1">
      <alignment horizontal="center" vertical="center"/>
    </xf>
    <xf numFmtId="15" applyNumberFormat="1" fontId="50" applyFont="1" fillId="0" applyFill="1" borderId="39" applyBorder="1" xfId="952" applyProtection="1" applyAlignment="1">
      <alignment horizontal="center" vertical="center"/>
    </xf>
    <xf numFmtId="41" applyNumberFormat="1" fontId="49" applyFont="1" fillId="0" applyFill="1" borderId="56" applyBorder="1" xfId="1150" applyProtection="1" applyAlignment="1">
      <alignment vertical="center"/>
      <protection hidden="1"/>
    </xf>
    <xf numFmtId="41" applyNumberFormat="1" fontId="49" applyFont="1" fillId="0" applyFill="1" borderId="56" applyBorder="1" xfId="952" applyProtection="1" applyAlignment="1">
      <alignment vertical="center"/>
    </xf>
    <xf numFmtId="0" applyNumberFormat="1" fontId="69" applyFont="1" fillId="16" applyFill="1" borderId="28" applyBorder="1" xfId="952" applyProtection="1" applyAlignment="1">
      <alignment horizontal="center" vertical="center"/>
    </xf>
    <xf numFmtId="0" applyNumberFormat="1" fontId="69" applyFont="1" fillId="16" applyFill="1" borderId="13" applyBorder="1" xfId="2284" applyProtection="1" applyAlignment="1">
      <alignment horizontal="center" vertical="center"/>
    </xf>
    <xf numFmtId="0" applyNumberFormat="1" fontId="69" applyFont="1" fillId="16" applyFill="1" borderId="13" applyBorder="1" xfId="952" applyProtection="1" applyAlignment="1">
      <alignment horizontal="left" vertical="center"/>
    </xf>
    <xf numFmtId="0" applyNumberFormat="1" fontId="69" applyFont="1" fillId="16" applyFill="1" borderId="18" applyBorder="1" xfId="2284" applyProtection="1" applyAlignment="1">
      <alignment horizontal="center" vertical="center"/>
    </xf>
    <xf numFmtId="0" applyNumberFormat="1" fontId="68" applyFont="1" fillId="16" applyFill="1" borderId="56" applyBorder="1" xfId="2284" applyProtection="1" applyAlignment="1">
      <alignment horizontal="center" vertical="center"/>
    </xf>
    <xf numFmtId="219" applyNumberFormat="1" fontId="69" applyFont="1" fillId="16" applyFill="1" borderId="13" applyBorder="1" xfId="7145" applyProtection="1" applyAlignment="1">
      <alignment vertical="center"/>
    </xf>
    <xf numFmtId="0" applyNumberFormat="1" fontId="68" applyFont="1" fillId="16" applyFill="1" borderId="8" applyBorder="1" xfId="2284" applyProtection="1" applyAlignment="1">
      <alignment horizontal="center" vertical="center"/>
    </xf>
    <xf numFmtId="0" applyNumberFormat="1" fontId="49" applyFont="1" fillId="16" applyFill="1" borderId="87" applyBorder="1" xfId="952" applyProtection="1" applyAlignment="1">
      <alignment horizontal="center" vertical="center"/>
    </xf>
    <xf numFmtId="0" applyNumberFormat="1" fontId="49" applyFont="1" fillId="16" applyFill="1" borderId="56" applyBorder="1" xfId="2284" applyProtection="1" applyAlignment="1">
      <alignment horizontal="center" vertical="center"/>
    </xf>
    <xf numFmtId="0" applyNumberFormat="1" fontId="49" applyFont="1" fillId="16" applyFill="1" borderId="56" applyBorder="1" xfId="952" applyProtection="1" applyAlignment="1">
      <alignment horizontal="left" vertical="center"/>
    </xf>
    <xf numFmtId="219" applyNumberFormat="1" fontId="49" applyFont="1" fillId="16" applyFill="1" borderId="88" applyBorder="1" xfId="7145" applyProtection="1" applyAlignment="1">
      <alignment horizontal="left" vertical="center"/>
    </xf>
    <xf numFmtId="219" applyNumberFormat="1" fontId="69" applyFont="1" fillId="16" applyFill="1" borderId="13" applyBorder="1" xfId="20106" applyProtection="1" applyAlignment="1">
      <alignment vertical="center"/>
    </xf>
    <xf numFmtId="219" applyNumberFormat="1" fontId="69" applyFont="1" fillId="16" applyFill="1" borderId="13" applyBorder="1" xfId="20106" applyProtection="1" applyAlignment="1">
      <alignment vertical="center"/>
      <protection hidden="1"/>
    </xf>
    <xf numFmtId="219" applyNumberFormat="1" fontId="49" applyFont="1" fillId="16" applyFill="1" borderId="88" applyBorder="1" xfId="20106" applyProtection="1" applyAlignment="1">
      <alignment vertical="center"/>
    </xf>
    <xf numFmtId="219" applyNumberFormat="1" fontId="49" applyFont="1" fillId="16" applyFill="1" borderId="88" applyBorder="1" xfId="7145" applyProtection="1" applyAlignment="1">
      <alignment vertical="center"/>
    </xf>
    <xf numFmtId="219" applyNumberFormat="1" fontId="49" applyFont="1" fillId="16" applyFill="1" borderId="88" applyBorder="1" xfId="20106" applyProtection="1" applyAlignment="1">
      <alignment vertical="center"/>
      <protection hidden="1"/>
    </xf>
    <xf numFmtId="219" applyNumberFormat="1" fontId="49" applyFont="1" fillId="16" applyFill="1" borderId="8" applyBorder="1" xfId="7145" applyProtection="1" applyAlignment="1">
      <alignment vertical="center"/>
    </xf>
    <xf numFmtId="219" applyNumberFormat="1" fontId="49" applyFont="1" fillId="16" applyFill="1" borderId="8" applyBorder="1" xfId="20106" applyProtection="1" applyAlignment="1">
      <alignment vertical="center"/>
    </xf>
    <xf numFmtId="219" applyNumberFormat="1" fontId="49" applyFont="1" fillId="16" applyFill="1" borderId="8" applyBorder="1" xfId="20106" applyProtection="1" applyAlignment="1">
      <alignment vertical="center"/>
      <protection hidden="1"/>
    </xf>
    <xf numFmtId="41" applyNumberFormat="1" fontId="69" applyFont="1" fillId="16" applyFill="1" borderId="13" applyBorder="1" xfId="1150" applyProtection="1" applyAlignment="1">
      <alignment vertical="center"/>
      <protection hidden="1"/>
    </xf>
    <xf numFmtId="41" applyNumberFormat="1" fontId="69" applyFont="1" fillId="16" applyFill="1" borderId="13" applyBorder="1" xfId="952" applyProtection="1" applyAlignment="1">
      <alignment vertical="center"/>
    </xf>
    <xf numFmtId="254" applyNumberFormat="1" fontId="69" applyFont="1" fillId="16" applyFill="1" borderId="13" applyBorder="1" xfId="2284" applyProtection="1" applyAlignment="1">
      <alignment horizontal="center" vertical="center"/>
    </xf>
    <xf numFmtId="254" applyNumberFormat="1" fontId="69" applyFont="1" fillId="16" applyFill="1" borderId="40" applyBorder="1" xfId="2284" applyProtection="1" applyAlignment="1">
      <alignment horizontal="center" vertical="center"/>
    </xf>
    <xf numFmtId="219" applyNumberFormat="1" fontId="49" applyFont="1" fillId="16" applyFill="1" borderId="56" applyBorder="1" xfId="20106" applyProtection="1" applyAlignment="1">
      <alignment vertical="center"/>
      <protection hidden="1"/>
    </xf>
    <xf numFmtId="41" applyNumberFormat="1" fontId="49" applyFont="1" fillId="16" applyFill="1" borderId="56" applyBorder="1" xfId="1150" applyProtection="1" applyAlignment="1">
      <alignment vertical="center"/>
      <protection hidden="1"/>
    </xf>
    <xf numFmtId="41" applyNumberFormat="1" fontId="49" applyFont="1" fillId="16" applyFill="1" borderId="56" applyBorder="1" xfId="952" applyProtection="1" applyAlignment="1">
      <alignment vertical="center"/>
    </xf>
    <xf numFmtId="219" applyNumberFormat="1" fontId="74" applyFont="1" fillId="0" applyFill="1" borderId="0" applyBorder="1" xfId="7145" applyProtection="1" applyAlignment="1">
      <alignment vertical="center"/>
    </xf>
    <xf numFmtId="0" applyNumberFormat="1" fontId="83" applyFont="1" fillId="0" applyFill="1" borderId="0" applyBorder="1" xfId="952" applyProtection="1" applyAlignment="1">
      <alignment vertical="center"/>
    </xf>
    <xf numFmtId="0" applyNumberFormat="1" fontId="86" applyFont="1" fillId="0" applyFill="1" borderId="0" applyBorder="1" xfId="437" applyProtection="1" applyAlignment="1">
      <alignment horizontal="left" vertical="center"/>
      <protection hidden="1"/>
    </xf>
    <xf numFmtId="0" applyNumberFormat="1" fontId="33" applyFont="1" fillId="0" applyFill="1" borderId="0" applyBorder="1" xfId="952" applyProtection="1" applyAlignment="1">
      <alignment horizontal="center" vertical="center"/>
    </xf>
    <xf numFmtId="0" applyNumberFormat="1" fontId="33" applyFont="1" fillId="0" applyFill="1" borderId="0" applyBorder="1" xfId="952" applyProtection="1" applyAlignment="1">
      <alignment horizontal="left" vertical="center"/>
    </xf>
    <xf numFmtId="219" applyNumberFormat="1" fontId="33" applyFont="1" fillId="0" applyFill="1" borderId="0" applyBorder="1" xfId="7145" applyProtection="1" applyAlignment="1">
      <alignment vertical="center"/>
    </xf>
    <xf numFmtId="0" applyNumberFormat="1" fontId="33" applyFont="1" fillId="0" applyFill="1" borderId="0" applyBorder="1" xfId="952" applyProtection="1" applyAlignment="1">
      <alignment horizontal="center" vertical="center"/>
    </xf>
    <xf numFmtId="0" applyNumberFormat="1" fontId="33" applyFont="1" fillId="0" applyFill="1" borderId="0" applyBorder="1" xfId="952" applyProtection="1" applyAlignment="1">
      <alignment horizontal="left" vertical="center"/>
    </xf>
    <xf numFmtId="219" applyNumberFormat="1" fontId="33" applyFont="1" fillId="0" applyFill="1" borderId="0" applyBorder="1" xfId="7145" applyProtection="1" applyAlignment="1">
      <alignment vertical="center"/>
    </xf>
    <xf numFmtId="0" applyNumberFormat="1" fontId="62" applyFont="1" fillId="0" applyFill="1" borderId="0" applyBorder="1" xfId="437" applyProtection="1" applyAlignment="1">
      <alignment horizontal="left" vertical="center"/>
      <protection hidden="1"/>
    </xf>
    <xf numFmtId="219" applyNumberFormat="1" fontId="87" applyFont="1" fillId="0" applyFill="1" borderId="0" applyBorder="1" xfId="7145" applyProtection="1" applyAlignment="1">
      <alignment vertical="center"/>
    </xf>
    <xf numFmtId="0" applyNumberFormat="1" fontId="50" applyFont="1" fillId="0" applyFill="1" borderId="28" applyBorder="1" xfId="952" applyProtection="1" applyAlignment="1">
      <alignment horizontal="center" vertical="center"/>
    </xf>
    <xf numFmtId="0" applyNumberFormat="1" fontId="50" applyFont="1" fillId="0" applyFill="1" borderId="18" applyBorder="1" xfId="952" applyProtection="1" applyAlignment="1">
      <alignment horizontal="center" vertical="center"/>
    </xf>
    <xf numFmtId="219" applyNumberFormat="1" fontId="50" applyFont="1" fillId="0" applyFill="1" borderId="13" applyBorder="1" xfId="7145" applyProtection="1" applyAlignment="1">
      <alignment vertical="center"/>
    </xf>
    <xf numFmtId="0" applyNumberFormat="1" fontId="50" applyFont="1" fillId="0" applyFill="1" borderId="13" applyBorder="1" xfId="952" applyProtection="1" applyAlignment="1">
      <alignment horizontal="center" vertical="center"/>
    </xf>
    <xf numFmtId="0" applyNumberFormat="1" fontId="62" applyFont="1" fillId="0" applyFill="1" borderId="0" applyBorder="1" xfId="952" applyProtection="1" applyAlignment="1">
      <alignment horizontal="center" vertical="center"/>
    </xf>
    <xf numFmtId="219" applyNumberFormat="1" fontId="62" applyFont="1" fillId="0" applyFill="1" borderId="0" applyBorder="1" xfId="7145" applyProtection="1" applyAlignment="1">
      <alignment vertical="center"/>
    </xf>
    <xf numFmtId="0" applyNumberFormat="1" fontId="62" applyFont="1" fillId="0" applyFill="1" borderId="0" applyBorder="1" xfId="2284" applyProtection="1" applyAlignment="1">
      <alignment horizontal="center" vertical="center"/>
    </xf>
    <xf numFmtId="0" applyNumberFormat="1" fontId="33" applyFont="1" fillId="0" applyFill="1" borderId="0" applyBorder="1" xfId="2284" applyProtection="1" applyAlignment="1">
      <alignment vertical="center"/>
    </xf>
    <xf numFmtId="219" applyNumberFormat="1" fontId="62" applyFont="1" fillId="0" applyFill="1" borderId="0" applyBorder="1" xfId="7145" applyProtection="1" applyAlignment="1">
      <alignment horizontal="center" vertical="center"/>
    </xf>
    <xf numFmtId="0" applyNumberFormat="1" fontId="62" applyFont="1" fillId="0" applyFill="1" borderId="0" applyBorder="1" xfId="952" applyProtection="1" applyAlignment="1">
      <alignment vertical="center"/>
    </xf>
    <xf numFmtId="0" applyNumberFormat="1" fontId="62" applyFont="1" fillId="0" applyFill="1" borderId="0" applyBorder="1" xfId="952" applyProtection="1" applyAlignment="1">
      <alignment horizontal="left" vertical="center"/>
    </xf>
    <xf numFmtId="219" applyNumberFormat="1" fontId="62" applyFont="1" fillId="0" applyFill="1" borderId="0" applyBorder="1" xfId="7145" applyProtection="1" applyAlignment="1">
      <alignment vertical="center"/>
    </xf>
    <xf numFmtId="0" applyNumberFormat="1" fontId="33" applyFont="1" fillId="0" applyFill="1" borderId="0" applyBorder="1" xfId="2284" applyProtection="1" applyAlignment="1">
      <alignment horizontal="center" vertical="center"/>
    </xf>
    <xf numFmtId="43" applyNumberFormat="1" fontId="33" applyFont="1" fillId="0" applyFill="1" borderId="0" applyBorder="1" xfId="7145" applyProtection="1" applyAlignment="1">
      <alignment vertical="center"/>
    </xf>
    <xf numFmtId="219" applyNumberFormat="1" fontId="62" applyFont="1" fillId="0" applyFill="1" borderId="0" applyBorder="1" xfId="7145" applyProtection="1" applyAlignment="1">
      <alignment horizontal="center" vertical="center"/>
    </xf>
    <xf numFmtId="0" applyNumberFormat="1" fontId="33" applyFont="1" fillId="0" applyFill="1" borderId="0" applyBorder="1" xfId="952" applyProtection="1" applyAlignment="1">
      <alignment vertical="center"/>
    </xf>
    <xf numFmtId="0" applyNumberFormat="1" fontId="33" applyFont="1" fillId="0" applyFill="1" borderId="0" applyBorder="1" xfId="2284" applyProtection="1" applyAlignment="1">
      <alignment vertical="center"/>
    </xf>
    <xf numFmtId="41" applyNumberFormat="1" fontId="33" applyFont="1" fillId="0" applyFill="1" borderId="0" applyBorder="1" xfId="952" applyProtection="1" applyAlignment="1">
      <alignment vertical="center"/>
    </xf>
    <xf numFmtId="0" applyNumberFormat="1" fontId="62" applyFont="1" fillId="0" applyFill="1" borderId="0" applyBorder="1" xfId="2284" applyProtection="1" applyAlignment="1">
      <alignment vertical="center"/>
    </xf>
    <xf numFmtId="41" applyNumberFormat="1" fontId="62" applyFont="1" fillId="0" applyFill="1" borderId="0" applyBorder="1" xfId="952" applyProtection="1" applyAlignment="1">
      <alignment vertical="center"/>
    </xf>
    <xf numFmtId="219" applyNumberFormat="1" fontId="33" applyFont="1" fillId="0" applyFill="1" borderId="0" applyBorder="1" xfId="2284" applyProtection="1" applyAlignment="1">
      <alignment vertical="center"/>
    </xf>
    <xf numFmtId="219" applyNumberFormat="1" fontId="62" applyFont="1" fillId="0" applyFill="1" borderId="0" applyBorder="1" xfId="2284" applyProtection="1" applyAlignment="1">
      <alignment vertical="center"/>
    </xf>
    <xf numFmtId="0" applyNumberFormat="1" fontId="50" applyFont="1" fillId="0" applyFill="1" borderId="0" applyBorder="1" xfId="952" applyProtection="1" applyAlignment="1">
      <alignment horizontal="center" vertical="center"/>
    </xf>
    <xf numFmtId="0" applyNumberFormat="1" fontId="50" applyFont="1" fillId="0" applyFill="1" borderId="0" applyBorder="1" xfId="2284" applyProtection="1" applyAlignment="1">
      <alignment horizontal="center" vertical="center"/>
    </xf>
    <xf numFmtId="0" applyNumberFormat="1" fontId="50" applyFont="1" fillId="0" applyFill="1" borderId="0" applyBorder="1" xfId="952" applyProtection="1" applyAlignment="1">
      <alignment horizontal="center" vertical="center"/>
    </xf>
    <xf numFmtId="0" applyNumberFormat="1" fontId="55" applyFont="1" fillId="0" applyFill="1" borderId="0" applyBorder="1" xfId="952" applyProtection="1" applyAlignment="1">
      <alignment vertical="center"/>
    </xf>
    <xf numFmtId="0" applyNumberFormat="1" fontId="33" applyFont="1" fillId="0" applyFill="1" borderId="0" applyBorder="1" xfId="952" applyProtection="1" applyAlignment="1">
      <alignment vertical="center"/>
    </xf>
    <xf numFmtId="0" applyNumberFormat="1" fontId="50" applyFont="1" fillId="0" applyFill="1" borderId="0" applyBorder="1" xfId="2284" applyProtection="1" applyAlignment="1">
      <alignment vertical="center"/>
    </xf>
    <xf numFmtId="41" applyNumberFormat="1" fontId="88" applyFont="1" fillId="0" applyFill="1" borderId="0" applyBorder="1" xfId="952" applyProtection="1" applyAlignment="1">
      <alignment vertical="center"/>
    </xf>
    <xf numFmtId="41" applyNumberFormat="1" fontId="33" applyFont="1" fillId="0" applyFill="1" borderId="0" applyBorder="1" xfId="952" applyProtection="1" applyAlignment="1">
      <alignment horizontal="center" vertical="center"/>
    </xf>
    <xf numFmtId="0" applyNumberFormat="1" fontId="33" applyFont="1" fillId="0" applyFill="1" borderId="13" applyBorder="1" xfId="2284" applyProtection="1" applyAlignment="1">
      <alignment horizontal="center" vertical="center"/>
    </xf>
    <xf numFmtId="254" applyNumberFormat="1" fontId="50" applyFont="1" fillId="0" applyFill="1" borderId="13" applyBorder="1" xfId="20255" applyProtection="1" applyAlignment="1">
      <alignment vertical="center"/>
    </xf>
    <xf numFmtId="0" applyNumberFormat="1" fontId="33" applyFont="1" fillId="0" applyFill="1" borderId="13" applyBorder="1" xfId="952" applyProtection="1" applyAlignment="1">
      <alignment horizontal="center" vertical="center"/>
    </xf>
    <xf numFmtId="0" applyNumberFormat="1" fontId="33" applyFont="1" fillId="0" applyFill="1" borderId="18" applyBorder="1" xfId="952" applyProtection="1" applyAlignment="1">
      <alignment horizontal="center" vertical="center"/>
    </xf>
    <xf numFmtId="219" applyNumberFormat="1" fontId="33" applyFont="1" fillId="0" applyFill="1" borderId="13" applyBorder="1" xfId="7145" applyProtection="1" applyAlignment="1">
      <alignment vertical="center"/>
    </xf>
    <xf numFmtId="0" applyNumberFormat="1" fontId="33" applyFont="1" fillId="0" applyFill="1" borderId="13" applyBorder="1" xfId="952" applyProtection="1" applyAlignment="1">
      <alignment horizontal="left" vertical="center"/>
    </xf>
    <xf numFmtId="0" applyNumberFormat="1" fontId="75" applyFont="1" fillId="0" applyFill="1" borderId="12" applyBorder="1" xfId="2131" applyProtection="1" applyAlignment="1">
      <alignment horizontal="left" vertical="center"/>
    </xf>
    <xf numFmtId="0" applyNumberFormat="1" fontId="50" applyFont="1" fillId="0" applyFill="1" borderId="12" applyBorder="1" xfId="2131" applyProtection="1" applyAlignment="1">
      <alignment horizontal="left" vertical="center"/>
    </xf>
    <xf numFmtId="219" applyNumberFormat="1" fontId="62" applyFont="1" fillId="4" applyFill="1" borderId="32" applyBorder="1" xfId="7145" applyProtection="1" applyAlignment="1">
      <alignment vertical="center"/>
    </xf>
    <xf numFmtId="0" applyNumberFormat="1" fontId="33" applyFont="1" fillId="4" applyFill="1" borderId="0" applyBorder="1" xfId="952" applyProtection="1" applyAlignment="1">
      <alignment horizontal="center" vertical="center"/>
    </xf>
    <xf numFmtId="219" applyNumberFormat="1" fontId="33" applyFont="1" fillId="4" applyFill="1" borderId="0" applyBorder="1" xfId="7145" applyProtection="1" applyAlignment="1">
      <alignment vertical="center"/>
    </xf>
    <xf numFmtId="219" applyNumberFormat="1" fontId="62" applyFont="1" fillId="4" applyFill="1" borderId="60" applyBorder="1" xfId="7145" applyProtection="1" applyAlignment="1">
      <alignment vertical="center"/>
    </xf>
    <xf numFmtId="41" applyNumberFormat="1" fontId="48" applyFont="1" fillId="10" applyFill="1" borderId="27" applyBorder="1" xfId="2256" applyProtection="1" applyAlignment="1">
      <alignment horizontal="center" vertical="center" wrapText="1"/>
    </xf>
    <xf numFmtId="41" applyNumberFormat="1" fontId="33" applyFont="1" fillId="0" applyFill="1" borderId="13" applyBorder="1" xfId="1150" applyProtection="1" applyAlignment="1">
      <alignment vertical="center"/>
      <protection hidden="1"/>
    </xf>
    <xf numFmtId="41" applyNumberFormat="1" fontId="75" applyFont="1" fillId="25" applyFill="1" borderId="13" applyBorder="1" xfId="952" applyProtection="1" applyAlignment="1">
      <alignment vertical="center"/>
    </xf>
    <xf numFmtId="254" applyNumberFormat="1" fontId="50" applyFont="1" fillId="0" applyFill="1" borderId="13" applyBorder="1" xfId="1802" applyProtection="1" applyAlignment="1">
      <alignment horizontal="center" vertical="center"/>
    </xf>
    <xf numFmtId="41" applyNumberFormat="1" fontId="50" applyFont="1" fillId="0" applyFill="1" borderId="39" applyBorder="1" xfId="952" applyProtection="1" applyAlignment="1">
      <alignment horizontal="center" vertical="center"/>
    </xf>
    <xf numFmtId="219" applyNumberFormat="1" fontId="62" applyFont="1" fillId="4" applyFill="1" borderId="61" applyBorder="1" xfId="7145" applyProtection="1" applyAlignment="1">
      <alignment vertical="center"/>
    </xf>
    <xf numFmtId="0" applyNumberFormat="1" fontId="33" applyFont="1" fillId="0" applyFill="1" borderId="13" applyBorder="1" xfId="2284" quotePrefix="1" applyProtection="1" applyAlignment="1">
      <alignment horizontal="center" vertical="center"/>
    </xf>
    <xf numFmtId="0" applyNumberFormat="1" fontId="75" applyFont="1" fillId="0" applyFill="1" borderId="13" applyBorder="1" xfId="2284" quotePrefix="1" applyProtection="1" applyAlignment="1">
      <alignment horizontal="center" vertical="center"/>
    </xf>
    <xf numFmtId="0" applyNumberFormat="1" fontId="69" applyFont="1" fillId="0" applyFill="1" borderId="13" applyBorder="1" xfId="2284" quotePrefix="1" applyProtection="1" applyAlignment="1">
      <alignment horizontal="center" vertical="center"/>
    </xf>
    <xf numFmtId="0" applyNumberFormat="1" fontId="29" applyFont="1" fillId="22" applyFill="1" borderId="18" applyBorder="1" xfId="2284" quotePrefix="1" applyProtection="1" applyAlignment="1">
      <alignment horizontal="center" vertical="center"/>
    </xf>
    <xf numFmtId="0" applyNumberFormat="1" fontId="50" applyFont="1" fillId="0" applyFill="1" borderId="18" applyBorder="1" xfId="2284" quotePrefix="1" applyProtection="1" applyAlignment="1">
      <alignment horizontal="center" vertical="center"/>
    </xf>
    <xf numFmtId="0" applyNumberFormat="1" fontId="29" applyFont="1" fillId="22" applyFill="1" borderId="13" applyBorder="1" xfId="2284" quotePrefix="1" applyProtection="1" applyAlignment="1">
      <alignment horizontal="center" vertical="center"/>
    </xf>
    <xf numFmtId="0" applyNumberFormat="1" fontId="29" applyFont="1" fillId="0" applyFill="1" borderId="13" applyBorder="1" xfId="2284" quotePrefix="1" applyProtection="1" applyAlignment="1">
      <alignment horizontal="center" vertical="center"/>
    </xf>
    <xf numFmtId="0" applyNumberFormat="1" fontId="49" applyFont="1" fillId="0" applyFill="1" borderId="13" applyBorder="1" xfId="2284" quotePrefix="1" applyProtection="1" applyAlignment="1">
      <alignment horizontal="center" vertical="center"/>
    </xf>
    <xf numFmtId="0" applyNumberFormat="1" fontId="8" applyFont="1" fillId="0" applyFill="1" borderId="13" applyBorder="1" xfId="2284" quotePrefix="1" applyProtection="1" applyAlignment="1">
      <alignment horizontal="center" vertical="center"/>
    </xf>
    <xf numFmtId="0" applyNumberFormat="1" fontId="68" applyFont="1" fillId="0" applyFill="1" borderId="8" applyBorder="1" xfId="2284" quotePrefix="1" applyProtection="1" applyAlignment="1">
      <alignment horizontal="center" vertical="center"/>
    </xf>
    <xf numFmtId="0" applyNumberFormat="1" fontId="68" applyFont="1" fillId="0" applyFill="1" borderId="13" applyBorder="1" xfId="2284" quotePrefix="1" applyProtection="1" applyAlignment="1">
      <alignment horizontal="center" vertical="center"/>
    </xf>
    <xf numFmtId="0" applyNumberFormat="1" fontId="68" applyFont="1" fillId="0" applyFill="1" borderId="18" applyBorder="1" xfId="2284" quotePrefix="1" applyProtection="1" applyAlignment="1">
      <alignment horizontal="center" vertical="center"/>
    </xf>
    <xf numFmtId="0" applyNumberFormat="1" fontId="8" applyFont="1" fillId="0" applyFill="1" borderId="13" applyBorder="1" xfId="2284" quotePrefix="1" applyProtection="1" applyAlignment="1">
      <alignment horizontal="center" vertical="center"/>
    </xf>
    <xf numFmtId="0" applyNumberFormat="1" fontId="8" applyFont="1" fillId="0" applyFill="1" borderId="0" applyBorder="1" xfId="952" quotePrefix="1" applyProtection="1" applyAlignment="1">
      <alignment vertical="center"/>
    </xf>
    <xf numFmtId="0" applyNumberFormat="1" fontId="8" applyFont="1" fillId="4" applyFill="1" borderId="13" applyBorder="1" xfId="2284" quotePrefix="1" applyProtection="1" applyAlignment="1">
      <alignment horizontal="center" vertical="center"/>
    </xf>
    <xf numFmtId="0" applyNumberFormat="1" fontId="8" applyFont="1" fillId="4" applyFill="1" borderId="8" applyBorder="1" xfId="2284" quotePrefix="1" applyProtection="1" applyAlignment="1">
      <alignment horizontal="center" vertical="center"/>
    </xf>
    <xf numFmtId="0" applyNumberFormat="1" fontId="49" applyFont="1" fillId="0" applyFill="1" borderId="18" applyBorder="1" xfId="2284" quotePrefix="1" applyProtection="1" applyAlignment="1">
      <alignment horizontal="center" vertical="center"/>
    </xf>
    <xf numFmtId="0" applyNumberFormat="1" fontId="8" applyFont="1" fillId="0" applyFill="1" borderId="18" applyBorder="1" xfId="2284" quotePrefix="1" applyProtection="1" applyAlignment="1">
      <alignment horizontal="center" vertical="center"/>
    </xf>
    <xf numFmtId="0" applyNumberFormat="1" fontId="49" applyFont="1" fillId="14" applyFill="1" borderId="13" applyBorder="1" xfId="2284" quotePrefix="1" applyProtection="1" applyAlignment="1">
      <alignment horizontal="center" vertical="center"/>
    </xf>
    <xf numFmtId="219" applyNumberFormat="1" fontId="38" applyFont="1" fillId="0" applyFill="1" borderId="0" applyBorder="1" xfId="7145" quotePrefix="1" applyProtection="1" applyAlignment="1">
      <alignment vertical="center"/>
    </xf>
    <xf numFmtId="4" applyNumberFormat="1" fontId="21" applyFont="1" fillId="0" applyFill="1" borderId="13" applyBorder="1" xfId="17235" quotePrefix="1" applyProtection="1" applyAlignment="1">
      <alignment horizontal="left"/>
    </xf>
    <xf numFmtId="4" applyNumberFormat="1" fontId="21" applyFont="1" fillId="0" applyFill="1" borderId="18" applyBorder="1" xfId="17235" quotePrefix="1" applyProtection="1" applyAlignment="1">
      <alignment horizontal="left"/>
    </xf>
    <xf numFmtId="4" applyNumberFormat="1" fontId="14" applyFont="1" fillId="0" applyFill="1" borderId="13" applyBorder="1" xfId="17235" quotePrefix="1" applyProtection="1" applyAlignment="1">
      <alignment horizontal="left"/>
    </xf>
    <xf numFmtId="0" applyNumberFormat="1" fontId="29" applyFont="1" fillId="0" applyFill="1" borderId="81" applyBorder="1" xfId="2284" applyProtection="1" applyAlignment="1">
      <alignment horizontal="center" vertical="center"/>
    </xf>
    <xf numFmtId="203" applyNumberFormat="1" fontId="29" applyFont="1" fillId="0" applyFill="1" borderId="18" applyBorder="1" xfId="7145" applyProtection="1" applyAlignment="1">
      <alignment vertical="center"/>
    </xf>
    <xf numFmtId="203" applyNumberFormat="1" fontId="29" applyFont="1" fillId="0" applyFill="1" borderId="43" applyBorder="1" xfId="7145" applyProtection="1" applyAlignment="1">
      <alignment vertical="center"/>
    </xf>
    <xf numFmtId="219" applyNumberFormat="1" fontId="29" applyFont="1" fillId="0" applyFill="1" borderId="43" applyBorder="1" xfId="20106" applyProtection="1" applyAlignment="1">
      <alignment vertical="center"/>
      <protection hidden="1"/>
    </xf>
    <xf numFmtId="254" applyNumberFormat="1" fontId="29" applyFont="1" fillId="0" applyFill="1" borderId="17" applyBorder="1" xfId="2284" applyProtection="1" applyAlignment="1">
      <alignment horizontal="center" vertical="center"/>
    </xf>
    <xf numFmtId="219" applyNumberFormat="1" fontId="29" applyFont="1" fillId="0" applyFill="1" borderId="101" applyBorder="1" xfId="7145" applyProtection="1" applyAlignment="1">
      <alignment horizontal="left" vertical="center"/>
    </xf>
    <xf numFmtId="219" applyNumberFormat="1" fontId="29" applyFont="1" fillId="0" applyFill="1" borderId="12" applyBorder="1" xfId="20106" applyProtection="1" applyAlignment="1">
      <alignment vertical="center"/>
    </xf>
    <xf numFmtId="0" applyNumberFormat="1" fontId="29" applyFont="1" fillId="0" applyFill="1" borderId="8" applyBorder="1" xfId="952" applyProtection="1" applyAlignment="1">
      <alignment horizontal="left" vertical="center"/>
    </xf>
    <xf numFmtId="0" applyNumberFormat="1" fontId="49" applyFont="1" fillId="84" applyFill="1" borderId="28" applyBorder="1" xfId="952" applyProtection="1" applyAlignment="1">
      <alignment horizontal="center" vertical="center"/>
    </xf>
    <xf numFmtId="0" applyNumberFormat="1" fontId="49" applyFont="1" fillId="84" applyFill="1" borderId="13" applyBorder="1" xfId="2284" applyProtection="1" applyAlignment="1">
      <alignment horizontal="center" vertical="center"/>
    </xf>
    <xf numFmtId="0" applyNumberFormat="1" fontId="49" applyFont="1" fillId="84" applyFill="1" borderId="13" applyBorder="1" xfId="952" applyProtection="1" applyAlignment="1">
      <alignment horizontal="left" vertical="center"/>
    </xf>
    <xf numFmtId="0" applyNumberFormat="1" fontId="49" applyFont="1" fillId="84" applyFill="1" borderId="11" applyBorder="1" xfId="2284" applyProtection="1" applyAlignment="1">
      <alignment horizontal="center" vertical="center"/>
    </xf>
    <xf numFmtId="0" applyNumberFormat="1" fontId="49" applyFont="1" fillId="84" applyFill="1" borderId="81" applyBorder="1" xfId="2284" applyProtection="1" applyAlignment="1">
      <alignment horizontal="center" vertical="center"/>
    </xf>
    <xf numFmtId="219" applyNumberFormat="1" fontId="49" applyFont="1" fillId="84" applyFill="1" borderId="100" applyBorder="1" xfId="7145" applyProtection="1" applyAlignment="1">
      <alignment horizontal="left" vertical="center"/>
    </xf>
    <xf numFmtId="219" applyNumberFormat="1" fontId="49" applyFont="1" fillId="84" applyFill="1" borderId="6" applyBorder="1" xfId="7145" applyProtection="1" applyAlignment="1">
      <alignment horizontal="left" vertical="center"/>
    </xf>
    <xf numFmtId="219" applyNumberFormat="1" fontId="49" applyFont="1" fillId="84" applyFill="1" borderId="13" applyBorder="1" xfId="20106" applyProtection="1" applyAlignment="1">
      <alignment vertical="center"/>
    </xf>
    <xf numFmtId="219" applyNumberFormat="1" fontId="49" applyFont="1" fillId="84" applyFill="1" borderId="13" applyBorder="1" xfId="7145" applyProtection="1" applyAlignment="1">
      <alignment vertical="center"/>
    </xf>
    <xf numFmtId="219" applyNumberFormat="1" fontId="50" applyFont="1" fillId="84" applyFill="1" borderId="13" applyBorder="1" xfId="20106" applyProtection="1" applyAlignment="1">
      <alignment vertical="center"/>
      <protection hidden="1"/>
    </xf>
    <xf numFmtId="219" applyNumberFormat="1" fontId="49" applyFont="1" fillId="84" applyFill="1" borderId="13" applyBorder="1" xfId="20106" applyProtection="1" applyAlignment="1">
      <alignment vertical="center"/>
      <protection hidden="1"/>
    </xf>
    <xf numFmtId="203" applyNumberFormat="1" fontId="49" applyFont="1" fillId="84" applyFill="1" borderId="13" applyBorder="1" xfId="7145" applyProtection="1" applyAlignment="1">
      <alignment vertical="center"/>
    </xf>
    <xf numFmtId="203" applyNumberFormat="1" fontId="49" applyFont="1" fillId="84" applyFill="1" borderId="20" applyBorder="1" xfId="7145" applyProtection="1" applyAlignment="1">
      <alignment vertical="center"/>
    </xf>
    <xf numFmtId="219" applyNumberFormat="1" fontId="49" applyFont="1" fillId="84" applyFill="1" borderId="20" applyBorder="1" xfId="20106" applyProtection="1" applyAlignment="1">
      <alignment vertical="center"/>
      <protection hidden="1"/>
    </xf>
    <xf numFmtId="41" applyNumberFormat="1" fontId="49" applyFont="1" fillId="84" applyFill="1" borderId="13" applyBorder="1" xfId="1150" applyProtection="1" applyAlignment="1">
      <alignment vertical="center"/>
      <protection hidden="1"/>
    </xf>
    <xf numFmtId="41" applyNumberFormat="1" fontId="49" applyFont="1" fillId="84" applyFill="1" borderId="13" applyBorder="1" xfId="952" applyProtection="1" applyAlignment="1">
      <alignment vertical="center"/>
    </xf>
    <xf numFmtId="254" applyNumberFormat="1" fontId="49" applyFont="1" fillId="84" applyFill="1" borderId="12" applyBorder="1" xfId="2284" applyProtection="1" applyAlignment="1">
      <alignment horizontal="center" vertical="center"/>
    </xf>
    <xf numFmtId="254" applyNumberFormat="1" fontId="49" applyFont="1" fillId="84" applyFill="1" borderId="40" applyBorder="1" xfId="2284" applyProtection="1" applyAlignment="1">
      <alignment horizontal="center" vertical="center"/>
    </xf>
    <xf numFmtId="0" applyNumberFormat="1" fontId="0" applyFont="1" fillId="84" applyFill="1" borderId="0" applyBorder="1" xfId="0" applyProtection="1"/>
    <xf numFmtId="0" applyNumberFormat="1" fontId="29" applyFont="1" fillId="84" applyFill="1" borderId="28" applyBorder="1" xfId="952" applyProtection="1" applyAlignment="1">
      <alignment horizontal="center" vertical="center"/>
    </xf>
    <xf numFmtId="0" applyNumberFormat="1" fontId="29" applyFont="1" fillId="84" applyFill="1" borderId="11" applyBorder="1" xfId="2284" applyProtection="1" applyAlignment="1">
      <alignment horizontal="center" vertical="center"/>
    </xf>
    <xf numFmtId="0" applyNumberFormat="1" fontId="29" applyFont="1" fillId="84" applyFill="1" borderId="13" applyBorder="1" xfId="2284" applyProtection="1" applyAlignment="1">
      <alignment horizontal="center" vertical="center"/>
    </xf>
    <xf numFmtId="0" applyNumberFormat="1" fontId="29" applyFont="1" fillId="84" applyFill="1" borderId="81" applyBorder="1" xfId="2284" applyProtection="1" applyAlignment="1">
      <alignment horizontal="center" vertical="center"/>
    </xf>
    <xf numFmtId="219" applyNumberFormat="1" fontId="29" applyFont="1" fillId="84" applyFill="1" borderId="100" applyBorder="1" xfId="7145" applyProtection="1" applyAlignment="1">
      <alignment horizontal="left" vertical="center"/>
    </xf>
    <xf numFmtId="219" applyNumberFormat="1" fontId="29" applyFont="1" fillId="84" applyFill="1" borderId="6" applyBorder="1" xfId="7145" applyProtection="1" applyAlignment="1">
      <alignment horizontal="left" vertical="center"/>
    </xf>
    <xf numFmtId="219" applyNumberFormat="1" fontId="29" applyFont="1" fillId="84" applyFill="1" borderId="13" applyBorder="1" xfId="20106" applyProtection="1" applyAlignment="1">
      <alignment vertical="center"/>
    </xf>
    <xf numFmtId="219" applyNumberFormat="1" fontId="29" applyFont="1" fillId="84" applyFill="1" borderId="13" applyBorder="1" xfId="7145" applyProtection="1" applyAlignment="1">
      <alignment vertical="center"/>
    </xf>
    <xf numFmtId="219" applyNumberFormat="1" fontId="29" applyFont="1" fillId="84" applyFill="1" borderId="13" applyBorder="1" xfId="20106" applyProtection="1" applyAlignment="1">
      <alignment vertical="center"/>
      <protection hidden="1"/>
    </xf>
    <xf numFmtId="203" applyNumberFormat="1" fontId="29" applyFont="1" fillId="84" applyFill="1" borderId="18" applyBorder="1" xfId="7145" applyProtection="1" applyAlignment="1">
      <alignment vertical="center"/>
    </xf>
    <xf numFmtId="203" applyNumberFormat="1" fontId="29" applyFont="1" fillId="84" applyFill="1" borderId="43" applyBorder="1" xfId="7145" applyProtection="1" applyAlignment="1">
      <alignment vertical="center"/>
    </xf>
    <xf numFmtId="219" applyNumberFormat="1" fontId="29" applyFont="1" fillId="84" applyFill="1" borderId="43" applyBorder="1" xfId="20106" applyProtection="1" applyAlignment="1">
      <alignment vertical="center"/>
      <protection hidden="1"/>
    </xf>
    <xf numFmtId="41" applyNumberFormat="1" fontId="29" applyFont="1" fillId="84" applyFill="1" borderId="13" applyBorder="1" xfId="1150" applyProtection="1" applyAlignment="1">
      <alignment vertical="center"/>
      <protection hidden="1"/>
    </xf>
    <xf numFmtId="41" applyNumberFormat="1" fontId="29" applyFont="1" fillId="84" applyFill="1" borderId="13" applyBorder="1" xfId="952" applyProtection="1" applyAlignment="1">
      <alignment vertical="center"/>
    </xf>
    <xf numFmtId="254" applyNumberFormat="1" fontId="29" applyFont="1" fillId="84" applyFill="1" borderId="17" applyBorder="1" xfId="2284" applyProtection="1" applyAlignment="1">
      <alignment horizontal="center" vertical="center"/>
    </xf>
    <xf numFmtId="254" applyNumberFormat="1" fontId="29" applyFont="1" fillId="84" applyFill="1" borderId="38" applyBorder="1" xfId="2284" applyProtection="1" applyAlignment="1">
      <alignment horizontal="center" vertical="center"/>
    </xf>
    <xf numFmtId="0" applyNumberFormat="1" fontId="45" applyFont="1" fillId="84" applyFill="1" borderId="0" applyBorder="1" xfId="0" applyProtection="1"/>
    <xf numFmtId="219" applyNumberFormat="1" fontId="29" applyFont="1" fillId="84" applyFill="1" borderId="0" applyBorder="1" xfId="7145" applyProtection="1" applyAlignment="1">
      <alignment horizontal="left" vertical="center"/>
    </xf>
    <xf numFmtId="219" applyNumberFormat="1" fontId="29" applyFont="1" fillId="84" applyFill="1" borderId="18" applyBorder="1" xfId="20106" applyProtection="1" applyAlignment="1">
      <alignment vertical="center"/>
    </xf>
    <xf numFmtId="219" applyNumberFormat="1" fontId="85" applyFont="1" fillId="0" applyFill="1" borderId="18" applyBorder="1" xfId="7145" applyProtection="1" applyAlignment="1">
      <alignment vertical="center"/>
      <protection hidden="1"/>
    </xf>
    <xf numFmtId="15" applyNumberFormat="1" fontId="29" applyFont="1" fillId="0" applyFill="1" borderId="13" applyBorder="1" xfId="952" applyProtection="1" applyAlignment="1">
      <alignment horizontal="center" vertical="center"/>
    </xf>
    <xf numFmtId="15" applyNumberFormat="1" fontId="29" applyFont="1" fillId="0" applyFill="1" borderId="40" applyBorder="1" xfId="952" applyProtection="1" applyAlignment="1">
      <alignment horizontal="center" vertical="center"/>
    </xf>
    <xf numFmtId="0" applyNumberFormat="1" fontId="0" applyFont="1" fillId="0" applyFill="1" borderId="0" applyBorder="1" xfId="0" applyProtection="1"/>
    <xf numFmtId="0" applyNumberFormat="1" fontId="29" applyFont="1" fillId="5" applyFill="1" borderId="28" applyBorder="1" xfId="952" applyProtection="1" applyAlignment="1">
      <alignment horizontal="center" vertical="center"/>
    </xf>
    <xf numFmtId="0" applyNumberFormat="1" fontId="45" applyFont="1" fillId="5" applyFill="1" borderId="0" applyBorder="1" xfId="0" applyProtection="1"/>
    <xf numFmtId="0" applyNumberFormat="1" fontId="29" applyFont="1" fillId="45" applyFill="1" borderId="28" applyBorder="1" xfId="952" applyProtection="1" applyAlignment="1">
      <alignment horizontal="center" vertical="center"/>
    </xf>
    <xf numFmtId="0" applyNumberFormat="1" fontId="29" applyFont="1" fillId="45" applyFill="1" borderId="13" applyBorder="1" xfId="2284" applyProtection="1" applyAlignment="1">
      <alignment horizontal="center" vertical="center"/>
    </xf>
    <xf numFmtId="0" applyNumberFormat="1" fontId="29" applyFont="1" fillId="45" applyFill="1" borderId="13" applyBorder="1" xfId="952" applyProtection="1" applyAlignment="1">
      <alignment horizontal="left" vertical="center"/>
    </xf>
    <xf numFmtId="219" applyNumberFormat="1" fontId="29" applyFont="1" fillId="45" applyFill="1" borderId="13" applyBorder="1" xfId="7145" applyProtection="1" applyAlignment="1">
      <alignment horizontal="left" vertical="center"/>
    </xf>
    <xf numFmtId="219" applyNumberFormat="1" fontId="29" applyFont="1" fillId="45" applyFill="1" borderId="13" applyBorder="1" xfId="20106" applyProtection="1" applyAlignment="1">
      <alignment vertical="center"/>
    </xf>
    <xf numFmtId="219" applyNumberFormat="1" fontId="29" applyFont="1" fillId="45" applyFill="1" borderId="13" applyBorder="1" xfId="7145" applyProtection="1" applyAlignment="1">
      <alignment vertical="center"/>
    </xf>
    <xf numFmtId="219" applyNumberFormat="1" fontId="50" applyFont="1" fillId="45" applyFill="1" borderId="13" applyBorder="1" xfId="20106" applyProtection="1" applyAlignment="1">
      <alignment vertical="center"/>
      <protection hidden="1"/>
    </xf>
    <xf numFmtId="219" applyNumberFormat="1" fontId="29" applyFont="1" fillId="45" applyFill="1" borderId="13" applyBorder="1" xfId="20106" applyProtection="1" applyAlignment="1">
      <alignment vertical="center"/>
      <protection hidden="1"/>
    </xf>
    <xf numFmtId="41" applyNumberFormat="1" fontId="29" applyFont="1" fillId="45" applyFill="1" borderId="13" applyBorder="1" xfId="1150" applyProtection="1" applyAlignment="1">
      <alignment vertical="center"/>
      <protection hidden="1"/>
    </xf>
    <xf numFmtId="41" applyNumberFormat="1" fontId="29" applyFont="1" fillId="45" applyFill="1" borderId="13" applyBorder="1" xfId="952" applyProtection="1" applyAlignment="1">
      <alignment vertical="center"/>
    </xf>
    <xf numFmtId="254" applyNumberFormat="1" fontId="29" applyFont="1" fillId="45" applyFill="1" borderId="13" applyBorder="1" xfId="2284" applyProtection="1" applyAlignment="1">
      <alignment horizontal="center" vertical="center"/>
    </xf>
    <xf numFmtId="254" applyNumberFormat="1" fontId="69" applyFont="1" fillId="45" applyFill="1" borderId="40" applyBorder="1" xfId="2284" applyProtection="1" applyAlignment="1">
      <alignment horizontal="center" vertical="center"/>
    </xf>
    <xf numFmtId="0" applyNumberFormat="1" fontId="45" applyFont="1" fillId="45" applyFill="1" borderId="0" applyBorder="1" xfId="0" applyProtection="1"/>
    <xf numFmtId="0" applyNumberFormat="1" fontId="29" applyFont="1" fillId="84" applyFill="1" borderId="13" applyBorder="1" xfId="952" applyProtection="1" applyAlignment="1">
      <alignment horizontal="left" vertical="center"/>
    </xf>
    <xf numFmtId="219" applyNumberFormat="1" fontId="29" applyFont="1" fillId="84" applyFill="1" borderId="13" applyBorder="1" xfId="7145" applyProtection="1" applyAlignment="1">
      <alignment horizontal="left" vertical="center"/>
    </xf>
    <xf numFmtId="254" applyNumberFormat="1" fontId="29" applyFont="1" fillId="84" applyFill="1" borderId="13" applyBorder="1" xfId="2284" applyProtection="1" applyAlignment="1">
      <alignment horizontal="center" vertical="center"/>
    </xf>
    <xf numFmtId="254" applyNumberFormat="1" fontId="69" applyFont="1" fillId="84" applyFill="1" borderId="40" applyBorder="1" xfId="2284" applyProtection="1" applyAlignment="1">
      <alignment horizontal="center" vertical="center"/>
    </xf>
    <xf numFmtId="219" applyNumberFormat="1" fontId="49" applyFont="1" fillId="84" applyFill="1" borderId="13" applyBorder="1" xfId="7145" applyProtection="1" applyAlignment="1">
      <alignment horizontal="left" vertical="center"/>
    </xf>
    <xf numFmtId="254" applyNumberFormat="1" fontId="49" applyFont="1" fillId="84" applyFill="1" borderId="13" applyBorder="1" xfId="2284" applyProtection="1" applyAlignment="1">
      <alignment horizontal="center" vertical="center"/>
    </xf>
    <xf numFmtId="219" applyNumberFormat="1" fontId="69" applyFont="1" fillId="84" applyFill="1" borderId="13" applyBorder="1" xfId="20106" applyProtection="1" applyAlignment="1">
      <alignment vertical="center"/>
      <protection hidden="1"/>
    </xf>
    <xf numFmtId="0" applyNumberFormat="1" fontId="69" applyFont="1" fillId="84" applyFill="1" borderId="13" applyBorder="1" xfId="2284" applyProtection="1" applyAlignment="1">
      <alignment horizontal="center" vertical="center"/>
    </xf>
    <xf numFmtId="219" applyNumberFormat="1" fontId="69" applyFont="1" fillId="84" applyFill="1" borderId="12" applyBorder="1" xfId="7145" applyProtection="1" applyAlignment="1">
      <alignment vertical="center"/>
    </xf>
    <xf numFmtId="219" applyNumberFormat="1" fontId="69" applyFont="1" fillId="84" applyFill="1" borderId="18" applyBorder="1" xfId="7145" applyProtection="1" applyAlignment="1">
      <alignment vertical="center"/>
    </xf>
    <xf numFmtId="219" applyNumberFormat="1" fontId="69" applyFont="1" fillId="84" applyFill="1" borderId="13" applyBorder="1" xfId="20106" applyProtection="1" applyAlignment="1">
      <alignment vertical="center"/>
    </xf>
    <xf numFmtId="219" applyNumberFormat="1" fontId="69" applyFont="1" fillId="84" applyFill="1" borderId="18" applyBorder="1" xfId="20106" applyProtection="1" applyAlignment="1">
      <alignment vertical="center"/>
      <protection hidden="1"/>
    </xf>
    <xf numFmtId="41" applyNumberFormat="1" fontId="69" applyFont="1" fillId="84" applyFill="1" borderId="13" applyBorder="1" xfId="1150" applyProtection="1" applyAlignment="1">
      <alignment vertical="center"/>
      <protection hidden="1"/>
    </xf>
    <xf numFmtId="41" applyNumberFormat="1" fontId="69" applyFont="1" fillId="84" applyFill="1" borderId="18" applyBorder="1" xfId="952" applyProtection="1" applyAlignment="1">
      <alignment vertical="center"/>
    </xf>
    <xf numFmtId="254" applyNumberFormat="1" fontId="69" applyFont="1" fillId="84" applyFill="1" borderId="18" applyBorder="1" xfId="2284" applyProtection="1" applyAlignment="1">
      <alignment horizontal="center" vertical="center"/>
    </xf>
    <xf numFmtId="254" applyNumberFormat="1" fontId="69" applyFont="1" fillId="84" applyFill="1" borderId="38" applyBorder="1" xfId="2284" applyProtection="1" applyAlignment="1">
      <alignment horizontal="center" vertical="center"/>
    </xf>
    <xf numFmtId="0" applyNumberFormat="1" fontId="29" applyFont="1" fillId="84" applyFill="1" borderId="0" applyBorder="1" xfId="952" applyProtection="1" applyAlignment="1">
      <alignment vertical="center"/>
    </xf>
    <xf numFmtId="0" applyNumberFormat="1" fontId="69" applyFont="1" fillId="84" applyFill="1" borderId="18" applyBorder="1" xfId="2284" applyProtection="1" applyAlignment="1">
      <alignment horizontal="center" vertical="center"/>
    </xf>
    <xf numFmtId="0" applyNumberFormat="1" fontId="69" applyFont="1" fillId="84" applyFill="1" borderId="43" applyBorder="1" xfId="952" applyProtection="1" applyAlignment="1">
      <alignment horizontal="left" vertical="center"/>
    </xf>
    <xf numFmtId="0" applyNumberFormat="1" fontId="68" applyFont="1" fillId="84" applyFill="1" borderId="13" applyBorder="1" xfId="2284" applyProtection="1" applyAlignment="1">
      <alignment horizontal="center" vertical="center"/>
    </xf>
    <xf numFmtId="219" applyNumberFormat="1" fontId="69" applyFont="1" fillId="84" applyFill="1" borderId="13" applyBorder="1" xfId="7145" applyProtection="1" applyAlignment="1">
      <alignment vertical="center"/>
    </xf>
    <xf numFmtId="41" applyNumberFormat="1" fontId="69" applyFont="1" fillId="84" applyFill="1" borderId="13" applyBorder="1" xfId="952" applyProtection="1" applyAlignment="1">
      <alignment vertical="center"/>
    </xf>
    <xf numFmtId="254" applyNumberFormat="1" fontId="69" applyFont="1" fillId="84" applyFill="1" borderId="13" applyBorder="1" xfId="2284" applyProtection="1" applyAlignment="1">
      <alignment horizontal="center" vertical="center"/>
    </xf>
    <xf numFmtId="0" applyNumberFormat="1" fontId="69" applyFont="1" fillId="5" applyFill="1" borderId="13" applyBorder="1" xfId="952" applyProtection="1" applyAlignment="1">
      <alignment horizontal="center" vertical="center"/>
    </xf>
    <xf numFmtId="0" applyNumberFormat="1" fontId="69" applyFont="1" fillId="5" applyFill="1" borderId="13" applyBorder="1" xfId="2284" applyProtection="1" applyAlignment="1">
      <alignment horizontal="center" vertical="center"/>
    </xf>
    <xf numFmtId="0" applyNumberFormat="1" fontId="69" applyFont="1" fillId="5" applyFill="1" borderId="20" applyBorder="1" xfId="952" applyProtection="1" applyAlignment="1">
      <alignment horizontal="left" vertical="center"/>
    </xf>
    <xf numFmtId="219" applyNumberFormat="1" fontId="69" applyFont="1" fillId="5" applyFill="1" borderId="13" applyBorder="1" xfId="7145" applyProtection="1" applyAlignment="1">
      <alignment vertical="center"/>
    </xf>
    <xf numFmtId="219" applyNumberFormat="1" fontId="69" applyFont="1" fillId="5" applyFill="1" borderId="13" applyBorder="1" xfId="20106" applyProtection="1" applyAlignment="1">
      <alignment vertical="center"/>
    </xf>
    <xf numFmtId="219" applyNumberFormat="1" fontId="69" applyFont="1" fillId="5" applyFill="1" borderId="13" applyBorder="1" xfId="20106" applyProtection="1" applyAlignment="1">
      <alignment vertical="center"/>
      <protection hidden="1"/>
    </xf>
    <xf numFmtId="41" applyNumberFormat="1" fontId="69" applyFont="1" fillId="5" applyFill="1" borderId="13" applyBorder="1" xfId="1150" applyProtection="1" applyAlignment="1">
      <alignment vertical="center"/>
      <protection hidden="1"/>
    </xf>
    <xf numFmtId="41" applyNumberFormat="1" fontId="69" applyFont="1" fillId="5" applyFill="1" borderId="13" applyBorder="1" xfId="952" applyProtection="1" applyAlignment="1">
      <alignment vertical="center"/>
    </xf>
    <xf numFmtId="254" applyNumberFormat="1" fontId="69" applyFont="1" fillId="5" applyFill="1" borderId="13" applyBorder="1" xfId="2284" applyProtection="1" applyAlignment="1">
      <alignment horizontal="center" vertical="center"/>
    </xf>
    <xf numFmtId="0" applyNumberFormat="1" fontId="69" applyFont="1" fillId="84" applyFill="1" borderId="63" applyBorder="1" xfId="952" applyProtection="1" applyAlignment="1">
      <alignment horizontal="center" vertical="center"/>
    </xf>
    <xf numFmtId="0" applyNumberFormat="1" fontId="69" applyFont="1" fillId="84" applyFill="1" borderId="18" applyBorder="1" xfId="952" applyProtection="1" applyAlignment="1">
      <alignment horizontal="left" vertical="center"/>
    </xf>
    <xf numFmtId="0" applyNumberFormat="1" fontId="68" applyFont="1" fillId="84" applyFill="1" borderId="88" applyBorder="1" xfId="2284" applyProtection="1" applyAlignment="1">
      <alignment horizontal="center" vertical="center"/>
    </xf>
    <xf numFmtId="219" applyNumberFormat="1" fontId="69" applyFont="1" fillId="84" applyFill="1" borderId="18" applyBorder="1" xfId="20106" applyProtection="1" applyAlignment="1">
      <alignment vertical="center"/>
    </xf>
    <xf numFmtId="219" applyNumberFormat="1" fontId="50" applyFont="1" fillId="84" applyFill="1" borderId="18" applyBorder="1" xfId="20106" applyProtection="1" applyAlignment="1">
      <alignment vertical="center"/>
      <protection hidden="1"/>
    </xf>
    <xf numFmtId="41" applyNumberFormat="1" fontId="69" applyFont="1" fillId="84" applyFill="1" borderId="18" applyBorder="1" xfId="1150" applyProtection="1" applyAlignment="1">
      <alignment vertical="center"/>
      <protection hidden="1"/>
    </xf>
    <xf numFmtId="219" applyNumberFormat="1" fontId="49" applyFont="1" fillId="84" applyFill="1" borderId="8" applyBorder="1" xfId="7145" applyProtection="1" applyAlignment="1">
      <alignment horizontal="left" vertical="center"/>
    </xf>
    <xf numFmtId="219" applyNumberFormat="1" fontId="29" applyFont="1" fillId="84" applyFill="1" borderId="8" applyBorder="1" xfId="7145" applyProtection="1" applyAlignment="1">
      <alignment horizontal="left" vertical="center"/>
    </xf>
    <xf numFmtId="254" applyNumberFormat="1" fontId="29" applyFont="1" fillId="84" applyFill="1" borderId="40" applyBorder="1" xfId="2284" applyProtection="1" applyAlignment="1">
      <alignment horizontal="center" vertical="center"/>
    </xf>
    <xf numFmtId="0" applyNumberFormat="1" fontId="51" applyFont="1" fillId="45" applyFill="1" borderId="0" applyBorder="1" xfId="952" applyProtection="1" applyAlignment="1">
      <alignment vertical="center"/>
    </xf>
    <xf numFmtId="0" applyNumberFormat="1" fontId="49" applyFont="1" fillId="84" applyFill="1" borderId="0" applyBorder="1" xfId="952" applyProtection="1" applyAlignment="1">
      <alignment vertical="center"/>
    </xf>
    <xf numFmtId="0" applyNumberFormat="1" fontId="1" applyFont="1" fillId="84" applyFill="1" borderId="0" applyBorder="1" xfId="0" applyProtection="1"/>
    <xf numFmtId="0" applyNumberFormat="1" fontId="282" applyFont="1" fillId="84" applyFill="1" borderId="13" applyBorder="1" xfId="22009" applyProtection="1" applyAlignment="1">
      <alignment horizontal="left" vertical="center"/>
    </xf>
    <xf numFmtId="0" applyNumberFormat="1" fontId="29" applyFont="1" fillId="0" applyFill="1" borderId="8" applyBorder="1" xfId="2284" applyProtection="1" applyAlignment="1">
      <alignment horizontal="center" vertical="center"/>
    </xf>
    <xf numFmtId="219" applyNumberFormat="1" fontId="29" applyFont="1" fillId="0" applyFill="1" borderId="8" applyBorder="1" xfId="7145" applyProtection="1" applyAlignment="1">
      <alignment horizontal="left" vertical="center"/>
    </xf>
    <xf numFmtId="219" applyNumberFormat="1" fontId="29" applyFont="1" fillId="0" applyFill="1" borderId="8" applyBorder="1" xfId="20106" applyProtection="1" applyAlignment="1">
      <alignment vertical="center"/>
    </xf>
    <xf numFmtId="219" applyNumberFormat="1" fontId="29" applyFont="1" fillId="0" applyFill="1" borderId="8" applyBorder="1" xfId="20106" applyProtection="1" applyAlignment="1">
      <alignment vertical="center"/>
      <protection hidden="1"/>
    </xf>
    <xf numFmtId="203" applyNumberFormat="1" fontId="29" applyFont="1" fillId="0" applyFill="1" borderId="8" applyBorder="1" xfId="7145" applyProtection="1" applyAlignment="1">
      <alignment vertical="center"/>
    </xf>
    <xf numFmtId="41" applyNumberFormat="1" fontId="29" applyFont="1" fillId="0" applyFill="1" borderId="8" applyBorder="1" xfId="1150" applyProtection="1" applyAlignment="1">
      <alignment vertical="center"/>
      <protection hidden="1"/>
    </xf>
    <xf numFmtId="41" applyNumberFormat="1" fontId="29" applyFont="1" fillId="0" applyFill="1" borderId="8" applyBorder="1" xfId="952" applyProtection="1" applyAlignment="1">
      <alignment vertical="center"/>
    </xf>
    <xf numFmtId="254" applyNumberFormat="1" fontId="29" applyFont="1" fillId="0" applyFill="1" borderId="8" applyBorder="1" xfId="2284" applyProtection="1" applyAlignment="1">
      <alignment horizontal="center" vertical="center"/>
    </xf>
    <xf numFmtId="0" applyNumberFormat="1" fontId="29" applyFont="1" fillId="45" applyFill="1" borderId="8" applyBorder="1" xfId="2284" applyProtection="1" applyAlignment="1">
      <alignment horizontal="center" vertical="center"/>
    </xf>
    <xf numFmtId="0" applyNumberFormat="1" fontId="29" applyFont="1" fillId="45" applyFill="1" borderId="8" applyBorder="1" xfId="952" applyProtection="1" applyAlignment="1">
      <alignment horizontal="left" vertical="center"/>
    </xf>
    <xf numFmtId="203" applyNumberFormat="1" fontId="29" applyFont="1" fillId="45" applyFill="1" borderId="13" applyBorder="1" xfId="7145" applyProtection="1" applyAlignment="1">
      <alignment vertical="center"/>
    </xf>
    <xf numFmtId="203" applyNumberFormat="1" fontId="29" applyFont="1" fillId="45" applyFill="1" borderId="8" applyBorder="1" xfId="7145" applyProtection="1" applyAlignment="1">
      <alignment vertical="center"/>
    </xf>
    <xf numFmtId="219" applyNumberFormat="1" fontId="29" applyFont="1" fillId="45" applyFill="1" borderId="8" applyBorder="1" xfId="20106" applyProtection="1" applyAlignment="1">
      <alignment vertical="center"/>
      <protection hidden="1"/>
    </xf>
    <xf numFmtId="41" applyNumberFormat="1" fontId="29" applyFont="1" fillId="45" applyFill="1" borderId="8" applyBorder="1" xfId="1150" applyProtection="1" applyAlignment="1">
      <alignment vertical="center"/>
      <protection hidden="1"/>
    </xf>
    <xf numFmtId="41" applyNumberFormat="1" fontId="29" applyFont="1" fillId="45" applyFill="1" borderId="8" applyBorder="1" xfId="952" applyProtection="1" applyAlignment="1">
      <alignment vertical="center"/>
    </xf>
    <xf numFmtId="254" applyNumberFormat="1" fontId="29" applyFont="1" fillId="45" applyFill="1" borderId="8" applyBorder="1" xfId="2284" applyProtection="1" applyAlignment="1">
      <alignment horizontal="center" vertical="center"/>
    </xf>
    <xf numFmtId="254" applyNumberFormat="1" fontId="29" applyFont="1" fillId="45" applyFill="1" borderId="96" applyBorder="1" xfId="2284" applyProtection="1" applyAlignment="1">
      <alignment horizontal="center" vertical="center"/>
    </xf>
    <xf numFmtId="0" applyNumberFormat="1" fontId="75" applyFont="1" fillId="84" applyFill="1" borderId="28" applyBorder="1" xfId="952" applyProtection="1" applyAlignment="1">
      <alignment horizontal="center" vertical="center"/>
    </xf>
    <xf numFmtId="0" applyNumberFormat="1" fontId="75" applyFont="1" fillId="84" applyFill="1" borderId="13" applyBorder="1" xfId="2284" applyProtection="1" applyAlignment="1">
      <alignment horizontal="center" vertical="center"/>
    </xf>
    <xf numFmtId="254" applyNumberFormat="1" fontId="75" applyFont="1" fillId="84" applyFill="1" borderId="13" applyBorder="1" xfId="20255" applyProtection="1" applyAlignment="1">
      <alignment vertical="center"/>
    </xf>
    <xf numFmtId="0" applyNumberFormat="1" fontId="75" applyFont="1" fillId="84" applyFill="1" borderId="13" applyBorder="1" xfId="952" applyProtection="1" applyAlignment="1">
      <alignment horizontal="center" vertical="center"/>
    </xf>
    <xf numFmtId="219" applyNumberFormat="1" fontId="75" applyFont="1" fillId="84" applyFill="1" borderId="13" applyBorder="1" xfId="7145" applyProtection="1" applyAlignment="1">
      <alignment vertical="center"/>
    </xf>
    <xf numFmtId="219" applyNumberFormat="1" fontId="75" applyFont="1" fillId="84" applyFill="1" borderId="13" applyBorder="1" xfId="20106" applyProtection="1" applyAlignment="1">
      <alignment vertical="center"/>
    </xf>
    <xf numFmtId="219" applyNumberFormat="1" fontId="75" applyFont="1" fillId="84" applyFill="1" borderId="13" applyBorder="1" xfId="20106" applyProtection="1" applyAlignment="1">
      <alignment vertical="center"/>
      <protection hidden="1"/>
    </xf>
    <xf numFmtId="219" applyNumberFormat="1" fontId="49" applyFont="1" fillId="84" applyFill="1" borderId="13" applyBorder="1" xfId="7145" applyProtection="1" applyAlignment="1">
      <alignment vertical="center"/>
      <protection hidden="1"/>
    </xf>
    <xf numFmtId="41" applyNumberFormat="1" fontId="75" applyFont="1" fillId="84" applyFill="1" borderId="13" applyBorder="1" xfId="1150" applyProtection="1" applyAlignment="1">
      <alignment vertical="center"/>
      <protection hidden="1"/>
    </xf>
    <xf numFmtId="41" applyNumberFormat="1" fontId="75" applyFont="1" fillId="84" applyFill="1" borderId="13" applyBorder="1" xfId="952" applyProtection="1" applyAlignment="1">
      <alignment vertical="center"/>
    </xf>
    <xf numFmtId="254" applyNumberFormat="1" fontId="75" applyFont="1" fillId="84" applyFill="1" borderId="13" applyBorder="1" xfId="2284" applyProtection="1" applyAlignment="1">
      <alignment horizontal="center" vertical="center"/>
    </xf>
    <xf numFmtId="254" applyNumberFormat="1" fontId="75" applyFont="1" fillId="84" applyFill="1" borderId="40" applyBorder="1" xfId="2284" applyProtection="1" applyAlignment="1">
      <alignment horizontal="center" vertical="center"/>
    </xf>
    <xf numFmtId="219" applyNumberFormat="1" fontId="69" applyFont="1" fillId="5" applyFill="1" borderId="12" applyBorder="1" xfId="7145" applyProtection="1" applyAlignment="1">
      <alignment vertical="center"/>
    </xf>
    <xf numFmtId="219" applyNumberFormat="1" fontId="69" applyFont="1" fillId="5" applyFill="1" borderId="18" applyBorder="1" xfId="7145" applyProtection="1" applyAlignment="1">
      <alignment vertical="center"/>
    </xf>
    <xf numFmtId="219" applyNumberFormat="1" fontId="69" applyFont="1" fillId="5" applyFill="1" borderId="18" applyBorder="1" xfId="20106" applyProtection="1" applyAlignment="1">
      <alignment vertical="center"/>
      <protection hidden="1"/>
    </xf>
    <xf numFmtId="254" applyNumberFormat="1" fontId="69" applyFont="1" fillId="5" applyFill="1" borderId="18" applyBorder="1" xfId="2284" applyProtection="1" applyAlignment="1">
      <alignment horizontal="center" vertical="center"/>
    </xf>
    <xf numFmtId="254" applyNumberFormat="1" fontId="69" applyFont="1" fillId="5" applyFill="1" borderId="38" applyBorder="1" xfId="2284" applyProtection="1" applyAlignment="1">
      <alignment horizontal="center" vertical="center"/>
    </xf>
    <xf numFmtId="219" applyNumberFormat="1" fontId="283" applyFont="1" fillId="0" applyFill="1" borderId="0" applyBorder="1" xfId="7145" applyProtection="1" applyAlignment="1">
      <alignment vertical="center"/>
    </xf>
    <xf numFmtId="219" applyNumberFormat="1" fontId="69" applyFont="1" fillId="19" applyFill="1" borderId="13" applyBorder="1" xfId="20106" applyProtection="1" applyAlignment="1">
      <alignment vertical="center"/>
    </xf>
    <xf numFmtId="0" applyNumberFormat="1" fontId="81" applyFont="1" fillId="5" applyFill="1" borderId="0" applyBorder="1" xfId="952" applyProtection="1" applyAlignment="1">
      <alignment vertical="center"/>
    </xf>
    <xf numFmtId="0" applyNumberFormat="1" fontId="51" applyFont="1" fillId="0" applyFill="1" borderId="13" applyBorder="1" xfId="952" applyProtection="1" applyAlignment="1">
      <alignment horizontal="center" vertical="center"/>
    </xf>
    <xf numFmtId="0" applyNumberFormat="1" fontId="51" applyFont="1" fillId="0" applyFill="1" borderId="13" applyBorder="1" xfId="2284" applyProtection="1" applyAlignment="1">
      <alignment horizontal="center" vertical="center"/>
    </xf>
    <xf numFmtId="0" applyNumberFormat="1" fontId="51" applyFont="1" fillId="0" applyFill="1" borderId="13" applyBorder="1" xfId="2284" applyProtection="1" applyAlignment="1">
      <alignment horizontal="left" vertical="center"/>
    </xf>
    <xf numFmtId="219" applyNumberFormat="1" fontId="51" applyFont="1" fillId="0" applyFill="1" borderId="13" applyBorder="1" xfId="7145" applyProtection="1" applyAlignment="1">
      <alignment horizontal="center" vertical="center" wrapText="1"/>
      <protection hidden="1"/>
    </xf>
    <xf numFmtId="0" applyNumberFormat="1" fontId="51" applyFont="1" fillId="0" applyFill="1" borderId="13" applyBorder="1" xfId="2256" applyProtection="1" applyAlignment="1">
      <alignment horizontal="center" vertical="center" wrapText="1"/>
    </xf>
    <xf numFmtId="0" applyNumberFormat="1" fontId="51" applyFont="1" fillId="0" applyFill="1" borderId="13" applyBorder="1" xfId="1145" applyProtection="1" applyAlignment="1">
      <alignment horizontal="center" vertical="center" wrapText="1"/>
      <protection hidden="1"/>
    </xf>
    <xf numFmtId="41" applyNumberFormat="1" fontId="51" applyFont="1" fillId="0" applyFill="1" borderId="13" applyBorder="1" xfId="2256" applyProtection="1" applyAlignment="1">
      <alignment horizontal="center" vertical="center" wrapText="1"/>
    </xf>
    <xf numFmtId="0" applyNumberFormat="1" fontId="51" applyFont="1" fillId="0" applyFill="1" borderId="13" applyBorder="1" xfId="19674" applyProtection="1" applyAlignment="1">
      <alignment horizontal="center" vertical="center" wrapText="1"/>
    </xf>
    <xf numFmtId="219" applyNumberFormat="1" fontId="51" applyFont="1" fillId="0" applyFill="1" borderId="8" applyBorder="1" xfId="7145" applyProtection="1" applyAlignment="1">
      <alignment vertical="center"/>
    </xf>
    <xf numFmtId="219" applyNumberFormat="1" fontId="51" applyFont="1" fillId="0" applyFill="1" borderId="8" applyBorder="1" xfId="7145" applyProtection="1" applyAlignment="1">
      <alignment vertical="center"/>
      <protection hidden="1"/>
    </xf>
    <xf numFmtId="219" applyNumberFormat="1" fontId="51" applyFont="1" fillId="0" applyFill="1" borderId="8" applyBorder="1" xfId="7145" applyProtection="1" applyAlignment="1">
      <alignment vertical="center"/>
    </xf>
    <xf numFmtId="41" applyNumberFormat="1" fontId="51" applyFont="1" fillId="0" applyFill="1" borderId="13" applyBorder="1" xfId="7450" applyProtection="1" applyAlignment="1">
      <alignment horizontal="center" vertical="center" wrapText="1"/>
      <protection hidden="1"/>
    </xf>
    <xf numFmtId="219" applyNumberFormat="1" fontId="51" applyFont="1" fillId="13" applyFill="1" borderId="13" applyBorder="1" xfId="7145" applyProtection="1" applyAlignment="1">
      <alignment horizontal="left" vertical="center"/>
    </xf>
    <xf numFmtId="219" applyNumberFormat="1" fontId="51" applyFont="1" fillId="13" applyFill="1" borderId="13" applyBorder="1" xfId="20106" applyProtection="1" applyAlignment="1">
      <alignment vertical="center"/>
    </xf>
    <xf numFmtId="0" applyNumberFormat="1" fontId="29" applyFont="1" fillId="45" applyFill="1" borderId="13" applyBorder="1" xfId="952" applyProtection="1" applyAlignment="1">
      <alignment horizontal="center" vertical="center"/>
    </xf>
    <xf numFmtId="0" applyNumberFormat="1" fontId="29" applyFont="1" fillId="45" applyFill="1" borderId="18" applyBorder="1" xfId="2284" applyProtection="1" applyAlignment="1">
      <alignment horizontal="center" vertical="center"/>
    </xf>
    <xf numFmtId="0" applyNumberFormat="1" fontId="29" applyFont="1" fillId="45" applyFill="1" borderId="18" applyBorder="1" xfId="2131" applyProtection="1" applyAlignment="1">
      <alignment horizontal="left" vertical="center"/>
    </xf>
    <xf numFmtId="0" applyNumberFormat="1" fontId="29" applyFont="1" fillId="45" applyFill="1" borderId="18" applyBorder="1" xfId="952" applyProtection="1" applyAlignment="1">
      <alignment horizontal="center" vertical="center"/>
    </xf>
    <xf numFmtId="219" applyNumberFormat="1" fontId="29" applyFont="1" fillId="45" applyFill="1" borderId="18" applyBorder="1" xfId="20106" applyProtection="1" applyAlignment="1">
      <alignment vertical="center"/>
      <protection hidden="1"/>
    </xf>
    <xf numFmtId="254" applyNumberFormat="1" fontId="29" applyFont="1" fillId="45" applyFill="1" borderId="18" applyBorder="1" xfId="1802" applyProtection="1" applyAlignment="1">
      <alignment horizontal="center" vertical="center"/>
    </xf>
    <xf numFmtId="254" applyNumberFormat="1" fontId="29" applyFont="1" fillId="45" applyFill="1" borderId="18" applyBorder="1" xfId="2284" applyProtection="1" applyAlignment="1">
      <alignment horizontal="center" vertical="center"/>
    </xf>
    <xf numFmtId="0" applyNumberFormat="1" fontId="29" applyFont="1" fillId="45" applyFill="1" borderId="0" applyBorder="1" xfId="18916" applyProtection="1" applyAlignment="1">
      <alignment vertical="center"/>
    </xf>
    <xf numFmtId="0" applyNumberFormat="1" fontId="29" applyFont="1" fillId="45" applyFill="1" borderId="0" applyBorder="1" xfId="16075" applyProtection="1" applyAlignment="1">
      <alignment vertical="center"/>
    </xf>
    <xf numFmtId="219" applyNumberFormat="1" fontId="51" applyFont="1" fillId="45" applyFill="1" borderId="13" applyBorder="1" xfId="7145" applyProtection="1" applyAlignment="1">
      <alignment vertical="center"/>
    </xf>
    <xf numFmtId="254" applyNumberFormat="1" fontId="51" applyFont="1" fillId="45" applyFill="1" borderId="0" applyBorder="1" xfId="16075" applyProtection="1" applyAlignment="1">
      <alignment vertical="center"/>
    </xf>
    <xf numFmtId="0" applyNumberFormat="1" fontId="29" applyFont="1" fillId="84" applyFill="1" borderId="8" applyBorder="1" xfId="2284" applyProtection="1" applyAlignment="1">
      <alignment horizontal="center" vertical="center"/>
    </xf>
    <xf numFmtId="0" applyNumberFormat="1" fontId="29" applyFont="1" fillId="84" applyFill="1" borderId="8" applyBorder="1" xfId="952" applyProtection="1" applyAlignment="1">
      <alignment horizontal="left" vertical="center"/>
    </xf>
    <xf numFmtId="203" applyNumberFormat="1" fontId="29" applyFont="1" fillId="84" applyFill="1" borderId="13" applyBorder="1" xfId="7145" applyProtection="1" applyAlignment="1">
      <alignment vertical="center"/>
    </xf>
    <xf numFmtId="203" applyNumberFormat="1" fontId="29" applyFont="1" fillId="84" applyFill="1" borderId="8" applyBorder="1" xfId="7145" applyProtection="1" applyAlignment="1">
      <alignment vertical="center"/>
    </xf>
    <xf numFmtId="219" applyNumberFormat="1" fontId="29" applyFont="1" fillId="84" applyFill="1" borderId="8" applyBorder="1" xfId="20106" applyProtection="1" applyAlignment="1">
      <alignment vertical="center"/>
      <protection hidden="1"/>
    </xf>
    <xf numFmtId="41" applyNumberFormat="1" fontId="29" applyFont="1" fillId="84" applyFill="1" borderId="8" applyBorder="1" xfId="1150" applyProtection="1" applyAlignment="1">
      <alignment vertical="center"/>
      <protection hidden="1"/>
    </xf>
    <xf numFmtId="41" applyNumberFormat="1" fontId="29" applyFont="1" fillId="84" applyFill="1" borderId="8" applyBorder="1" xfId="952" applyProtection="1" applyAlignment="1">
      <alignment vertical="center"/>
    </xf>
    <xf numFmtId="254" applyNumberFormat="1" fontId="29" applyFont="1" fillId="84" applyFill="1" borderId="8" applyBorder="1" xfId="2284" applyProtection="1" applyAlignment="1">
      <alignment horizontal="center" vertical="center"/>
    </xf>
    <xf numFmtId="0" applyNumberFormat="1" fontId="51" applyFont="1" fillId="84" applyFill="1" borderId="0" applyBorder="1" xfId="952" applyProtection="1" applyAlignment="1">
      <alignment vertical="center"/>
    </xf>
    <xf numFmtId="0" applyNumberFormat="1" fontId="19" applyFont="1" fillId="0" applyFill="1" borderId="10" applyBorder="1" xfId="17235" applyProtection="1" applyAlignment="1">
      <alignment horizontal="center"/>
    </xf>
    <xf numFmtId="0" applyNumberFormat="1" fontId="19" applyFont="1" fillId="0" applyFill="1" borderId="11" applyBorder="1" xfId="17235" applyProtection="1" applyAlignment="1">
      <alignment horizontal="center"/>
    </xf>
    <xf numFmtId="0" applyNumberFormat="1" fontId="19" applyFont="1" fillId="0" applyFill="1" borderId="12" applyBorder="1" xfId="17235" applyProtection="1" applyAlignment="1">
      <alignment horizontal="center"/>
    </xf>
    <xf numFmtId="0" applyNumberFormat="1" fontId="13" applyFont="1" fillId="0" applyFill="1" borderId="12" applyBorder="1" xfId="17235" applyProtection="1" applyAlignment="1">
      <alignment horizontal="center"/>
    </xf>
    <xf numFmtId="219" applyNumberFormat="1" fontId="51" applyFont="1" fillId="0" applyFill="1" borderId="18" applyBorder="1" xfId="20106" applyProtection="1" applyAlignment="1">
      <alignment vertical="center"/>
      <protection hidden="1"/>
    </xf>
    <xf numFmtId="219" applyNumberFormat="1" fontId="9" applyFont="1" fillId="0" applyFill="1" borderId="0" applyBorder="1" xfId="2312" applyProtection="1"/>
    <xf numFmtId="0" applyNumberFormat="1" fontId="62" applyFont="1" fillId="0" applyFill="1" borderId="86" applyBorder="1" xfId="1802" applyProtection="1" applyAlignment="1">
      <alignment horizontal="center" vertical="center"/>
    </xf>
    <xf numFmtId="0" applyNumberFormat="1" fontId="62" applyFont="1" fillId="0" applyFill="1" borderId="49" applyBorder="1" xfId="1802" applyProtection="1" applyAlignment="1">
      <alignment horizontal="center" vertical="center"/>
    </xf>
    <xf numFmtId="0" applyNumberFormat="1" fontId="62" applyFont="1" fillId="0" applyFill="1" borderId="75" applyBorder="1" xfId="1802" applyProtection="1" applyAlignment="1">
      <alignment horizontal="center" vertical="center"/>
    </xf>
    <xf numFmtId="0" applyNumberFormat="1" fontId="62" applyFont="1" fillId="0" applyFill="1" borderId="76" applyBorder="1" xfId="1802" applyProtection="1" applyAlignment="1">
      <alignment horizontal="center" vertical="center"/>
    </xf>
    <xf numFmtId="0" applyNumberFormat="1" fontId="62" applyFont="1" fillId="4" applyFill="1" borderId="31" applyBorder="1" xfId="952" applyProtection="1" applyAlignment="1">
      <alignment horizontal="center" vertical="center"/>
    </xf>
    <xf numFmtId="0" applyNumberFormat="1" fontId="62" applyFont="1" fillId="4" applyFill="1" borderId="32" applyBorder="1" xfId="952" applyProtection="1" applyAlignment="1">
      <alignment horizontal="center" vertical="center"/>
    </xf>
    <xf numFmtId="0" applyNumberFormat="1" fontId="62" applyFont="1" fillId="4" applyFill="1" borderId="59" applyBorder="1" xfId="952" applyProtection="1" applyAlignment="1">
      <alignment horizontal="center" vertical="center"/>
    </xf>
    <xf numFmtId="0" applyNumberFormat="1" fontId="62" applyFont="1" fillId="4" applyFill="1" borderId="60" applyBorder="1" xfId="952" applyProtection="1" applyAlignment="1">
      <alignment horizontal="center" vertical="center"/>
    </xf>
    <xf numFmtId="0" applyNumberFormat="1" fontId="6" applyFont="1" fillId="4" applyFill="1" borderId="31" applyBorder="1" xfId="952" applyProtection="1" applyAlignment="1">
      <alignment horizontal="center" vertical="center"/>
    </xf>
    <xf numFmtId="0" applyNumberFormat="1" fontId="6" applyFont="1" fillId="4" applyFill="1" borderId="32" applyBorder="1" xfId="952" applyProtection="1" applyAlignment="1">
      <alignment horizontal="center" vertical="center"/>
    </xf>
    <xf numFmtId="0" applyNumberFormat="1" fontId="62" applyFont="1" fillId="0" applyFill="1" borderId="50" applyBorder="1" xfId="1802" applyProtection="1" applyAlignment="1">
      <alignment horizontal="center" vertical="center"/>
    </xf>
    <xf numFmtId="0" applyNumberFormat="1" fontId="6" applyFont="1" fillId="4" applyFill="1" borderId="51" applyBorder="1" xfId="952" applyProtection="1" applyAlignment="1">
      <alignment horizontal="center" vertical="center"/>
    </xf>
    <xf numFmtId="0" applyNumberFormat="1" fontId="6" applyFont="1" fillId="0" applyFill="1" borderId="32" applyBorder="1" xfId="952" applyProtection="1" applyAlignment="1">
      <alignment horizontal="center" vertical="center"/>
    </xf>
    <xf numFmtId="0" applyNumberFormat="1" fontId="6" applyFont="1" fillId="4" applyFill="1" borderId="60" applyBorder="1" xfId="952" applyProtection="1" applyAlignment="1">
      <alignment horizontal="center" vertical="center"/>
    </xf>
    <xf numFmtId="0" applyNumberFormat="1" fontId="51" applyFont="1" fillId="0" applyFill="1" borderId="84" applyBorder="1" xfId="1802" applyProtection="1" applyAlignment="1">
      <alignment horizontal="center" vertical="center"/>
    </xf>
    <xf numFmtId="0" applyNumberFormat="1" fontId="51" applyFont="1" fillId="0" applyFill="1" borderId="75" applyBorder="1" xfId="1802" applyProtection="1" applyAlignment="1">
      <alignment horizontal="center" vertical="center"/>
    </xf>
    <xf numFmtId="0" applyNumberFormat="1" fontId="51" applyFont="1" fillId="0" applyFill="1" borderId="76" applyBorder="1" xfId="1802" applyProtection="1" applyAlignment="1">
      <alignment horizontal="center" vertical="center"/>
    </xf>
    <xf numFmtId="0" applyNumberFormat="1" fontId="51" applyFont="1" fillId="0" applyFill="1" borderId="84" applyBorder="1" xfId="952" applyProtection="1" applyAlignment="1">
      <alignment horizontal="center" vertical="center"/>
    </xf>
    <xf numFmtId="0" applyNumberFormat="1" fontId="51" applyFont="1" fillId="0" applyFill="1" borderId="75" applyBorder="1" xfId="952" applyProtection="1" applyAlignment="1">
      <alignment horizontal="center" vertical="center"/>
    </xf>
    <xf numFmtId="0" applyNumberFormat="1" fontId="51" applyFont="1" fillId="0" applyFill="1" borderId="76" applyBorder="1" xfId="952" applyProtection="1" applyAlignment="1">
      <alignment horizontal="center" vertical="center"/>
    </xf>
    <xf numFmtId="0" applyNumberFormat="1" fontId="51" applyFont="1" fillId="0" applyFill="1" borderId="0" applyBorder="1" xfId="16739" applyProtection="1" applyAlignment="1">
      <alignment horizontal="center" vertical="center"/>
    </xf>
    <xf numFmtId="0" applyNumberFormat="1" fontId="51" applyFont="1" fillId="0" applyFill="1" borderId="32" applyBorder="1" xfId="952" applyProtection="1" applyAlignment="1">
      <alignment horizontal="center" vertical="center"/>
    </xf>
    <xf numFmtId="0" applyNumberFormat="1" fontId="6" applyFont="1" fillId="0" applyFill="1" borderId="86" applyBorder="1" xfId="952" applyProtection="1" applyAlignment="1">
      <alignment horizontal="center" vertical="center"/>
    </xf>
    <xf numFmtId="0" applyNumberFormat="1" fontId="6" applyFont="1" fillId="0" applyFill="1" borderId="49" applyBorder="1" xfId="952" applyProtection="1" applyAlignment="1">
      <alignment horizontal="center" vertical="center"/>
    </xf>
    <xf numFmtId="0" applyNumberFormat="1" fontId="6" applyFont="1" fillId="4" applyFill="1" borderId="59" applyBorder="1" xfId="952" applyProtection="1" applyAlignment="1">
      <alignment horizontal="center" vertical="center"/>
    </xf>
    <xf numFmtId="0" applyNumberFormat="1" fontId="6" applyFont="1" fillId="4" applyFill="1" borderId="84" applyBorder="1" xfId="952" applyProtection="1" applyAlignment="1">
      <alignment horizontal="center" vertical="center"/>
    </xf>
    <xf numFmtId="0" applyNumberFormat="1" fontId="6" applyFont="1" fillId="4" applyFill="1" borderId="75" applyBorder="1" xfId="952" applyProtection="1" applyAlignment="1">
      <alignment horizontal="center" vertical="center"/>
    </xf>
    <xf numFmtId="0" applyNumberFormat="1" fontId="6" applyFont="1" fillId="4" applyFill="1" borderId="76" applyBorder="1" xfId="952" applyProtection="1" applyAlignment="1">
      <alignment horizontal="center" vertical="center"/>
    </xf>
    <xf numFmtId="0" applyNumberFormat="1" fontId="64" applyFont="1" fillId="0" applyFill="1" borderId="13" applyBorder="1" xfId="1802" applyProtection="1" applyAlignment="1">
      <alignment horizontal="center" vertical="center"/>
    </xf>
    <xf numFmtId="0" applyNumberFormat="1" fontId="64" applyFont="1" fillId="0" applyFill="1" borderId="62" applyBorder="1" xfId="952" applyProtection="1" applyAlignment="1">
      <alignment horizontal="center" vertical="center"/>
    </xf>
    <xf numFmtId="0" applyNumberFormat="1" fontId="64" applyFont="1" fillId="0" applyFill="1" borderId="75" applyBorder="1" xfId="952" applyProtection="1" applyAlignment="1">
      <alignment horizontal="center" vertical="center"/>
    </xf>
    <xf numFmtId="0" applyNumberFormat="1" fontId="64" applyFont="1" fillId="0" applyFill="1" borderId="76" applyBorder="1" xfId="952" applyProtection="1" applyAlignment="1">
      <alignment horizontal="center" vertical="center"/>
    </xf>
    <xf numFmtId="0" applyNumberFormat="1" fontId="64" applyFont="1" fillId="0" applyFill="1" borderId="77" applyBorder="1" xfId="952" applyProtection="1" applyAlignment="1">
      <alignment horizontal="center" vertical="center"/>
    </xf>
    <xf numFmtId="0" applyNumberFormat="1" fontId="64" applyFont="1" fillId="0" applyFill="1" borderId="78" applyBorder="1" xfId="952" applyProtection="1" applyAlignment="1">
      <alignment horizontal="center" vertical="center"/>
    </xf>
    <xf numFmtId="0" applyNumberFormat="1" fontId="64" applyFont="1" fillId="0" applyFill="1" borderId="79" applyBorder="1" xfId="952" applyProtection="1" applyAlignment="1">
      <alignment horizontal="center" vertical="center"/>
    </xf>
    <xf numFmtId="0" applyNumberFormat="1" fontId="62" applyFont="1" fillId="4" applyFill="1" borderId="31" applyBorder="1" xfId="1802" applyProtection="1" applyAlignment="1">
      <alignment horizontal="center" vertical="center"/>
    </xf>
    <xf numFmtId="0" applyNumberFormat="1" fontId="62" applyFont="1" fillId="4" applyFill="1" borderId="32" applyBorder="1" xfId="1802" applyProtection="1" applyAlignment="1">
      <alignment horizontal="center" vertical="center"/>
    </xf>
    <xf numFmtId="0" applyNumberFormat="1" fontId="51" applyFont="1" fillId="4" applyFill="1" borderId="32" applyBorder="1" xfId="952" applyProtection="1" applyAlignment="1">
      <alignment horizontal="center" vertical="center"/>
    </xf>
    <xf numFmtId="0" applyNumberFormat="1" fontId="36" applyFont="1" fillId="0" applyFill="1" borderId="18" applyBorder="1" xfId="20255" applyProtection="1" applyAlignment="1">
      <alignment horizontal="center" vertical="center"/>
    </xf>
    <xf numFmtId="0" applyNumberFormat="1" fontId="36" applyFont="1" fillId="0" applyFill="1" borderId="25" applyBorder="1" xfId="20255" applyProtection="1" applyAlignment="1">
      <alignment horizontal="center" vertical="center"/>
    </xf>
    <xf numFmtId="0" applyNumberFormat="1" fontId="36" applyFont="1" fillId="0" applyFill="1" borderId="8" applyBorder="1" xfId="20255" applyProtection="1" applyAlignment="1">
      <alignment horizontal="center" vertical="center"/>
    </xf>
    <xf numFmtId="219" applyNumberFormat="1" fontId="36" applyFont="1" fillId="0" applyFill="1" borderId="13" applyBorder="1" xfId="7145" applyProtection="1" applyAlignment="1">
      <alignment horizontal="center" vertical="center" wrapText="1"/>
    </xf>
    <xf numFmtId="0" applyNumberFormat="1" fontId="36" applyFont="1" fillId="0" applyFill="1" borderId="13" applyBorder="1" xfId="20255" applyProtection="1" applyAlignment="1">
      <alignment horizontal="center" vertical="center"/>
    </xf>
    <xf numFmtId="0" applyNumberFormat="1" fontId="36" applyFont="1" fillId="0" applyFill="1" borderId="20" applyBorder="1" xfId="20255" applyProtection="1" applyAlignment="1">
      <alignment horizontal="center" vertical="center"/>
    </xf>
    <xf numFmtId="0" applyNumberFormat="1" fontId="36" applyFont="1" fillId="0" applyFill="1" borderId="11" applyBorder="1" xfId="20255" applyProtection="1" applyAlignment="1">
      <alignment horizontal="center" vertical="center"/>
    </xf>
    <xf numFmtId="0" applyNumberFormat="1" fontId="38" applyFont="1" fillId="0" applyFill="1" borderId="13" applyBorder="1" xfId="20255" applyProtection="1" applyAlignment="1">
      <alignment horizontal="center" vertical="center"/>
    </xf>
    <xf numFmtId="0" applyNumberFormat="1" fontId="36" applyFont="1" fillId="0" applyFill="1" borderId="13" applyBorder="1" xfId="20255" applyProtection="1" applyAlignment="1">
      <alignment horizontal="center" vertical="center" wrapText="1"/>
    </xf>
    <xf numFmtId="0" applyNumberFormat="1" fontId="35" applyFont="1" fillId="0" applyFill="1" borderId="0" applyBorder="1" xfId="2287" applyProtection="1" applyAlignment="1">
      <alignment horizontal="center" vertical="center"/>
    </xf>
    <xf numFmtId="219" applyNumberFormat="1" fontId="35" applyFont="1" fillId="0" applyFill="1" borderId="0" applyBorder="1" xfId="7145" applyProtection="1" applyAlignment="1">
      <alignment horizontal="center" vertical="center"/>
    </xf>
    <xf numFmtId="0" applyNumberFormat="1" fontId="36" applyFont="1" fillId="0" applyFill="1" borderId="0" applyBorder="1" xfId="2287" applyProtection="1" applyAlignment="1">
      <alignment horizontal="center" vertical="center"/>
    </xf>
    <xf numFmtId="219" applyNumberFormat="1" fontId="36" applyFont="1" fillId="0" applyFill="1" borderId="0" applyBorder="1" xfId="7145" applyProtection="1" applyAlignment="1">
      <alignment horizontal="center" vertical="center"/>
    </xf>
    <xf numFmtId="0" applyNumberFormat="1" fontId="37" applyFont="1" fillId="0" applyFill="1" borderId="0" applyBorder="1" xfId="2287" applyProtection="1" applyAlignment="1">
      <alignment horizontal="center" vertical="center"/>
    </xf>
    <xf numFmtId="219" applyNumberFormat="1" fontId="37" applyFont="1" fillId="0" applyFill="1" borderId="0" applyBorder="1" xfId="7145" applyProtection="1" applyAlignment="1">
      <alignment horizontal="center" vertical="center"/>
    </xf>
    <xf numFmtId="0" applyNumberFormat="1" fontId="12" applyFont="1" fillId="0" applyFill="1" borderId="0" applyBorder="1" xfId="20255" applyProtection="1" applyAlignment="1">
      <alignment horizontal="center" vertical="center"/>
    </xf>
    <xf numFmtId="219" applyNumberFormat="1" fontId="12" applyFont="1" fillId="0" applyFill="1" borderId="0" applyBorder="1" xfId="7145" applyProtection="1" applyAlignment="1">
      <alignment horizontal="center" vertical="center"/>
    </xf>
    <xf numFmtId="0" applyNumberFormat="1" fontId="26" applyFont="1" fillId="0" applyFill="1" borderId="25" applyBorder="1" xfId="1802" applyProtection="1" applyAlignment="1">
      <alignment horizontal="center" vertical="center" textRotation="255"/>
    </xf>
    <xf numFmtId="0" applyNumberFormat="1" fontId="27" applyFont="1" fillId="0" applyFill="1" borderId="25" applyBorder="1" xfId="1802" applyProtection="1" applyAlignment="1">
      <alignment horizontal="center" vertical="center" textRotation="255"/>
    </xf>
    <xf numFmtId="0" applyNumberFormat="1" fontId="26" applyFont="1" fillId="9" applyFill="1" borderId="18" applyBorder="1" xfId="1802" applyProtection="1" applyAlignment="1">
      <alignment horizontal="center" vertical="center" textRotation="255"/>
    </xf>
    <xf numFmtId="0" applyNumberFormat="1" fontId="26" applyFont="1" fillId="9" applyFill="1" borderId="25" applyBorder="1" xfId="1802" applyProtection="1" applyAlignment="1">
      <alignment horizontal="center" vertical="center" textRotation="255"/>
    </xf>
    <xf numFmtId="0" applyNumberFormat="1" fontId="26" applyFont="1" fillId="9" applyFill="1" borderId="8" applyBorder="1" xfId="1802" applyProtection="1" applyAlignment="1">
      <alignment horizontal="center" vertical="center" textRotation="255"/>
    </xf>
    <xf numFmtId="0" applyNumberFormat="1" fontId="30" applyFont="1" fillId="9" applyFill="1" borderId="18" applyBorder="1" xfId="1802" applyProtection="1" applyAlignment="1">
      <alignment horizontal="center" vertical="center" textRotation="255"/>
    </xf>
    <xf numFmtId="0" applyNumberFormat="1" fontId="30" applyFont="1" fillId="9" applyFill="1" borderId="25" applyBorder="1" xfId="1802" applyProtection="1" applyAlignment="1">
      <alignment horizontal="center" vertical="center" textRotation="255"/>
    </xf>
    <xf numFmtId="0" applyNumberFormat="1" fontId="30" applyFont="1" fillId="9" applyFill="1" borderId="8" applyBorder="1" xfId="1802" applyProtection="1" applyAlignment="1">
      <alignment horizontal="center" vertical="center" textRotation="255"/>
    </xf>
    <xf numFmtId="0" applyNumberFormat="1" fontId="6" applyFont="1" fillId="0" applyFill="1" borderId="22" applyBorder="1" xfId="1802" applyProtection="1" applyAlignment="1">
      <alignment horizontal="center" vertical="center"/>
    </xf>
    <xf numFmtId="0" applyNumberFormat="1" fontId="6" applyFont="1" fillId="0" applyFill="1" borderId="23" applyBorder="1" xfId="1802" applyProtection="1" applyAlignment="1">
      <alignment horizontal="center" vertical="center"/>
    </xf>
    <xf numFmtId="0" applyNumberFormat="1" fontId="25" applyFont="1" fillId="7" applyFill="1" borderId="25" applyBorder="1" xfId="1802" applyProtection="1" applyAlignment="1">
      <alignment horizontal="center" vertical="center" textRotation="255"/>
    </xf>
    <xf numFmtId="0" applyNumberFormat="1" fontId="25" applyFont="1" fillId="7" applyFill="1" borderId="8" applyBorder="1" xfId="1802" applyProtection="1" applyAlignment="1">
      <alignment horizontal="center" vertical="center" textRotation="255"/>
    </xf>
    <xf numFmtId="0" applyNumberFormat="1" fontId="26" applyFont="1" fillId="7" applyFill="1" borderId="18" applyBorder="1" xfId="1802" applyProtection="1" applyAlignment="1">
      <alignment horizontal="center" vertical="center" textRotation="255"/>
    </xf>
    <xf numFmtId="0" applyNumberFormat="1" fontId="26" applyFont="1" fillId="7" applyFill="1" borderId="25" applyBorder="1" xfId="1802" applyProtection="1" applyAlignment="1">
      <alignment horizontal="center" vertical="center" textRotation="255"/>
    </xf>
    <xf numFmtId="0" applyNumberFormat="1" fontId="26" applyFont="1" fillId="7" applyFill="1" borderId="8" applyBorder="1" xfId="1802" applyProtection="1" applyAlignment="1">
      <alignment horizontal="center" vertical="center" textRotation="255"/>
    </xf>
    <xf numFmtId="0" applyNumberFormat="1" fontId="27" applyFont="1" fillId="9" applyFill="1" borderId="18" applyBorder="1" xfId="1802" applyProtection="1" applyAlignment="1">
      <alignment horizontal="center" vertical="center" textRotation="255"/>
    </xf>
    <xf numFmtId="0" applyNumberFormat="1" fontId="27" applyFont="1" fillId="9" applyFill="1" borderId="25" applyBorder="1" xfId="1802" applyProtection="1" applyAlignment="1">
      <alignment horizontal="center" vertical="center" textRotation="255"/>
    </xf>
    <xf numFmtId="0" applyNumberFormat="1" fontId="28" applyFont="1" fillId="9" applyFill="1" borderId="25" applyBorder="1" xfId="1802" applyProtection="1" applyAlignment="1">
      <alignment horizontal="center" vertical="center" textRotation="255"/>
    </xf>
    <xf numFmtId="0" applyNumberFormat="1" fontId="27" applyFont="1" fillId="9" applyFill="1" borderId="8" applyBorder="1" xfId="1802" applyProtection="1" applyAlignment="1">
      <alignment horizontal="center" vertical="center" textRotation="255"/>
    </xf>
    <xf numFmtId="254" applyNumberFormat="1" fontId="6" applyFont="1" fillId="0" applyFill="1" borderId="22" applyBorder="1" xfId="1802" applyProtection="1" applyAlignment="1">
      <alignment horizontal="center" vertical="center"/>
    </xf>
    <xf numFmtId="254" applyNumberFormat="1" fontId="6" applyFont="1" fillId="0" applyFill="1" borderId="23" applyBorder="1" xfId="1802" applyProtection="1" applyAlignment="1">
      <alignment horizontal="center" vertical="center"/>
    </xf>
    <xf numFmtId="0" applyNumberFormat="1" fontId="22" applyFont="1" fillId="4" applyFill="1" borderId="20" applyBorder="1" xfId="17235" applyProtection="1" applyAlignment="1">
      <alignment horizontal="center"/>
    </xf>
    <xf numFmtId="0" applyNumberFormat="1" fontId="22" applyFont="1" fillId="4" applyFill="1" borderId="11" applyBorder="1" xfId="17235" applyProtection="1" applyAlignment="1">
      <alignment horizontal="center"/>
    </xf>
    <xf numFmtId="0" applyNumberFormat="1" fontId="22" applyFont="1" fillId="4" applyFill="1" borderId="11" applyBorder="1" xfId="17235" applyProtection="1"/>
    <xf numFmtId="0" applyNumberFormat="1" fontId="20" applyFont="1" fillId="4" applyFill="1" borderId="20" applyBorder="1" xfId="17235" applyProtection="1" applyAlignment="1">
      <alignment horizontal="center"/>
    </xf>
    <xf numFmtId="0" applyNumberFormat="1" fontId="20" applyFont="1" fillId="4" applyFill="1" borderId="11" applyBorder="1" xfId="17235" applyProtection="1" applyAlignment="1">
      <alignment horizontal="center"/>
    </xf>
    <xf numFmtId="0" applyNumberFormat="1" fontId="20" applyFont="1" fillId="4" applyFill="1" borderId="11" applyBorder="1" xfId="17235" applyProtection="1"/>
    <xf numFmtId="0" applyNumberFormat="1" fontId="19" applyFont="1" fillId="0" applyFill="1" borderId="10" applyBorder="1" xfId="17235" applyProtection="1" applyAlignment="1">
      <alignment horizontal="center"/>
    </xf>
    <xf numFmtId="0" applyNumberFormat="1" fontId="19" applyFont="1" fillId="0" applyFill="1" borderId="11" applyBorder="1" xfId="17235" applyProtection="1" applyAlignment="1">
      <alignment horizontal="center"/>
    </xf>
    <xf numFmtId="0" applyNumberFormat="1" fontId="19" applyFont="1" fillId="0" applyFill="1" borderId="12" applyBorder="1" xfId="17235" applyProtection="1" applyAlignment="1">
      <alignment horizontal="center"/>
    </xf>
    <xf numFmtId="0" applyNumberFormat="1" fontId="20" applyFont="1" fillId="4" applyFill="1" borderId="1" applyBorder="1" xfId="17235" applyProtection="1" applyAlignment="1">
      <alignment horizontal="center"/>
    </xf>
    <xf numFmtId="0" applyNumberFormat="1" fontId="20" applyFont="1" fillId="4" applyFill="1" borderId="2" applyBorder="1" xfId="17235" applyProtection="1" applyAlignment="1">
      <alignment horizontal="center"/>
    </xf>
    <xf numFmtId="0" applyNumberFormat="1" fontId="20" applyFont="1" fillId="4" applyFill="1" borderId="3" applyBorder="1" xfId="17235" applyProtection="1"/>
    <xf numFmtId="15" applyNumberFormat="1" fontId="12" applyFont="1" fillId="0" applyFill="1" borderId="0" applyBorder="1" xfId="17235" applyProtection="1" applyAlignment="1">
      <alignment horizontal="left"/>
    </xf>
    <xf numFmtId="0" applyNumberFormat="1" fontId="18" applyFont="1" fillId="6" applyFill="1" borderId="1" applyBorder="1" xfId="17235" applyProtection="1" applyAlignment="1">
      <alignment horizontal="center" vertical="center"/>
    </xf>
    <xf numFmtId="0" applyNumberFormat="1" fontId="18" applyFont="1" fillId="6" applyFill="1" borderId="2" applyBorder="1" xfId="17235" applyProtection="1" applyAlignment="1">
      <alignment horizontal="center" vertical="center"/>
    </xf>
    <xf numFmtId="0" applyNumberFormat="1" fontId="18" applyFont="1" fillId="6" applyFill="1" borderId="3" applyBorder="1" xfId="17235" applyProtection="1" applyAlignment="1">
      <alignment horizontal="center" vertical="center"/>
    </xf>
    <xf numFmtId="219" applyNumberFormat="1" fontId="18" applyFont="1" fillId="6" applyFill="1" borderId="21" applyBorder="1" xfId="1601" applyProtection="1" applyAlignment="1">
      <alignment horizontal="center" vertical="center"/>
    </xf>
    <xf numFmtId="219" applyNumberFormat="1" fontId="18" applyFont="1" fillId="6" applyFill="1" borderId="4" applyBorder="1" xfId="1601" applyProtection="1" applyAlignment="1">
      <alignment horizontal="center" vertical="center"/>
    </xf>
    <xf numFmtId="0" applyNumberFormat="1" fontId="19" applyFont="1" fillId="6" applyFill="1" borderId="5" applyBorder="1" xfId="17235" applyProtection="1" applyAlignment="1">
      <alignment horizontal="center" vertical="center"/>
    </xf>
    <xf numFmtId="0" applyNumberFormat="1" fontId="19" applyFont="1" fillId="6" applyFill="1" borderId="6" applyBorder="1" xfId="17235" applyProtection="1" applyAlignment="1">
      <alignment horizontal="center" vertical="center"/>
    </xf>
    <xf numFmtId="0" applyNumberFormat="1" fontId="19" applyFont="1" fillId="6" applyFill="1" borderId="7" applyBorder="1" xfId="17235" applyProtection="1" applyAlignment="1">
      <alignment horizontal="center" vertical="center"/>
    </xf>
    <xf numFmtId="0" applyNumberFormat="1" fontId="4" applyFont="1" fillId="4" applyFill="1" borderId="20" applyBorder="1" xfId="17235" applyProtection="1" applyAlignment="1">
      <alignment horizontal="center"/>
    </xf>
    <xf numFmtId="0" applyNumberFormat="1" fontId="4" applyFont="1" fillId="4" applyFill="1" borderId="11" applyBorder="1" xfId="17235" applyProtection="1" applyAlignment="1">
      <alignment horizontal="center"/>
    </xf>
    <xf numFmtId="0" applyNumberFormat="1" fontId="4" applyFont="1" fillId="4" applyFill="1" borderId="12" applyBorder="1" xfId="17235" applyProtection="1"/>
    <xf numFmtId="0" applyNumberFormat="1" fontId="11" applyFont="1" fillId="4" applyFill="1" borderId="20" applyBorder="1" xfId="17235" applyProtection="1" applyAlignment="1">
      <alignment horizontal="center"/>
    </xf>
    <xf numFmtId="0" applyNumberFormat="1" fontId="11" applyFont="1" fillId="4" applyFill="1" borderId="11" applyBorder="1" xfId="17235" applyProtection="1" applyAlignment="1">
      <alignment horizontal="center"/>
    </xf>
    <xf numFmtId="0" applyNumberFormat="1" fontId="11" applyFont="1" fillId="4" applyFill="1" borderId="12" applyBorder="1" xfId="17235" applyProtection="1"/>
    <xf numFmtId="0" applyNumberFormat="1" fontId="13" applyFont="1" fillId="0" applyFill="1" borderId="10" applyBorder="1" xfId="17235" applyProtection="1" applyAlignment="1">
      <alignment horizontal="center"/>
    </xf>
    <xf numFmtId="0" applyNumberFormat="1" fontId="13" applyFont="1" fillId="0" applyFill="1" borderId="11" applyBorder="1" xfId="17235" applyProtection="1" applyAlignment="1">
      <alignment horizontal="center"/>
    </xf>
    <xf numFmtId="0" applyNumberFormat="1" fontId="13" applyFont="1" fillId="0" applyFill="1" borderId="12" applyBorder="1" xfId="17235" applyProtection="1" applyAlignment="1">
      <alignment horizontal="center"/>
    </xf>
    <xf numFmtId="0" applyNumberFormat="1" fontId="13" applyFont="1" fillId="0" applyFill="1" borderId="15" applyBorder="1" xfId="17235" applyProtection="1" applyAlignment="1">
      <alignment horizontal="center"/>
    </xf>
    <xf numFmtId="0" applyNumberFormat="1" fontId="13" applyFont="1" fillId="0" applyFill="1" borderId="16" applyBorder="1" xfId="17235" applyProtection="1" applyAlignment="1">
      <alignment horizontal="center"/>
    </xf>
    <xf numFmtId="0" applyNumberFormat="1" fontId="13" applyFont="1" fillId="0" applyFill="1" borderId="17" applyBorder="1" xfId="17235" applyProtection="1" applyAlignment="1">
      <alignment horizontal="center"/>
    </xf>
    <xf numFmtId="0" applyNumberFormat="1" fontId="11" applyFont="1" fillId="4" applyFill="1" borderId="1" applyBorder="1" xfId="17235" applyProtection="1" applyAlignment="1">
      <alignment horizontal="center"/>
    </xf>
    <xf numFmtId="0" applyNumberFormat="1" fontId="11" applyFont="1" fillId="4" applyFill="1" borderId="2" applyBorder="1" xfId="17235" applyProtection="1" applyAlignment="1">
      <alignment horizontal="center"/>
    </xf>
    <xf numFmtId="0" applyNumberFormat="1" fontId="11" applyFont="1" fillId="4" applyFill="1" borderId="3" applyBorder="1" xfId="17235" applyProtection="1"/>
    <xf numFmtId="15" applyNumberFormat="1" fontId="4" applyFont="1" fillId="0" applyFill="1" borderId="0" applyBorder="1" xfId="17235" applyProtection="1" applyAlignment="1">
      <alignment horizontal="left"/>
    </xf>
    <xf numFmtId="0" applyNumberFormat="1" fontId="11" applyFont="1" fillId="3" applyFill="1" borderId="1" applyBorder="1" xfId="17235" applyProtection="1" applyAlignment="1">
      <alignment horizontal="center"/>
    </xf>
    <xf numFmtId="0" applyNumberFormat="1" fontId="11" applyFont="1" fillId="3" applyFill="1" borderId="2" applyBorder="1" xfId="17235" applyProtection="1" applyAlignment="1">
      <alignment horizontal="center"/>
    </xf>
    <xf numFmtId="0" applyNumberFormat="1" fontId="11" applyFont="1" fillId="3" applyFill="1" borderId="3" applyBorder="1" xfId="17235" applyProtection="1" applyAlignment="1">
      <alignment horizontal="center"/>
    </xf>
    <xf numFmtId="0" applyNumberFormat="1" fontId="13" applyFont="1" fillId="0" applyFill="1" borderId="5" applyBorder="1" xfId="17235" applyProtection="1" applyAlignment="1">
      <alignment horizontal="center"/>
    </xf>
    <xf numFmtId="0" applyNumberFormat="1" fontId="13" applyFont="1" fillId="0" applyFill="1" borderId="6" applyBorder="1" xfId="17235" applyProtection="1" applyAlignment="1">
      <alignment horizontal="center"/>
    </xf>
    <xf numFmtId="0" applyNumberFormat="1" fontId="13" applyFont="1" fillId="0" applyFill="1" borderId="7" applyBorder="1" xfId="17235" applyProtection="1" applyAlignment="1">
      <alignment horizontal="center"/>
    </xf>
    <xf numFmtId="219" applyNumberFormat="1" fontId="9" applyFont="1" fillId="5" applyFill="1" borderId="0" applyBorder="1" xfId="2312" applyProtection="1"/>
    <xf numFmtId="0" applyNumberFormat="1" fontId="62" applyFont="1" fillId="85" applyFill="1" borderId="49" applyBorder="1" xfId="1802" applyProtection="1" applyAlignment="1">
      <alignment horizontal="center" vertical="center"/>
    </xf>
    <xf numFmtId="0" applyNumberFormat="1" fontId="62" applyFont="1" fillId="85" applyFill="1" borderId="0" applyBorder="1" xfId="1802" applyProtection="1" applyAlignment="1">
      <alignment horizontal="center" vertical="center"/>
    </xf>
    <xf numFmtId="0" applyNumberFormat="1" fontId="48" applyFont="1" fillId="9" applyFill="1" borderId="27" applyBorder="1" xfId="1183" applyProtection="1" applyAlignment="1">
      <alignment horizontal="center" vertical="center" wrapText="1"/>
      <protection hidden="1"/>
    </xf>
    <xf numFmtId="0" applyNumberFormat="1" fontId="50" applyFont="1" fillId="85" applyFill="1" borderId="13" applyBorder="1" xfId="2284" applyProtection="1" applyAlignment="1">
      <alignment horizontal="center" vertical="center"/>
    </xf>
    <xf numFmtId="0" applyNumberFormat="1" fontId="62" applyFont="1" fillId="9" applyFill="1" borderId="32" applyBorder="1" xfId="952" applyProtection="1" applyAlignment="1">
      <alignment horizontal="center" vertical="center"/>
    </xf>
    <xf numFmtId="0" applyNumberFormat="1" fontId="0" applyFont="1" fillId="85" applyFill="1" borderId="0" applyBorder="1" xfId="0" applyProtection="1"/>
    <xf numFmtId="0" applyNumberFormat="1" fontId="62" applyFont="1" fillId="9" applyFill="1" borderId="60" applyBorder="1" xfId="952" applyProtection="1" applyAlignment="1">
      <alignment horizontal="center" vertical="center"/>
    </xf>
    <xf numFmtId="0" applyNumberFormat="1" fontId="62" applyFont="1" fillId="85" applyFill="1" borderId="0" applyBorder="1" xfId="952" applyProtection="1" applyAlignment="1">
      <alignment horizontal="center" vertical="center"/>
    </xf>
    <xf numFmtId="0" applyNumberFormat="1" fontId="62" applyFont="1" fillId="85" applyFill="1" borderId="0" applyBorder="1" xfId="2284" applyProtection="1" applyAlignment="1">
      <alignment horizontal="center" vertical="center"/>
    </xf>
    <xf numFmtId="0" applyNumberFormat="1" fontId="62" applyFont="1" fillId="85" applyFill="1" borderId="0" applyBorder="1" xfId="952" applyProtection="1" applyAlignment="1">
      <alignment vertical="center"/>
    </xf>
    <xf numFmtId="0" applyNumberFormat="1" fontId="33" applyFont="1" fillId="85" applyFill="1" borderId="0" applyBorder="1" xfId="2284" applyProtection="1" applyAlignment="1">
      <alignment horizontal="center" vertical="center"/>
    </xf>
    <xf numFmtId="0" applyNumberFormat="1" fontId="6" applyFont="1" fillId="9" applyFill="1" borderId="32" applyBorder="1" xfId="952" applyProtection="1" applyAlignment="1">
      <alignment horizontal="center" vertical="center"/>
    </xf>
    <xf numFmtId="0" applyNumberFormat="1" fontId="6" applyFont="1" fillId="85" applyFill="1" borderId="0" applyBorder="1" xfId="952" applyProtection="1" applyAlignment="1">
      <alignment horizontal="center" vertical="center"/>
    </xf>
    <xf numFmtId="0" applyNumberFormat="1" fontId="6" applyFont="1" fillId="85" applyFill="1" borderId="0" applyBorder="1" xfId="2284" applyProtection="1" applyAlignment="1">
      <alignment horizontal="center" vertical="center"/>
    </xf>
    <xf numFmtId="0" applyNumberFormat="1" fontId="6" applyFont="1" fillId="85" applyFill="1" borderId="0" applyBorder="1" xfId="952" applyProtection="1" applyAlignment="1">
      <alignment vertical="center"/>
    </xf>
    <xf numFmtId="0" applyNumberFormat="1" fontId="8" applyFont="1" fillId="85" applyFill="1" borderId="0" applyBorder="1" xfId="2284" applyProtection="1" applyAlignment="1">
      <alignment horizontal="center" vertical="center"/>
    </xf>
    <xf numFmtId="0" applyNumberFormat="1" fontId="47" applyFont="1" fillId="9" applyFill="1" borderId="36" applyBorder="1" xfId="1183" applyProtection="1" applyAlignment="1">
      <alignment horizontal="center" vertical="center" wrapText="1"/>
      <protection hidden="1"/>
    </xf>
    <xf numFmtId="0" applyNumberFormat="1" fontId="69" applyFont="1" fillId="86" applyFill="1" borderId="13" applyBorder="1" xfId="2284" applyProtection="1" applyAlignment="1">
      <alignment horizontal="center" vertical="center"/>
    </xf>
    <xf numFmtId="0" applyNumberFormat="1" fontId="29" applyFont="1" fillId="87" applyFill="1" borderId="13" applyBorder="1" xfId="2284" applyProtection="1" applyAlignment="1">
      <alignment horizontal="center" vertical="center"/>
    </xf>
    <xf numFmtId="0" applyNumberFormat="1" fontId="29" applyFont="1" fillId="86" applyFill="1" borderId="13" applyBorder="1" xfId="2284" applyProtection="1" applyAlignment="1">
      <alignment horizontal="center" vertical="center"/>
    </xf>
    <xf numFmtId="0" applyNumberFormat="1" fontId="29" applyFont="1" fillId="85" applyFill="1" borderId="13" applyBorder="1" xfId="2284" applyProtection="1" applyAlignment="1">
      <alignment horizontal="center" vertical="center"/>
    </xf>
    <xf numFmtId="0" applyNumberFormat="1" fontId="29" applyFont="1" fillId="87" applyFill="1" borderId="18" applyBorder="1" xfId="2284" applyProtection="1" applyAlignment="1">
      <alignment horizontal="center" vertical="center"/>
    </xf>
    <xf numFmtId="0" applyNumberFormat="1" fontId="29" applyFont="1" fillId="85" applyFill="1" borderId="18" applyBorder="1" xfId="2284" applyProtection="1" applyAlignment="1">
      <alignment horizontal="center" vertical="center"/>
    </xf>
    <xf numFmtId="0" applyNumberFormat="1" fontId="29" applyFont="1" fillId="87" applyFill="1" borderId="8" applyBorder="1" xfId="2284" applyProtection="1" applyAlignment="1">
      <alignment horizontal="center" vertical="center"/>
    </xf>
    <xf numFmtId="0" applyNumberFormat="1" fontId="29" applyFont="1" fillId="86" applyFill="1" borderId="8" applyBorder="1" xfId="2284" applyProtection="1" applyAlignment="1">
      <alignment horizontal="center" vertical="center"/>
    </xf>
    <xf numFmtId="0" applyNumberFormat="1" fontId="81" applyFont="1" fillId="85" applyFill="1" borderId="13" applyBorder="1" xfId="2284" applyProtection="1" applyAlignment="1">
      <alignment horizontal="center" vertical="center"/>
    </xf>
    <xf numFmtId="0" applyNumberFormat="1" fontId="75" applyFont="1" fillId="85" applyFill="1" borderId="0" applyBorder="1" xfId="2284" applyProtection="1" applyAlignment="1">
      <alignment horizontal="center" vertical="center"/>
    </xf>
    <xf numFmtId="0" applyNumberFormat="1" fontId="47" applyFont="1" fillId="9" applyFill="1" borderId="69" applyBorder="1" xfId="1183" applyProtection="1" applyAlignment="1">
      <alignment horizontal="center" vertical="center" wrapText="1"/>
      <protection hidden="1"/>
    </xf>
    <xf numFmtId="0" applyNumberFormat="1" fontId="75" applyFont="1" fillId="85" applyFill="1" borderId="13" applyBorder="1" xfId="2284" quotePrefix="1" applyProtection="1" applyAlignment="1">
      <alignment horizontal="center" vertical="center"/>
    </xf>
    <xf numFmtId="0" applyNumberFormat="1" fontId="6" applyFont="1" fillId="85" applyFill="1" borderId="32" applyBorder="1" xfId="952" applyProtection="1" applyAlignment="1">
      <alignment horizontal="center" vertical="center"/>
    </xf>
    <xf numFmtId="0" applyNumberFormat="1" fontId="29" applyFont="1" fillId="85" applyFill="1" borderId="0" applyBorder="1" xfId="2284" applyProtection="1" applyAlignment="1">
      <alignment horizontal="center" vertical="center"/>
    </xf>
    <xf numFmtId="0" applyNumberFormat="1" fontId="49" applyFont="1" fillId="88" applyFill="1" borderId="13" applyBorder="1" xfId="2284" applyProtection="1" applyAlignment="1">
      <alignment horizontal="center" vertical="center"/>
    </xf>
    <xf numFmtId="0" applyNumberFormat="1" fontId="49" applyFont="1" fillId="86" applyFill="1" borderId="13" applyBorder="1" xfId="2284" applyProtection="1" applyAlignment="1">
      <alignment horizontal="center" vertical="center"/>
    </xf>
    <xf numFmtId="0" applyNumberFormat="1" fontId="29" applyFont="1" fillId="86" applyFill="1" borderId="18" applyBorder="1" xfId="2284" applyProtection="1" applyAlignment="1">
      <alignment horizontal="center" vertical="center"/>
    </xf>
    <xf numFmtId="0" applyNumberFormat="1" fontId="6" applyFont="1" fillId="9" applyFill="1" borderId="60" applyBorder="1" xfId="952" applyProtection="1" applyAlignment="1">
      <alignment horizontal="center" vertical="center"/>
    </xf>
    <xf numFmtId="0" applyNumberFormat="1" fontId="64" applyFont="1" fillId="85" applyFill="1" borderId="0" applyBorder="1" xfId="952" applyProtection="1" applyAlignment="1">
      <alignment horizontal="center" vertical="center"/>
    </xf>
    <xf numFmtId="0" applyNumberFormat="1" fontId="6" applyFont="1" fillId="85" applyFill="1" borderId="91" applyBorder="1" xfId="952" applyProtection="1" applyAlignment="1">
      <alignment horizontal="center" vertical="center"/>
    </xf>
    <xf numFmtId="0" applyNumberFormat="1" fontId="51" applyFont="1" fillId="85" applyFill="1" borderId="49" applyBorder="1" xfId="1802" applyProtection="1" applyAlignment="1">
      <alignment horizontal="center" vertical="center"/>
    </xf>
    <xf numFmtId="0" applyNumberFormat="1" fontId="47" applyFont="1" fillId="9" applyFill="1" borderId="56" applyBorder="1" xfId="1183" applyProtection="1" applyAlignment="1">
      <alignment horizontal="center" vertical="center" wrapText="1"/>
      <protection hidden="1"/>
    </xf>
    <xf numFmtId="0" applyNumberFormat="1" fontId="49" applyFont="1" fillId="88" applyFill="1" borderId="18" applyBorder="1" xfId="2284" applyProtection="1" applyAlignment="1">
      <alignment horizontal="center" vertical="center"/>
    </xf>
    <xf numFmtId="0" applyNumberFormat="1" fontId="49" applyFont="1" fillId="85" applyFill="1" borderId="18" applyBorder="1" xfId="2284" applyProtection="1" applyAlignment="1">
      <alignment horizontal="center" vertical="center"/>
    </xf>
    <xf numFmtId="0" applyNumberFormat="1" fontId="49" applyFont="1" fillId="86" applyFill="1" borderId="18" applyBorder="1" xfId="2284" applyProtection="1" applyAlignment="1">
      <alignment horizontal="center" vertical="center"/>
    </xf>
    <xf numFmtId="0" applyNumberFormat="1" fontId="29" applyFont="1" fillId="85" applyFill="1" borderId="18" applyBorder="1" xfId="2284" quotePrefix="1" applyProtection="1" applyAlignment="1">
      <alignment horizontal="center" vertical="center"/>
    </xf>
    <xf numFmtId="0" applyNumberFormat="1" fontId="29" applyFont="1" fillId="88" applyFill="1" borderId="13" applyBorder="1" xfId="2284" applyProtection="1" applyAlignment="1">
      <alignment horizontal="center" vertical="center"/>
    </xf>
    <xf numFmtId="0" applyNumberFormat="1" fontId="51" applyFont="1" fillId="85" applyFill="1" borderId="75" applyBorder="1" xfId="952" applyProtection="1" applyAlignment="1">
      <alignment horizontal="center" vertical="center"/>
    </xf>
    <xf numFmtId="0" applyNumberFormat="1" fontId="51" applyFont="1" fillId="85" applyFill="1" borderId="0" applyBorder="1" xfId="16739" applyProtection="1" applyAlignment="1">
      <alignment horizontal="center" vertical="center"/>
    </xf>
    <xf numFmtId="0" applyNumberFormat="1" fontId="62" applyFont="1" fillId="85" applyFill="1" borderId="0" applyBorder="1" xfId="19386" applyProtection="1" applyAlignment="1">
      <alignment horizontal="center" vertical="center"/>
    </xf>
    <xf numFmtId="0" applyNumberFormat="1" fontId="47" applyFont="1" fillId="9" applyFill="1" borderId="68" applyBorder="1" xfId="7788" applyProtection="1" applyAlignment="1">
      <alignment horizontal="center" vertical="center" wrapText="1"/>
      <protection hidden="1"/>
    </xf>
    <xf numFmtId="0" applyNumberFormat="1" fontId="6" applyFont="1" fillId="85" applyFill="1" borderId="0" applyBorder="1" xfId="16739" applyProtection="1" applyAlignment="1">
      <alignment horizontal="center" vertical="center"/>
    </xf>
    <xf numFmtId="0" applyNumberFormat="1" fontId="51" applyFont="1" fillId="85" applyFill="1" borderId="32" applyBorder="1" xfId="952" applyProtection="1" applyAlignment="1">
      <alignment horizontal="center" vertical="center"/>
    </xf>
    <xf numFmtId="0" applyNumberFormat="1" fontId="51" applyFont="1" fillId="85" applyFill="1" borderId="0" applyBorder="1" xfId="952" applyProtection="1" applyAlignment="1">
      <alignment horizontal="center" vertical="center"/>
    </xf>
    <xf numFmtId="0" applyNumberFormat="1" fontId="6" applyFont="1" fillId="85" applyFill="1" borderId="49" applyBorder="1" xfId="952" applyProtection="1" applyAlignment="1">
      <alignment horizontal="center" vertical="center"/>
    </xf>
    <xf numFmtId="0" applyNumberFormat="1" fontId="47" applyFont="1" fillId="9" applyFill="1" borderId="27" applyBorder="1" xfId="1183" applyProtection="1" applyAlignment="1">
      <alignment horizontal="center" vertical="center" wrapText="1"/>
      <protection hidden="1"/>
    </xf>
    <xf numFmtId="0" applyNumberFormat="1" fontId="29" applyFont="1" fillId="86" applyFill="1" borderId="13" applyBorder="1" xfId="2284" quotePrefix="1" applyProtection="1" applyAlignment="1">
      <alignment horizontal="center" vertical="center"/>
    </xf>
    <xf numFmtId="0" applyNumberFormat="1" fontId="8" applyFont="1" fillId="85" applyFill="1" borderId="0" applyBorder="1" xfId="952" applyProtection="1" applyAlignment="1">
      <alignment horizontal="center" vertical="center"/>
    </xf>
    <xf numFmtId="0" applyNumberFormat="1" fontId="6" applyFont="1" fillId="9" applyFill="1" borderId="75" applyBorder="1" xfId="952" applyProtection="1" applyAlignment="1">
      <alignment horizontal="center" vertical="center"/>
    </xf>
    <xf numFmtId="0" applyNumberFormat="1" fontId="50" applyFont="1" fillId="86" applyFill="1" borderId="13" applyBorder="1" xfId="2284" applyProtection="1" applyAlignment="1">
      <alignment horizontal="center" vertical="center"/>
    </xf>
    <xf numFmtId="0" applyNumberFormat="1" fontId="68" applyFont="1" fillId="85" applyFill="1" borderId="13" applyBorder="1" xfId="2284" quotePrefix="1" applyProtection="1" applyAlignment="1">
      <alignment horizontal="center" vertical="center"/>
    </xf>
    <xf numFmtId="0" applyNumberFormat="1" fontId="64" applyFont="1" fillId="85" applyFill="1" borderId="13" applyBorder="1" xfId="1802" applyProtection="1" applyAlignment="1">
      <alignment horizontal="center" vertical="center"/>
    </xf>
    <xf numFmtId="0" applyNumberFormat="1" fontId="65" applyFont="1" fillId="85" applyFill="1" borderId="0" applyBorder="1" xfId="2522" applyProtection="1" applyAlignment="1">
      <alignment horizontal="center" vertical="center"/>
    </xf>
    <xf numFmtId="0" applyNumberFormat="1" fontId="67" applyFont="1" fillId="9" applyFill="1" borderId="68" applyBorder="1" xfId="1183" applyProtection="1" applyAlignment="1">
      <alignment horizontal="center" vertical="center" wrapText="1"/>
      <protection hidden="1"/>
    </xf>
    <xf numFmtId="0" applyNumberFormat="1" fontId="68" applyFont="1" fillId="89" applyFill="1" borderId="13" applyBorder="1" xfId="2284" applyProtection="1" applyAlignment="1">
      <alignment horizontal="center" vertical="center"/>
    </xf>
    <xf numFmtId="0" applyNumberFormat="1" fontId="69" applyFont="1" fillId="86" applyFill="1" borderId="13" applyBorder="1" xfId="2284" quotePrefix="1" applyProtection="1" applyAlignment="1">
      <alignment horizontal="center" vertical="center"/>
    </xf>
    <xf numFmtId="0" applyNumberFormat="1" fontId="68" applyFont="1" fillId="9" applyFill="1" borderId="13" applyBorder="1" xfId="2284" applyProtection="1" applyAlignment="1">
      <alignment horizontal="center" vertical="center"/>
    </xf>
    <xf numFmtId="0" applyNumberFormat="1" fontId="68" applyFont="1" fillId="85" applyFill="1" borderId="13" applyBorder="1" xfId="2284" applyProtection="1" applyAlignment="1">
      <alignment horizontal="center" vertical="center"/>
    </xf>
    <xf numFmtId="0" applyNumberFormat="1" fontId="64" applyFont="1" fillId="85" applyFill="1" borderId="75" applyBorder="1" xfId="952" applyProtection="1" applyAlignment="1">
      <alignment horizontal="center" vertical="center"/>
    </xf>
    <xf numFmtId="0" applyNumberFormat="1" fontId="65" applyFont="1" fillId="85" applyFill="1" borderId="0" applyBorder="1" xfId="2284" applyProtection="1" applyAlignment="1">
      <alignment horizontal="center" vertical="center"/>
    </xf>
    <xf numFmtId="0" applyNumberFormat="1" fontId="64" applyFont="1" fillId="85" applyFill="1" borderId="78" applyBorder="1" xfId="952" applyProtection="1" applyAlignment="1">
      <alignment horizontal="center" vertical="center"/>
    </xf>
    <xf numFmtId="0" applyNumberFormat="1" fontId="64" applyFont="1" fillId="85" applyFill="1" borderId="0" applyBorder="1" xfId="2284" applyProtection="1" applyAlignment="1">
      <alignment horizontal="center" vertical="center"/>
    </xf>
    <xf numFmtId="0" applyNumberFormat="1" fontId="65" applyFont="1" fillId="85" applyFill="1" borderId="0" applyBorder="1" xfId="952" applyProtection="1" applyAlignment="1">
      <alignment horizontal="center" vertical="center"/>
    </xf>
    <xf numFmtId="0" applyNumberFormat="1" fontId="62" applyFont="1" fillId="9" applyFill="1" borderId="32" applyBorder="1" xfId="1802" applyProtection="1" applyAlignment="1">
      <alignment horizontal="center" vertical="center"/>
    </xf>
    <xf numFmtId="0" applyNumberFormat="1" fontId="62" applyFont="1" fillId="9" applyFill="1" borderId="0" applyBorder="1" xfId="1802" applyProtection="1" applyAlignment="1">
      <alignment horizontal="center" vertical="center"/>
    </xf>
    <xf numFmtId="0" applyNumberFormat="1" fontId="8" applyFont="1" fillId="89" applyFill="1" borderId="13" applyBorder="1" xfId="2284" applyProtection="1" applyAlignment="1">
      <alignment horizontal="center" vertical="center"/>
    </xf>
    <xf numFmtId="0" applyNumberFormat="1" fontId="6" applyFont="1" fillId="9" applyFill="1" borderId="49" applyBorder="1" xfId="16739" applyProtection="1" applyAlignment="1">
      <alignment horizontal="center" vertical="center"/>
    </xf>
    <xf numFmtId="0" applyNumberFormat="1" fontId="47" applyFont="1" fillId="9" applyFill="1" borderId="27" applyBorder="1" xfId="7788" applyProtection="1" applyAlignment="1">
      <alignment horizontal="center" vertical="center" wrapText="1"/>
      <protection hidden="1"/>
    </xf>
    <xf numFmtId="0" applyNumberFormat="1" fontId="6" applyFont="1" fillId="9" applyFill="1" borderId="0" applyBorder="1" xfId="16739" applyProtection="1" applyAlignment="1">
      <alignment horizontal="center" vertical="center"/>
    </xf>
    <xf numFmtId="0" applyNumberFormat="1" fontId="6" applyFont="1" fillId="85" applyFill="1" borderId="0" applyBorder="1" xfId="16739" applyProtection="1" applyAlignment="1">
      <alignment vertical="center"/>
    </xf>
    <xf numFmtId="0" applyNumberFormat="1" fontId="6" applyFont="1" fillId="85" applyFill="1" borderId="0" applyBorder="1" xfId="2284" applyProtection="1" applyAlignment="1">
      <alignment horizontal="left" vertical="center"/>
    </xf>
    <xf numFmtId="0" applyNumberFormat="1" fontId="8" applyFont="1" fillId="85" applyFill="1" borderId="0" applyBorder="1" xfId="2284" applyProtection="1" applyAlignment="1">
      <alignment horizontal="left" vertical="center"/>
    </xf>
    <xf numFmtId="0" applyNumberFormat="1" fontId="52" applyFont="1" fillId="85" applyFill="1" borderId="32" applyBorder="1" xfId="2284" applyProtection="1" applyAlignment="1">
      <alignment horizontal="center" vertical="center"/>
    </xf>
    <xf numFmtId="0" applyNumberFormat="1" fontId="47" applyFont="1" fillId="9" applyFill="1" borderId="13" applyBorder="1" xfId="1183" applyProtection="1" applyAlignment="1">
      <alignment horizontal="center" vertical="center" wrapText="1"/>
      <protection hidden="1"/>
    </xf>
    <xf numFmtId="0" applyNumberFormat="1" fontId="57" applyFont="1" fillId="9" applyFill="1" borderId="13" applyBorder="1" xfId="2284" applyProtection="1" applyAlignment="1">
      <alignment horizontal="center" vertical="center"/>
    </xf>
    <xf numFmtId="0" applyNumberFormat="1" fontId="51" applyFont="1" fillId="9" applyFill="1" borderId="32" applyBorder="1" xfId="952" applyProtection="1" applyAlignment="1">
      <alignment horizontal="center" vertical="center"/>
    </xf>
    <xf numFmtId="0" applyNumberFormat="1" fontId="6" applyFont="1" fillId="9" applyFill="1" borderId="51" applyBorder="1" xfId="952" applyProtection="1" applyAlignment="1">
      <alignment horizontal="center" vertical="center"/>
    </xf>
    <xf numFmtId="0" applyNumberFormat="1" fontId="49" applyFont="1" fillId="89" applyFill="1" borderId="18" applyBorder="1" xfId="2284" applyProtection="1" applyAlignment="1">
      <alignment horizontal="center" vertical="center"/>
    </xf>
    <xf numFmtId="0" applyNumberFormat="1" fontId="49" applyFont="1" fillId="90" applyFill="1" borderId="18" applyBorder="1" xfId="2284" applyProtection="1" applyAlignment="1">
      <alignment horizontal="center" vertical="center"/>
    </xf>
    <xf numFmtId="0" applyNumberFormat="1" fontId="49" applyFont="1" fillId="90" applyFill="1" borderId="13" applyBorder="1" xfId="2284" quotePrefix="1" applyProtection="1" applyAlignment="1">
      <alignment horizontal="center" vertical="center"/>
    </xf>
    <xf numFmtId="0" applyNumberFormat="1" fontId="57" applyFont="1" fillId="9" applyFill="1" borderId="18" applyBorder="1" xfId="2284" applyProtection="1" applyAlignment="1">
      <alignment horizontal="center" vertical="center"/>
    </xf>
    <xf numFmtId="0" applyNumberFormat="1" fontId="6" applyFont="1" fillId="9" applyFill="1" borderId="0" applyBorder="1" xfId="952" applyProtection="1" applyAlignment="1">
      <alignment horizontal="center" vertical="center"/>
    </xf>
    <xf numFmtId="0" applyNumberFormat="1" fontId="6" applyFont="1" fillId="9" applyFill="1" borderId="0" applyBorder="1" xfId="952" applyProtection="1" applyAlignment="1">
      <alignment vertical="center"/>
    </xf>
    <xf numFmtId="0" applyNumberFormat="1" fontId="6" applyFont="1" fillId="9" applyFill="1" borderId="49" applyBorder="1" xfId="952" applyProtection="1" applyAlignment="1">
      <alignment horizontal="center" vertical="center"/>
    </xf>
    <xf numFmtId="0" applyNumberFormat="1" fontId="49" applyFont="1" fillId="85" applyFill="1" borderId="32" applyBorder="1" xfId="2284" applyProtection="1" applyAlignment="1">
      <alignment horizontal="center" vertical="center"/>
    </xf>
    <xf numFmtId="0" applyNumberFormat="1" fontId="29" applyFont="1" fillId="88" applyFill="1" borderId="18" applyBorder="1" xfId="2284" applyProtection="1" applyAlignment="1">
      <alignment horizontal="center" vertical="center"/>
    </xf>
    <xf numFmtId="0" applyNumberFormat="1" fontId="35" applyFont="1" fillId="85" applyFill="1" borderId="0" applyBorder="1" xfId="2287" applyProtection="1" applyAlignment="1">
      <alignment horizontal="center" vertical="center"/>
    </xf>
    <xf numFmtId="219" applyNumberFormat="1" fontId="2" applyFont="1" fillId="9" applyFill="1" borderId="0" applyBorder="1" xfId="1601" applyProtection="1" applyAlignment="1">
      <alignment horizontal="center" textRotation="15"/>
    </xf>
  </cellXfs>
  <cellStyles count="33676">
    <cellStyle name="_x0001_" xfId="1"/>
    <cellStyle name="､@ｯ・Cefiro" xfId="2"/>
    <cellStyle name="､@ｯ・M" xfId="3"/>
    <cellStyle name="､@ｯ・M segment" xfId="4"/>
    <cellStyle name="､@ｯ・S" xfId="5"/>
    <cellStyle name="､@ｯ・S segment" xfId="6"/>
    <cellStyle name="､@ｯ・SS" xfId="7"/>
    <cellStyle name="､d､ﾀｦ・0]_Cefiro" xfId="8"/>
    <cellStyle name="､d､ﾀｦ・Cefiro" xfId="9"/>
    <cellStyle name="､d､ﾀｦ・M segment" xfId="10"/>
    <cellStyle name="､d､ﾀｦ・S segment" xfId="11"/>
    <cellStyle name="." xfId="12"/>
    <cellStyle name="??" xfId="13"/>
    <cellStyle name="?? [0.00]_????(?) " xfId="14"/>
    <cellStyle name="?? [0]" xfId="15"/>
    <cellStyle name="???? [0.00]_??4-3 ???????Format?" xfId="16"/>
    <cellStyle name="???????" xfId="17"/>
    <cellStyle name="????????????" xfId="18"/>
    <cellStyle name="???????????? Change1.5.1" xfId="19"/>
    <cellStyle name="????????????_L42C Expense Comparison Other Models version 3 axo mod 20060424 for a3a" xfId="20"/>
    <cellStyle name="????????????-21-2002 fro" xfId="21"/>
    <cellStyle name="????????????AT" xfId="22"/>
    <cellStyle name="????????????B)h1_1artsry" xfId="23"/>
    <cellStyle name="????????????esolume 02A3" xfId="24"/>
    <cellStyle name="????????????ge Details1c" xfId="25"/>
    <cellStyle name="????????????KC GLntKC GL" xfId="26"/>
    <cellStyle name="????????????le" xfId="27"/>
    <cellStyle name="????????????NOTEWINNOTET" xfId="28"/>
    <cellStyle name="????????????VC (2))VC (2" xfId="29"/>
    <cellStyle name="????????????VC (2)PVC (2" xfId="30"/>
    <cellStyle name="????????????ycountNNOTEW" xfId="31"/>
    <cellStyle name="?????????WINNO" xfId="32"/>
    <cellStyle name="????????ÀWINNO" xfId="33"/>
    <cellStyle name="????????ﾀWINNO" xfId="34"/>
    <cellStyle name="???????_A34-V42" xfId="35"/>
    <cellStyle name="???????rrentKC" xfId="36"/>
    <cellStyle name="???????uscodes" xfId="37"/>
    <cellStyle name="???????usmixes" xfId="38"/>
    <cellStyle name="???????XX vs a" xfId="39"/>
    <cellStyle name="?????_?????" xfId="40"/>
    <cellStyle name="????_??? " xfId="41"/>
    <cellStyle name="???[0]_Book1" xfId="42"/>
    <cellStyle name="???_???" xfId="43"/>
    <cellStyle name="???F [0.00]_Book2mix1" xfId="44"/>
    <cellStyle name="???F_Book2]_Bo" xfId="45"/>
    <cellStyle name="??_(????)??????" xfId="46"/>
    <cellStyle name="??a??e [0.00]_?K?,T?I?xlsTE" xfId="47"/>
    <cellStyle name="??a??e_?K?,T?I?xlsytionssTE" xfId="48"/>
    <cellStyle name="?@?·Cefiro" xfId="49"/>
    <cellStyle name="?@?·M" xfId="50"/>
    <cellStyle name="?@?·M segment" xfId="51"/>
    <cellStyle name="?@?·S" xfId="52"/>
    <cellStyle name="?@?·S segment" xfId="53"/>
    <cellStyle name="?@?·SS" xfId="54"/>
    <cellStyle name="?\??·?????n?C?p????“?N" xfId="55"/>
    <cellStyle name="?\??・?????n?C?pー???“?N" xfId="56"/>
    <cellStyle name="?\??E?????n?C?p[???g?N" xfId="57"/>
    <cellStyle name="?·? [0]_????l" xfId="58"/>
    <cellStyle name="?·?_???_?" xfId="59"/>
    <cellStyle name="?·a??e [0.00]_Ladder Report3(" xfId="60"/>
    <cellStyle name="?·a??e_Ladder Report R" xfId="61"/>
    <cellStyle name="?・a??e [0.00]_Ladder Report3(" xfId="62"/>
    <cellStyle name="?・a??e_Ladder Report R" xfId="63"/>
    <cellStyle name="?…??・?? [0.00]_currentKC GL" xfId="64"/>
    <cellStyle name="?…??・??_currentKC GL" xfId="65"/>
    <cellStyle name="?…?a??e [0.00]_currentKC GLOT" xfId="66"/>
    <cellStyle name="?…?a??e_currentKC GLnt" xfId="67"/>
    <cellStyle name="?…?a唇?e [0.00]_currentKC GL" xfId="68"/>
    <cellStyle name="?…?a唇?e_currentKC GL" xfId="69"/>
    <cellStyle name="?c??E?? [0.00]_currentKC GL" xfId="70"/>
    <cellStyle name="?c??E??_currentKC GL" xfId="71"/>
    <cellStyle name="?c?aO?e [0.00]_currentKC GL" xfId="72"/>
    <cellStyle name="?c?aO?e_currentKC GL" xfId="73"/>
    <cellStyle name="?d???·0]_Cefiro" xfId="74"/>
    <cellStyle name="?d???·Cefiro" xfId="75"/>
    <cellStyle name="?d???·M segment" xfId="76"/>
    <cellStyle name="?d???·S segment" xfId="77"/>
    <cellStyle name="?f??Cefiro" xfId="78"/>
    <cellStyle name="?f??Cefiro 2" xfId="79"/>
    <cellStyle name="?f??Cefiro 2 2" xfId="80"/>
    <cellStyle name="?f??Cefiro 2 3" xfId="81"/>
    <cellStyle name="?f??Cefiro 3" xfId="82"/>
    <cellStyle name="?f??Cefiro 3 2" xfId="83"/>
    <cellStyle name="?f??Cefiro 3 3" xfId="84"/>
    <cellStyle name="?f??Cefiro 4" xfId="85"/>
    <cellStyle name="?f??Cefiro 5" xfId="86"/>
    <cellStyle name="?f??M segment" xfId="87"/>
    <cellStyle name="?f??M segment 2" xfId="88"/>
    <cellStyle name="?f??M segment 2 2" xfId="89"/>
    <cellStyle name="?f??M segment 2 3" xfId="90"/>
    <cellStyle name="?f??M segment 3" xfId="91"/>
    <cellStyle name="?f??M segment 3 2" xfId="92"/>
    <cellStyle name="?f??M segment 3 3" xfId="93"/>
    <cellStyle name="?f??M segment 4" xfId="94"/>
    <cellStyle name="?f??M segment 5" xfId="95"/>
    <cellStyle name="?f??S segment" xfId="96"/>
    <cellStyle name="?f??S segment 2" xfId="97"/>
    <cellStyle name="?f??S segment 2 2" xfId="98"/>
    <cellStyle name="?f??S segment 2 3" xfId="99"/>
    <cellStyle name="?f??S segment 3" xfId="100"/>
    <cellStyle name="?f??S segment 3 2" xfId="101"/>
    <cellStyle name="?f??S segment 3 3" xfId="102"/>
    <cellStyle name="?f??S segment 4" xfId="103"/>
    <cellStyle name="?f??S segment 5" xfId="104"/>
    <cellStyle name="?f?·[0]_Cefiro" xfId="105"/>
    <cellStyle name="?n?C?p????“?N" xfId="106"/>
    <cellStyle name="?n?C?p[???g?N" xfId="107"/>
    <cellStyle name="?n?C?pー???“?N" xfId="108"/>
    <cellStyle name="?W?_?K?,T?I?xlsonsroio" xfId="109"/>
    <cellStyle name="?W·_Attach34_X61B_US_(2)" xfId="110"/>
    <cellStyle name="?W・_5.Commnet-NISSAN" xfId="111"/>
    <cellStyle name="?W?_5.Commnet-NISSAN" xfId="112"/>
    <cellStyle name="?WE_a(SD) Expence Info" xfId="113"/>
    <cellStyle name="?Wｷ_Ladder Report" xfId="114"/>
    <cellStyle name="?ｷa??e [0.00]_?K?,T?I?xlsTE" xfId="115"/>
    <cellStyle name="?ｷa??e_?K?,T?I?xlsytionssTE" xfId="116"/>
    <cellStyle name="_06 Laporan Stock Pool MKS 2008 Juni" xfId="117"/>
    <cellStyle name="_06 Laporan Stock Pool MKS 2008 Juni 2" xfId="118"/>
    <cellStyle name="_06 Laporan Stock Pool MKS 2008 Juni_AP Logistic 2010 Konsolidasi (091110)" xfId="119"/>
    <cellStyle name="_06 Laporan Stock Pool MKS 2008 Juni_AP Logistic 2010 Konsolidasi (091111) 1830" xfId="120"/>
    <cellStyle name="_06 Laporan Stock Pool MKS 2008 Juni_AP Logistic 2010 Konsolidasi (091111) 2230" xfId="121"/>
    <cellStyle name="_06 Laporan Stock Pool MKS 2008 Juni_AP Logistic 2010 Konsolidasi (091115) 1830" xfId="122"/>
    <cellStyle name="_06 Laporan Stock Pool MKS 2008 Juni_AP Logistic 2010 Konsolidasi (091116) 1340" xfId="123"/>
    <cellStyle name="_06 Laporan Stock Pool MKS 2008 Juni_AP Logistic 2010 Konsolidasi (091116) 1700" xfId="124"/>
    <cellStyle name="_06 Laporan Stock Pool MKS 2008 Juni_FINAL - Buku Saku3" xfId="125"/>
    <cellStyle name="_06 Laporan Stock Pool MKS 2008 Juni_Laporan Harian Dispatcher_2010_Heavy Truck" xfId="126"/>
    <cellStyle name="_06 Laporan Stock Pool MKS 2008 Juni_Laporan Harian Dispatcher_2010_Heavy Truck2" xfId="127"/>
    <cellStyle name="_06 Laporan Stock Pool MKS 2008 Juni_Laporan Harian Dispatcher_2010_Light Truck" xfId="128"/>
    <cellStyle name="_06 Laporan Stock Pool MKS 2008 Juni_Laporan Harian Dispatcher_2010_Light Truck_LHD" xfId="129"/>
    <cellStyle name="_06 Laporan Stock Pool MKS 2008 Juni_Laporan Harian Dispatcher_2010-11_Heavy Truck" xfId="130"/>
    <cellStyle name="_06 Laporan Stock Pool MKS 2008 Juni_Laporan Harian Dispatcher_2010-11_Light Truck" xfId="131"/>
    <cellStyle name="_06 Laporan Stock Pool MKS 2008 Juni_Laporan Harian Dispatcher_2010-11_Light Truck_LHD" xfId="132"/>
    <cellStyle name="_06 Laporan Stock Pool MKS 2008 Juni_LHD" xfId="133"/>
    <cellStyle name="_06 Laporan Stock Pool MKS 2008 Juni_LHD_2010-12_Heavy Truck" xfId="134"/>
    <cellStyle name="_06 Laporan Stock Pool MKS 2008 Juni_LHD_2010-12_Light Truck" xfId="135"/>
    <cellStyle name="_06 Laporan Stock Pool MKS 2008 Juni_LHD_2010-12_Light Truck_LHD" xfId="136"/>
    <cellStyle name="_06 Laporan Stock Pool MKS 2008 Juni_LHD_Heavy Truck 2011-01" xfId="137"/>
    <cellStyle name="_06 Laporan Stock Pool MKS 2008 Juni_Performance Review 091112" xfId="138"/>
    <cellStyle name="_06 Laporan Stock Pool MKS 2008 Juni_PL Oktober" xfId="139"/>
    <cellStyle name="_2008" xfId="140"/>
    <cellStyle name="_2008 07 - BSE YTJul Actual (QPR3)" xfId="141"/>
    <cellStyle name="_2008&amp;9 Budget_Enable" xfId="142"/>
    <cellStyle name="_3rd Land Area 26.11.2010" xfId="143"/>
    <cellStyle name="_4. Reminder Service Pontianak" xfId="144"/>
    <cellStyle name="_4. Reminder Service Pontianak_LHD" xfId="145"/>
    <cellStyle name="_5. Reminder Service Samarinda" xfId="146"/>
    <cellStyle name="_5. Reminder Service Samarinda 2" xfId="147"/>
    <cellStyle name="_5. Reminder Service Samarinda 3" xfId="148"/>
    <cellStyle name="_5. Reminder Service Samarinda 4" xfId="149"/>
    <cellStyle name="_5. Reminder Service Samarinda 5" xfId="150"/>
    <cellStyle name="_5. Reminder Service Samarinda 6" xfId="151"/>
    <cellStyle name="_5. Reminder Service Samarinda 7" xfId="152"/>
    <cellStyle name="_5. Reminder Service Samarinda 8" xfId="153"/>
    <cellStyle name="_5. Reminder Service Samarinda_LHD" xfId="154"/>
    <cellStyle name="_Bidding Transport Darat BaNus" xfId="155"/>
    <cellStyle name="_Bidding Transport Darat Karawang" xfId="156"/>
    <cellStyle name="_Bidding Transport Darat SbyPandaan" xfId="157"/>
    <cellStyle name="_Book1" xfId="158"/>
    <cellStyle name="_Book1 (2)" xfId="159"/>
    <cellStyle name="_Book1 (2) 2" xfId="160"/>
    <cellStyle name="_Book1 (2) 3" xfId="161"/>
    <cellStyle name="_Book1 (2) 4" xfId="162"/>
    <cellStyle name="_Book1 (2) 5" xfId="163"/>
    <cellStyle name="_Book1 (2) 6" xfId="164"/>
    <cellStyle name="_Book1 (2) 7" xfId="165"/>
    <cellStyle name="_Book1 (2) 8" xfId="166"/>
    <cellStyle name="_Book1 (2)_LHD" xfId="167"/>
    <cellStyle name="_Book1 10" xfId="168"/>
    <cellStyle name="_Book1 2" xfId="169"/>
    <cellStyle name="_Book1 3" xfId="170"/>
    <cellStyle name="_Book1 4" xfId="171"/>
    <cellStyle name="_Book1 5" xfId="172"/>
    <cellStyle name="_Book1 6" xfId="173"/>
    <cellStyle name="_Book1 7" xfId="174"/>
    <cellStyle name="_Book1 8" xfId="175"/>
    <cellStyle name="_Book1 9" xfId="176"/>
    <cellStyle name="_Book1_1" xfId="177"/>
    <cellStyle name="_Book1_12 Laporan Stock Pool MKS Desember 2008 (2)" xfId="178"/>
    <cellStyle name="_Book1_12 Laporan Stock Pool MKS Desember 2008 (2)_AP Logistic 2010 Konsolidasi (091110)" xfId="179"/>
    <cellStyle name="_Book1_12 Laporan Stock Pool MKS Desember 2008 (2)_AP Logistic 2010 Konsolidasi (091111) 1830" xfId="180"/>
    <cellStyle name="_Book1_12 Laporan Stock Pool MKS Desember 2008 (2)_AP Logistic 2010 Konsolidasi (091111) 2230" xfId="181"/>
    <cellStyle name="_Book1_12 Laporan Stock Pool MKS Desember 2008 (2)_AP Logistic 2010 Konsolidasi (091115) 1830" xfId="182"/>
    <cellStyle name="_Book1_12 Laporan Stock Pool MKS Desember 2008 (2)_AP Logistic 2010 Konsolidasi (091116) 1340" xfId="183"/>
    <cellStyle name="_Book1_12 Laporan Stock Pool MKS Desember 2008 (2)_AP Logistic 2010 Konsolidasi (091116) 1700" xfId="184"/>
    <cellStyle name="_Book1_12 Laporan Stock Pool MKS Desember 2008 (2)_LHD" xfId="185"/>
    <cellStyle name="_Book1_12 Laporan Stock Pool MKS Desember 2008 (2)_Performance Review 091112" xfId="186"/>
    <cellStyle name="_Book1_5. Reminder Service Samarinda" xfId="187"/>
    <cellStyle name="_Book1_5. Reminder Service Samarinda 2" xfId="188"/>
    <cellStyle name="_Book1_5. Reminder Service Samarinda 3" xfId="189"/>
    <cellStyle name="_Book1_5. Reminder Service Samarinda 4" xfId="190"/>
    <cellStyle name="_Book1_5. Reminder Service Samarinda 5" xfId="191"/>
    <cellStyle name="_Book1_5. Reminder Service Samarinda 6" xfId="192"/>
    <cellStyle name="_Book1_5. Reminder Service Samarinda 7" xfId="193"/>
    <cellStyle name="_Book1_5. Reminder Service Samarinda 8" xfId="194"/>
    <cellStyle name="_Book1_5. Reminder Service Samarinda_LHD" xfId="195"/>
    <cellStyle name="_Book1_5. Reminder Service Samarinda_Reimburst HO" xfId="196"/>
    <cellStyle name="_Book1_5. Reminder Service Samarinda_Reimburst HO 2" xfId="197"/>
    <cellStyle name="_Book1_5. Reminder Service Samarinda_Reimburst HO 3" xfId="198"/>
    <cellStyle name="_Book1_5. Reminder Service Samarinda_Reimburst HO 4" xfId="199"/>
    <cellStyle name="_Book1_5. Reminder Service Samarinda_Reimburst HO 5" xfId="200"/>
    <cellStyle name="_Book1_5. Reminder Service Samarinda_Reimburst HO 6" xfId="201"/>
    <cellStyle name="_Book1_5. Reminder Service Samarinda_Reimburst HO 7" xfId="202"/>
    <cellStyle name="_Book1_5. Reminder Service Samarinda_Reimburst HO 8" xfId="203"/>
    <cellStyle name="_Book1_5. Reminder Service Samarinda_Reimburst HO_LHD" xfId="204"/>
    <cellStyle name="_Book1_AP Logistic 2010 Konsolidasi (091110)" xfId="205"/>
    <cellStyle name="_Book1_AP Logistic 2010 Konsolidasi (091111) 1830" xfId="206"/>
    <cellStyle name="_Book1_AP Logistic 2010 Konsolidasi (091111) 2230" xfId="207"/>
    <cellStyle name="_Book1_AP Logistic 2010 Konsolidasi (091115) 1830" xfId="208"/>
    <cellStyle name="_Book1_AP Logistic 2010 Konsolidasi (091116) 1340" xfId="209"/>
    <cellStyle name="_Book1_AP Logistic 2010 Konsolidasi (091116) 1700" xfId="210"/>
    <cellStyle name="_Book1_BC-QT-WB-dthao" xfId="211"/>
    <cellStyle name="_Book1_Intimex-2007" xfId="212"/>
    <cellStyle name="_Book1_lap  SerPo PNTK Des  08 (2)" xfId="213"/>
    <cellStyle name="_Book1_lap  SerPo PNTK Des  08 (3)" xfId="214"/>
    <cellStyle name="_Book1_lap  SerPo PNTK November  08" xfId="215"/>
    <cellStyle name="_Book1_LAP. STOCK MEI  2010" xfId="216"/>
    <cellStyle name="_Book1_LHD" xfId="217"/>
    <cellStyle name="_Book1_LS Alvin" xfId="218"/>
    <cellStyle name="_Book1_LSP Bali - November 2008 (5)" xfId="219"/>
    <cellStyle name="_Book1_LSP Bali - November 2008 (5)_AP Logistic 2010 Konsolidasi (091110)" xfId="220"/>
    <cellStyle name="_Book1_LSP Bali - November 2008 (5)_AP Logistic 2010 Konsolidasi (091111) 1830" xfId="221"/>
    <cellStyle name="_Book1_LSP Bali - November 2008 (5)_AP Logistic 2010 Konsolidasi (091111) 2230" xfId="222"/>
    <cellStyle name="_Book1_LSP Bali - November 2008 (5)_AP Logistic 2010 Konsolidasi (091115) 1830" xfId="223"/>
    <cellStyle name="_Book1_LSP Bali - November 2008 (5)_AP Logistic 2010 Konsolidasi (091116) 1340" xfId="224"/>
    <cellStyle name="_Book1_LSP Bali - November 2008 (5)_AP Logistic 2010 Konsolidasi (091116) 1700" xfId="225"/>
    <cellStyle name="_Book1_LSP Bali - November 2008 (5)_LHD" xfId="226"/>
    <cellStyle name="_Book1_LSP Bali - November 2008 (5)_Performance Review 091112" xfId="227"/>
    <cellStyle name="_Book1_Performance Review 091112" xfId="228"/>
    <cellStyle name="_Book1_Reimburst HO" xfId="229"/>
    <cellStyle name="_Book1_Reimburst HO 2" xfId="230"/>
    <cellStyle name="_Book1_Reimburst HO 3" xfId="231"/>
    <cellStyle name="_Book1_Reimburst HO 4" xfId="232"/>
    <cellStyle name="_Book1_Reimburst HO 5" xfId="233"/>
    <cellStyle name="_Book1_Reimburst HO 6" xfId="234"/>
    <cellStyle name="_Book1_Reimburst HO 7" xfId="235"/>
    <cellStyle name="_Book1_Reimburst HO 8" xfId="236"/>
    <cellStyle name="_Book1_Reimburst HO_LHD" xfId="237"/>
    <cellStyle name="_Boůk1" xfId="238"/>
    <cellStyle name="_Boůk1_AP Logistic 2010 Konsolidasi (091110)" xfId="239"/>
    <cellStyle name="_Boůk1_AP Logistic 2010 Konsolidasi (091111) 1830" xfId="240"/>
    <cellStyle name="_Boůk1_AP Logistic 2010 Konsolidasi (091111) 2230" xfId="241"/>
    <cellStyle name="_Boůk1_AP Logistic 2010 Konsolidasi (091115) 1830" xfId="242"/>
    <cellStyle name="_Boůk1_AP Logistic 2010 Konsolidasi (091116) 1340" xfId="243"/>
    <cellStyle name="_Boůk1_AP Logistic 2010 Konsolidasi (091116) 1700" xfId="244"/>
    <cellStyle name="_Boůk1_LHD" xfId="245"/>
    <cellStyle name="_Boůk1_Performance Review 091112" xfId="246"/>
    <cellStyle name="_Cabang Mks - IBT  Agustus 2006" xfId="247"/>
    <cellStyle name="_Cabang Mks - IBT  Agustus 2006 2" xfId="248"/>
    <cellStyle name="_Cabang Mks - IBT  Agustus 2006_AP Logistic 2010 Konsolidasi (091110)" xfId="249"/>
    <cellStyle name="_Cabang Mks - IBT  Agustus 2006_AP Logistic 2010 Konsolidasi (091111) 1830" xfId="250"/>
    <cellStyle name="_Cabang Mks - IBT  Agustus 2006_AP Logistic 2010 Konsolidasi (091111) 2230" xfId="251"/>
    <cellStyle name="_Cabang Mks - IBT  Agustus 2006_AP Logistic 2010 Konsolidasi (091115) 1830" xfId="252"/>
    <cellStyle name="_Cabang Mks - IBT  Agustus 2006_AP Logistic 2010 Konsolidasi (091116) 1340" xfId="253"/>
    <cellStyle name="_Cabang Mks - IBT  Agustus 2006_AP Logistic 2010 Konsolidasi (091116) 1700" xfId="254"/>
    <cellStyle name="_Cabang Mks - IBT  Agustus 2006_FINAL - Buku Saku3" xfId="255"/>
    <cellStyle name="_Cabang Mks - IBT  Agustus 2006_Laporan Harian Dispatcher_2010_Heavy Truck" xfId="256"/>
    <cellStyle name="_Cabang Mks - IBT  Agustus 2006_Laporan Harian Dispatcher_2010_Heavy Truck2" xfId="257"/>
    <cellStyle name="_Cabang Mks - IBT  Agustus 2006_Laporan Harian Dispatcher_2010_Light Truck" xfId="258"/>
    <cellStyle name="_Cabang Mks - IBT  Agustus 2006_Laporan Harian Dispatcher_2010_Light Truck_LHD" xfId="259"/>
    <cellStyle name="_Cabang Mks - IBT  Agustus 2006_Laporan Harian Dispatcher_2010-11_Heavy Truck" xfId="260"/>
    <cellStyle name="_Cabang Mks - IBT  Agustus 2006_Laporan Harian Dispatcher_2010-11_Light Truck" xfId="261"/>
    <cellStyle name="_Cabang Mks - IBT  Agustus 2006_Laporan Harian Dispatcher_2010-11_Light Truck_LHD" xfId="262"/>
    <cellStyle name="_Cabang Mks - IBT  Agustus 2006_LHD" xfId="263"/>
    <cellStyle name="_Cabang Mks - IBT  Agustus 2006_LHD_2010-12_Heavy Truck" xfId="264"/>
    <cellStyle name="_Cabang Mks - IBT  Agustus 2006_LHD_2010-12_Light Truck" xfId="265"/>
    <cellStyle name="_Cabang Mks - IBT  Agustus 2006_LHD_2010-12_Light Truck_LHD" xfId="266"/>
    <cellStyle name="_Cabang Mks - IBT  Agustus 2006_LHD_Heavy Truck 2011-01" xfId="267"/>
    <cellStyle name="_Cabang Mks - IBT  Agustus 2006_Performance Review 091112" xfId="268"/>
    <cellStyle name="_Cabang Mks - IBT  Agustus 2006_PL Oktober" xfId="269"/>
    <cellStyle name="_CMD Report" xfId="270"/>
    <cellStyle name="_CMD Report_Untuk TSA,CRO Isi" xfId="271"/>
    <cellStyle name="_CMD Report_Untuk TSA,CRO Isi_AP Logistic 2010 Konsolidasi (091110)" xfId="272"/>
    <cellStyle name="_CMD Report_Untuk TSA,CRO Isi_AP Logistic 2010 Konsolidasi (091111) 1830" xfId="273"/>
    <cellStyle name="_CMD Report_Untuk TSA,CRO Isi_AP Logistic 2010 Konsolidasi (091111) 2230" xfId="274"/>
    <cellStyle name="_CMD Report_Untuk TSA,CRO Isi_AP Logistic 2010 Konsolidasi (091115) 1830" xfId="275"/>
    <cellStyle name="_CMD Report_Untuk TSA,CRO Isi_AP Logistic 2010 Konsolidasi (091116) 1340" xfId="276"/>
    <cellStyle name="_CMD Report_Untuk TSA,CRO Isi_AP Logistic 2010 Konsolidasi (091116) 1700" xfId="277"/>
    <cellStyle name="_CMD Report_Untuk TSA,CRO Isi_LHD" xfId="278"/>
    <cellStyle name="_CMD Report_Untuk TSA,CRO Isi_Performance Review 091112" xfId="279"/>
    <cellStyle name="_DPS" xfId="280"/>
    <cellStyle name="_DPS 2" xfId="281"/>
    <cellStyle name="_DPS 3" xfId="282"/>
    <cellStyle name="_DPS 4" xfId="283"/>
    <cellStyle name="_DPS 5" xfId="284"/>
    <cellStyle name="_DPS 6" xfId="285"/>
    <cellStyle name="_DPS 7" xfId="286"/>
    <cellStyle name="_DPS 8" xfId="287"/>
    <cellStyle name="_DPS_12 Laporan Stock Pool MKS Desember 2008 (2)" xfId="288"/>
    <cellStyle name="_DPS_12 Laporan Stock Pool MKS Desember 2008 (2)_AP Logistic 2010 Konsolidasi (091110)" xfId="289"/>
    <cellStyle name="_DPS_12 Laporan Stock Pool MKS Desember 2008 (2)_AP Logistic 2010 Konsolidasi (091111) 1830" xfId="290"/>
    <cellStyle name="_DPS_12 Laporan Stock Pool MKS Desember 2008 (2)_AP Logistic 2010 Konsolidasi (091111) 2230" xfId="291"/>
    <cellStyle name="_DPS_12 Laporan Stock Pool MKS Desember 2008 (2)_AP Logistic 2010 Konsolidasi (091115) 1830" xfId="292"/>
    <cellStyle name="_DPS_12 Laporan Stock Pool MKS Desember 2008 (2)_AP Logistic 2010 Konsolidasi (091116) 1340" xfId="293"/>
    <cellStyle name="_DPS_12 Laporan Stock Pool MKS Desember 2008 (2)_AP Logistic 2010 Konsolidasi (091116) 1700" xfId="294"/>
    <cellStyle name="_DPS_12 Laporan Stock Pool MKS Desember 2008 (2)_LHD" xfId="295"/>
    <cellStyle name="_DPS_12 Laporan Stock Pool MKS Desember 2008 (2)_Performance Review 091112" xfId="296"/>
    <cellStyle name="_DPS_AP Logistic 2010 Konsolidasi (091110)" xfId="297"/>
    <cellStyle name="_DPS_AP Logistic 2010 Konsolidasi (091111) 1830" xfId="298"/>
    <cellStyle name="_DPS_AP Logistic 2010 Konsolidasi (091111) 2230" xfId="299"/>
    <cellStyle name="_DPS_AP Logistic 2010 Konsolidasi (091115) 1830" xfId="300"/>
    <cellStyle name="_DPS_AP Logistic 2010 Konsolidasi (091116) 1340" xfId="301"/>
    <cellStyle name="_DPS_AP Logistic 2010 Konsolidasi (091116) 1700" xfId="302"/>
    <cellStyle name="_DPS_Book1" xfId="303"/>
    <cellStyle name="_DPS_lap  SerPo PNTK Des  08 (2)" xfId="304"/>
    <cellStyle name="_DPS_lap  SerPo PNTK Des  08 (3)" xfId="305"/>
    <cellStyle name="_DPS_lap  SerPo PNTK November  08" xfId="306"/>
    <cellStyle name="_DPS_LHD" xfId="307"/>
    <cellStyle name="_DPS_Performance Review 091112" xfId="308"/>
    <cellStyle name="_DPS_Reimburst HO" xfId="309"/>
    <cellStyle name="_DPS_Reimburst HO 2" xfId="310"/>
    <cellStyle name="_DPS_Reimburst HO 3" xfId="311"/>
    <cellStyle name="_DPS_Reimburst HO 4" xfId="312"/>
    <cellStyle name="_DPS_Reimburst HO 5" xfId="313"/>
    <cellStyle name="_DPS_Reimburst HO 6" xfId="314"/>
    <cellStyle name="_DPS_Reimburst HO 7" xfId="315"/>
    <cellStyle name="_DPS_Reimburst HO 8" xfId="316"/>
    <cellStyle name="_DPS_Reimburst HO_LHD" xfId="317"/>
    <cellStyle name="_EAA Sensitivity _Aug07 V2" xfId="318"/>
    <cellStyle name="_FORMAT   LHP  AGUSTUS (4)" xfId="319"/>
    <cellStyle name="_FORMAT   LHP  AGUSTUS (4)_12 Laporan Stock Pool MKS Desember 2008 (2)" xfId="320"/>
    <cellStyle name="_FORMAT   LHP  AGUSTUS (4)_12 Laporan Stock Pool MKS Desember 2008 (2)_AP Logistic 2010 Konsolidasi (091110)" xfId="321"/>
    <cellStyle name="_FORMAT   LHP  AGUSTUS (4)_12 Laporan Stock Pool MKS Desember 2008 (2)_AP Logistic 2010 Konsolidasi (091111) 1830" xfId="322"/>
    <cellStyle name="_FORMAT   LHP  AGUSTUS (4)_12 Laporan Stock Pool MKS Desember 2008 (2)_AP Logistic 2010 Konsolidasi (091111) 2230" xfId="323"/>
    <cellStyle name="_FORMAT   LHP  AGUSTUS (4)_12 Laporan Stock Pool MKS Desember 2008 (2)_AP Logistic 2010 Konsolidasi (091115) 1830" xfId="324"/>
    <cellStyle name="_FORMAT   LHP  AGUSTUS (4)_12 Laporan Stock Pool MKS Desember 2008 (2)_AP Logistic 2010 Konsolidasi (091116) 1340" xfId="325"/>
    <cellStyle name="_FORMAT   LHP  AGUSTUS (4)_12 Laporan Stock Pool MKS Desember 2008 (2)_AP Logistic 2010 Konsolidasi (091116) 1700" xfId="326"/>
    <cellStyle name="_FORMAT   LHP  AGUSTUS (4)_12 Laporan Stock Pool MKS Desember 2008 (2)_LHD" xfId="327"/>
    <cellStyle name="_FORMAT   LHP  AGUSTUS (4)_12 Laporan Stock Pool MKS Desember 2008 (2)_Performance Review 091112" xfId="328"/>
    <cellStyle name="_FORMAT   LHP  AGUSTUS (4)_AP Logistic 2010 Konsolidasi (091110)" xfId="329"/>
    <cellStyle name="_FORMAT   LHP  AGUSTUS (4)_AP Logistic 2010 Konsolidasi (091111) 1830" xfId="330"/>
    <cellStyle name="_FORMAT   LHP  AGUSTUS (4)_AP Logistic 2010 Konsolidasi (091111) 2230" xfId="331"/>
    <cellStyle name="_FORMAT   LHP  AGUSTUS (4)_AP Logistic 2010 Konsolidasi (091115) 1830" xfId="332"/>
    <cellStyle name="_FORMAT   LHP  AGUSTUS (4)_AP Logistic 2010 Konsolidasi (091116) 1340" xfId="333"/>
    <cellStyle name="_FORMAT   LHP  AGUSTUS (4)_AP Logistic 2010 Konsolidasi (091116) 1700" xfId="334"/>
    <cellStyle name="_FORMAT   LHP  AGUSTUS (4)_LAP. STOCK MEI  2010" xfId="335"/>
    <cellStyle name="_FORMAT   LHP  AGUSTUS (4)_LHD" xfId="336"/>
    <cellStyle name="_FORMAT   LHP  AGUSTUS (4)_LS Alvin" xfId="337"/>
    <cellStyle name="_FORMAT   LHP  AGUSTUS (4)_Performance Review 091112" xfId="338"/>
    <cellStyle name="_FORMAT   LHP  JULI" xfId="339"/>
    <cellStyle name="_FORMAT   LHP  JULI_12 Laporan Stock Pool MKS Desember 2008 (2)" xfId="340"/>
    <cellStyle name="_FORMAT   LHP  JULI_12 Laporan Stock Pool MKS Desember 2008 (2)_AP Logistic 2010 Konsolidasi (091110)" xfId="341"/>
    <cellStyle name="_FORMAT   LHP  JULI_12 Laporan Stock Pool MKS Desember 2008 (2)_AP Logistic 2010 Konsolidasi (091111) 1830" xfId="342"/>
    <cellStyle name="_FORMAT   LHP  JULI_12 Laporan Stock Pool MKS Desember 2008 (2)_AP Logistic 2010 Konsolidasi (091111) 2230" xfId="343"/>
    <cellStyle name="_FORMAT   LHP  JULI_12 Laporan Stock Pool MKS Desember 2008 (2)_AP Logistic 2010 Konsolidasi (091115) 1830" xfId="344"/>
    <cellStyle name="_FORMAT   LHP  JULI_12 Laporan Stock Pool MKS Desember 2008 (2)_AP Logistic 2010 Konsolidasi (091116) 1340" xfId="345"/>
    <cellStyle name="_FORMAT   LHP  JULI_12 Laporan Stock Pool MKS Desember 2008 (2)_AP Logistic 2010 Konsolidasi (091116) 1700" xfId="346"/>
    <cellStyle name="_FORMAT   LHP  JULI_12 Laporan Stock Pool MKS Desember 2008 (2)_LHD" xfId="347"/>
    <cellStyle name="_FORMAT   LHP  JULI_12 Laporan Stock Pool MKS Desember 2008 (2)_Performance Review 091112" xfId="348"/>
    <cellStyle name="_FORMAT   LHP  JULI_AP Logistic 2010 Konsolidasi (091110)" xfId="349"/>
    <cellStyle name="_FORMAT   LHP  JULI_AP Logistic 2010 Konsolidasi (091111) 1830" xfId="350"/>
    <cellStyle name="_FORMAT   LHP  JULI_AP Logistic 2010 Konsolidasi (091111) 2230" xfId="351"/>
    <cellStyle name="_FORMAT   LHP  JULI_AP Logistic 2010 Konsolidasi (091115) 1830" xfId="352"/>
    <cellStyle name="_FORMAT   LHP  JULI_AP Logistic 2010 Konsolidasi (091116) 1340" xfId="353"/>
    <cellStyle name="_FORMAT   LHP  JULI_AP Logistic 2010 Konsolidasi (091116) 1700" xfId="354"/>
    <cellStyle name="_FORMAT   LHP  JULI_LAP. STOCK MEI  2010" xfId="355"/>
    <cellStyle name="_FORMAT   LHP  JULI_LHD" xfId="356"/>
    <cellStyle name="_FORMAT   LHP  JULI_LS Alvin" xfId="357"/>
    <cellStyle name="_FORMAT   LHP  JULI_Performance Review 091112" xfId="358"/>
    <cellStyle name="_FORMAT   LHP  SEPTEMBER" xfId="359"/>
    <cellStyle name="_FORMAT   LHP  SEPTEMBER (2)" xfId="360"/>
    <cellStyle name="_FORMAT   LHP  SEPTEMBER (2)_12 Laporan Stock Pool MKS Desember 2008 (2)" xfId="361"/>
    <cellStyle name="_FORMAT   LHP  SEPTEMBER (2)_12 Laporan Stock Pool MKS Desember 2008 (2)_AP Logistic 2010 Konsolidasi (091110)" xfId="362"/>
    <cellStyle name="_FORMAT   LHP  SEPTEMBER (2)_12 Laporan Stock Pool MKS Desember 2008 (2)_AP Logistic 2010 Konsolidasi (091111) 1830" xfId="363"/>
    <cellStyle name="_FORMAT   LHP  SEPTEMBER (2)_12 Laporan Stock Pool MKS Desember 2008 (2)_AP Logistic 2010 Konsolidasi (091111) 2230" xfId="364"/>
    <cellStyle name="_FORMAT   LHP  SEPTEMBER (2)_12 Laporan Stock Pool MKS Desember 2008 (2)_AP Logistic 2010 Konsolidasi (091115) 1830" xfId="365"/>
    <cellStyle name="_FORMAT   LHP  SEPTEMBER (2)_12 Laporan Stock Pool MKS Desember 2008 (2)_AP Logistic 2010 Konsolidasi (091116) 1340" xfId="366"/>
    <cellStyle name="_FORMAT   LHP  SEPTEMBER (2)_12 Laporan Stock Pool MKS Desember 2008 (2)_AP Logistic 2010 Konsolidasi (091116) 1700" xfId="367"/>
    <cellStyle name="_FORMAT   LHP  SEPTEMBER (2)_12 Laporan Stock Pool MKS Desember 2008 (2)_LHD" xfId="368"/>
    <cellStyle name="_FORMAT   LHP  SEPTEMBER (2)_12 Laporan Stock Pool MKS Desember 2008 (2)_Performance Review 091112" xfId="369"/>
    <cellStyle name="_FORMAT   LHP  SEPTEMBER (2)_AP Logistic 2010 Konsolidasi (091110)" xfId="370"/>
    <cellStyle name="_FORMAT   LHP  SEPTEMBER (2)_AP Logistic 2010 Konsolidasi (091111) 1830" xfId="371"/>
    <cellStyle name="_FORMAT   LHP  SEPTEMBER (2)_AP Logistic 2010 Konsolidasi (091111) 2230" xfId="372"/>
    <cellStyle name="_FORMAT   LHP  SEPTEMBER (2)_AP Logistic 2010 Konsolidasi (091115) 1830" xfId="373"/>
    <cellStyle name="_FORMAT   LHP  SEPTEMBER (2)_AP Logistic 2010 Konsolidasi (091116) 1340" xfId="374"/>
    <cellStyle name="_FORMAT   LHP  SEPTEMBER (2)_AP Logistic 2010 Konsolidasi (091116) 1700" xfId="375"/>
    <cellStyle name="_FORMAT   LHP  SEPTEMBER (2)_LAP. STOCK MEI  2010" xfId="376"/>
    <cellStyle name="_FORMAT   LHP  SEPTEMBER (2)_LHD" xfId="377"/>
    <cellStyle name="_FORMAT   LHP  SEPTEMBER (2)_LS Alvin" xfId="378"/>
    <cellStyle name="_FORMAT   LHP  SEPTEMBER (2)_Performance Review 091112" xfId="379"/>
    <cellStyle name="_FORMAT   LHP  SEPTEMBER_12 Laporan Stock Pool MKS Desember 2008 (2)" xfId="380"/>
    <cellStyle name="_FORMAT   LHP  SEPTEMBER_12 Laporan Stock Pool MKS Desember 2008 (2)_AP Logistic 2010 Konsolidasi (091110)" xfId="381"/>
    <cellStyle name="_FORMAT   LHP  SEPTEMBER_12 Laporan Stock Pool MKS Desember 2008 (2)_AP Logistic 2010 Konsolidasi (091111) 1830" xfId="382"/>
    <cellStyle name="_FORMAT   LHP  SEPTEMBER_12 Laporan Stock Pool MKS Desember 2008 (2)_AP Logistic 2010 Konsolidasi (091111) 2230" xfId="383"/>
    <cellStyle name="_FORMAT   LHP  SEPTEMBER_12 Laporan Stock Pool MKS Desember 2008 (2)_AP Logistic 2010 Konsolidasi (091115) 1830" xfId="384"/>
    <cellStyle name="_FORMAT   LHP  SEPTEMBER_12 Laporan Stock Pool MKS Desember 2008 (2)_AP Logistic 2010 Konsolidasi (091116) 1340" xfId="385"/>
    <cellStyle name="_FORMAT   LHP  SEPTEMBER_12 Laporan Stock Pool MKS Desember 2008 (2)_AP Logistic 2010 Konsolidasi (091116) 1700" xfId="386"/>
    <cellStyle name="_FORMAT   LHP  SEPTEMBER_12 Laporan Stock Pool MKS Desember 2008 (2)_LHD" xfId="387"/>
    <cellStyle name="_FORMAT   LHP  SEPTEMBER_12 Laporan Stock Pool MKS Desember 2008 (2)_Performance Review 091112" xfId="388"/>
    <cellStyle name="_FORMAT   LHP  SEPTEMBER_AP Logistic 2010 Konsolidasi (091110)" xfId="389"/>
    <cellStyle name="_FORMAT   LHP  SEPTEMBER_AP Logistic 2010 Konsolidasi (091111) 1830" xfId="390"/>
    <cellStyle name="_FORMAT   LHP  SEPTEMBER_AP Logistic 2010 Konsolidasi (091111) 2230" xfId="391"/>
    <cellStyle name="_FORMAT   LHP  SEPTEMBER_AP Logistic 2010 Konsolidasi (091115) 1830" xfId="392"/>
    <cellStyle name="_FORMAT   LHP  SEPTEMBER_AP Logistic 2010 Konsolidasi (091116) 1340" xfId="393"/>
    <cellStyle name="_FORMAT   LHP  SEPTEMBER_AP Logistic 2010 Konsolidasi (091116) 1700" xfId="394"/>
    <cellStyle name="_FORMAT   LHP  SEPTEMBER_LAP. STOCK MEI  2010" xfId="395"/>
    <cellStyle name="_FORMAT   LHP  SEPTEMBER_LHD" xfId="396"/>
    <cellStyle name="_FORMAT   LHP  SEPTEMBER_LS Alvin" xfId="397"/>
    <cellStyle name="_FORMAT   LHP  SEPTEMBER_Performance Review 091112" xfId="398"/>
    <cellStyle name="_Format SPK New" xfId="399"/>
    <cellStyle name="_Format SPK New 2" xfId="400"/>
    <cellStyle name="_Format SPK New 3" xfId="401"/>
    <cellStyle name="_Format SPK New 4" xfId="402"/>
    <cellStyle name="_Format SPK New 5" xfId="403"/>
    <cellStyle name="_Format SPK New 6" xfId="404"/>
    <cellStyle name="_Format SPK New 7" xfId="405"/>
    <cellStyle name="_Format SPK New 8" xfId="406"/>
    <cellStyle name="_Format SPK New_5. Reminder Service Samarinda" xfId="407"/>
    <cellStyle name="_Format SPK New_5. Reminder Service Samarinda 2" xfId="408"/>
    <cellStyle name="_Format SPK New_5. Reminder Service Samarinda 3" xfId="409"/>
    <cellStyle name="_Format SPK New_5. Reminder Service Samarinda 4" xfId="410"/>
    <cellStyle name="_Format SPK New_5. Reminder Service Samarinda 5" xfId="411"/>
    <cellStyle name="_Format SPK New_5. Reminder Service Samarinda 6" xfId="412"/>
    <cellStyle name="_Format SPK New_5. Reminder Service Samarinda 7" xfId="413"/>
    <cellStyle name="_Format SPK New_5. Reminder Service Samarinda 8" xfId="414"/>
    <cellStyle name="_Format SPK New_5. Reminder Service Samarinda_LHD" xfId="415"/>
    <cellStyle name="_Format SPK New_5. Reminder Service Samarinda_Reimburst HO" xfId="416"/>
    <cellStyle name="_Format SPK New_5. Reminder Service Samarinda_Reimburst HO 2" xfId="417"/>
    <cellStyle name="_Format SPK New_5. Reminder Service Samarinda_Reimburst HO 3" xfId="418"/>
    <cellStyle name="_Format SPK New_5. Reminder Service Samarinda_Reimburst HO 4" xfId="419"/>
    <cellStyle name="_Format SPK New_5. Reminder Service Samarinda_Reimburst HO 5" xfId="420"/>
    <cellStyle name="_Format SPK New_5. Reminder Service Samarinda_Reimburst HO 6" xfId="421"/>
    <cellStyle name="_Format SPK New_5. Reminder Service Samarinda_Reimburst HO 7" xfId="422"/>
    <cellStyle name="_Format SPK New_5. Reminder Service Samarinda_Reimburst HO 8" xfId="423"/>
    <cellStyle name="_Format SPK New_5. Reminder Service Samarinda_Reimburst HO_LHD" xfId="424"/>
    <cellStyle name="_Format SPK New_Book1" xfId="425"/>
    <cellStyle name="_Format SPK New_LHD" xfId="426"/>
    <cellStyle name="_Format SPK New_PL Oktober" xfId="427"/>
    <cellStyle name="_Format SPK New_Reimburst HO" xfId="428"/>
    <cellStyle name="_Format SPK New_Reimburst HO 2" xfId="429"/>
    <cellStyle name="_Format SPK New_Reimburst HO 3" xfId="430"/>
    <cellStyle name="_Format SPK New_Reimburst HO 4" xfId="431"/>
    <cellStyle name="_Format SPK New_Reimburst HO 5" xfId="432"/>
    <cellStyle name="_Format SPK New_Reimburst HO 5 2" xfId="433"/>
    <cellStyle name="_Format SPK New_Reimburst HO 6" xfId="434"/>
    <cellStyle name="_Format SPK New_Reimburst HO 7" xfId="435"/>
    <cellStyle name="_Format SPK New_Reimburst HO 8" xfId="436"/>
    <cellStyle name="_Format SPK New_Reimburst HO_LHD" xfId="437"/>
    <cellStyle name="_Format SPK New_Reimburst HO_LHD 2" xfId="438"/>
    <cellStyle name="_Giai Doan 3 Hong Ngu" xfId="439"/>
    <cellStyle name="_Giai Doan 3 Hong Ngu_Book1" xfId="440"/>
    <cellStyle name="_Hasil Recons UIO Mei 2007" xfId="441"/>
    <cellStyle name="_Hasil Recons UIO Mei 2007 2" xfId="442"/>
    <cellStyle name="_Hasil Recons UIO Mei 2007 3" xfId="443"/>
    <cellStyle name="_Hasil Recons UIO Mei 2007 4" xfId="444"/>
    <cellStyle name="_Hasil Recons UIO Mei 2007 5" xfId="445"/>
    <cellStyle name="_Hasil Recons UIO Mei 2007 6" xfId="446"/>
    <cellStyle name="_Hasil Recons UIO Mei 2007 7" xfId="447"/>
    <cellStyle name="_Hasil Recons UIO Mei 2007 8" xfId="448"/>
    <cellStyle name="_Hasil Recons UIO Mei 2007_Book1" xfId="449"/>
    <cellStyle name="_Hasil Recons UIO Mei 2007_LHD" xfId="450"/>
    <cellStyle name="_Hasil Recons UIO Mei 2007_PL Oktober" xfId="451"/>
    <cellStyle name="_Hasil Recons UIO Mei 2007_Reimburst HO" xfId="452"/>
    <cellStyle name="_Hasil Recons UIO Mei 2007_Reimburst HO 2" xfId="453"/>
    <cellStyle name="_Hasil Recons UIO Mei 2007_Reimburst HO 3" xfId="454"/>
    <cellStyle name="_Hasil Recons UIO Mei 2007_Reimburst HO 4" xfId="455"/>
    <cellStyle name="_Hasil Recons UIO Mei 2007_Reimburst HO 5" xfId="456"/>
    <cellStyle name="_Hasil Recons UIO Mei 2007_Reimburst HO 6" xfId="457"/>
    <cellStyle name="_Hasil Recons UIO Mei 2007_Reimburst HO 7" xfId="458"/>
    <cellStyle name="_Hasil Recons UIO Mei 2007_Reimburst HO 8" xfId="459"/>
    <cellStyle name="_Hasil Recons UIO Mei 2007_Reimburst HO_LHD" xfId="460"/>
    <cellStyle name="_Intimex-2007" xfId="461"/>
    <cellStyle name="_JAKARTA" xfId="462"/>
    <cellStyle name="_JAKARTA 2" xfId="463"/>
    <cellStyle name="_JAKARTA 3" xfId="464"/>
    <cellStyle name="_JAKARTA 4" xfId="465"/>
    <cellStyle name="_JAKARTA 5" xfId="466"/>
    <cellStyle name="_JAKARTA 6" xfId="467"/>
    <cellStyle name="_JAKARTA 7" xfId="468"/>
    <cellStyle name="_JAKARTA 8" xfId="469"/>
    <cellStyle name="_JAKARTA_12 Laporan Stock Pool MKS Desember 2008 (2)" xfId="470"/>
    <cellStyle name="_JAKARTA_12 Laporan Stock Pool MKS Desember 2008 (2)_AP Logistic 2010 Konsolidasi (091110)" xfId="471"/>
    <cellStyle name="_JAKARTA_12 Laporan Stock Pool MKS Desember 2008 (2)_AP Logistic 2010 Konsolidasi (091111) 1830" xfId="472"/>
    <cellStyle name="_JAKARTA_12 Laporan Stock Pool MKS Desember 2008 (2)_AP Logistic 2010 Konsolidasi (091111) 2230" xfId="473"/>
    <cellStyle name="_JAKARTA_12 Laporan Stock Pool MKS Desember 2008 (2)_AP Logistic 2010 Konsolidasi (091115) 1830" xfId="474"/>
    <cellStyle name="_JAKARTA_12 Laporan Stock Pool MKS Desember 2008 (2)_AP Logistic 2010 Konsolidasi (091116) 1340" xfId="475"/>
    <cellStyle name="_JAKARTA_12 Laporan Stock Pool MKS Desember 2008 (2)_AP Logistic 2010 Konsolidasi (091116) 1700" xfId="476"/>
    <cellStyle name="_JAKARTA_12 Laporan Stock Pool MKS Desember 2008 (2)_LHD" xfId="477"/>
    <cellStyle name="_JAKARTA_12 Laporan Stock Pool MKS Desember 2008 (2)_Performance Review 091112" xfId="478"/>
    <cellStyle name="_JAKARTA_AP Logistic 2010 Konsolidasi (091110)" xfId="479"/>
    <cellStyle name="_JAKARTA_AP Logistic 2010 Konsolidasi (091111) 1830" xfId="480"/>
    <cellStyle name="_JAKARTA_AP Logistic 2010 Konsolidasi (091111) 2230" xfId="481"/>
    <cellStyle name="_JAKARTA_AP Logistic 2010 Konsolidasi (091115) 1830" xfId="482"/>
    <cellStyle name="_JAKARTA_AP Logistic 2010 Konsolidasi (091116) 1340" xfId="483"/>
    <cellStyle name="_JAKARTA_AP Logistic 2010 Konsolidasi (091116) 1700" xfId="484"/>
    <cellStyle name="_JAKARTA_Book1" xfId="485"/>
    <cellStyle name="_JAKARTA_lap  SerPo PNTK Des  08 (2)" xfId="486"/>
    <cellStyle name="_JAKARTA_lap  SerPo PNTK Des  08 (3)" xfId="487"/>
    <cellStyle name="_JAKARTA_lap  SerPo PNTK November  08" xfId="488"/>
    <cellStyle name="_JAKARTA_LHD" xfId="489"/>
    <cellStyle name="_JAKARTA_Performance Review 091112" xfId="490"/>
    <cellStyle name="_JAKARTA_Reimburst HO" xfId="491"/>
    <cellStyle name="_JAKARTA_Reimburst HO 2" xfId="492"/>
    <cellStyle name="_JAKARTA_Reimburst HO 3" xfId="493"/>
    <cellStyle name="_JAKARTA_Reimburst HO 4" xfId="494"/>
    <cellStyle name="_JAKARTA_Reimburst HO 5" xfId="495"/>
    <cellStyle name="_JAKARTA_Reimburst HO 6" xfId="496"/>
    <cellStyle name="_JAKARTA_Reimburst HO 7" xfId="497"/>
    <cellStyle name="_JAKARTA_Reimburst HO 8" xfId="498"/>
    <cellStyle name="_JAKARTA_Reimburst HO_LHD" xfId="499"/>
    <cellStyle name="_JAKARTA1" xfId="500"/>
    <cellStyle name="_JAKARTA1 2" xfId="501"/>
    <cellStyle name="_JAKARTA1 3" xfId="502"/>
    <cellStyle name="_JAKARTA1 4" xfId="503"/>
    <cellStyle name="_JAKARTA1 5" xfId="504"/>
    <cellStyle name="_JAKARTA1 6" xfId="505"/>
    <cellStyle name="_JAKARTA1 7" xfId="506"/>
    <cellStyle name="_JAKARTA1 8" xfId="507"/>
    <cellStyle name="_JAKARTA1_Book1" xfId="508"/>
    <cellStyle name="_JAKARTA1_LHD" xfId="509"/>
    <cellStyle name="_JAKARTA1_PL Oktober" xfId="510"/>
    <cellStyle name="_JAKARTA1_Reimburst HO" xfId="511"/>
    <cellStyle name="_JAKARTA1_Reimburst HO 2" xfId="512"/>
    <cellStyle name="_JAKARTA1_Reimburst HO 3" xfId="513"/>
    <cellStyle name="_JAKARTA1_Reimburst HO 4" xfId="514"/>
    <cellStyle name="_JAKARTA1_Reimburst HO 5" xfId="515"/>
    <cellStyle name="_JAKARTA1_Reimburst HO 6" xfId="516"/>
    <cellStyle name="_JAKARTA1_Reimburst HO 7" xfId="517"/>
    <cellStyle name="_JAKARTA1_Reimburst HO 8" xfId="518"/>
    <cellStyle name="_JAKARTA1_Reimburst HO_LHD" xfId="519"/>
    <cellStyle name="_JKT" xfId="520"/>
    <cellStyle name="_JKT 2" xfId="521"/>
    <cellStyle name="_JKT 3" xfId="522"/>
    <cellStyle name="_JKT 4" xfId="523"/>
    <cellStyle name="_JKT 5" xfId="524"/>
    <cellStyle name="_JKT 6" xfId="525"/>
    <cellStyle name="_JKT 7" xfId="526"/>
    <cellStyle name="_JKT 8" xfId="527"/>
    <cellStyle name="_JKT_12 Laporan Stock Pool MKS Desember 2008 (2)" xfId="528"/>
    <cellStyle name="_JKT_12 Laporan Stock Pool MKS Desember 2008 (2)_AP Logistic 2010 Konsolidasi (091110)" xfId="529"/>
    <cellStyle name="_JKT_12 Laporan Stock Pool MKS Desember 2008 (2)_AP Logistic 2010 Konsolidasi (091111) 1830" xfId="530"/>
    <cellStyle name="_JKT_12 Laporan Stock Pool MKS Desember 2008 (2)_AP Logistic 2010 Konsolidasi (091111) 2230" xfId="531"/>
    <cellStyle name="_JKT_12 Laporan Stock Pool MKS Desember 2008 (2)_AP Logistic 2010 Konsolidasi (091115) 1830" xfId="532"/>
    <cellStyle name="_JKT_12 Laporan Stock Pool MKS Desember 2008 (2)_AP Logistic 2010 Konsolidasi (091116) 1340" xfId="533"/>
    <cellStyle name="_JKT_12 Laporan Stock Pool MKS Desember 2008 (2)_AP Logistic 2010 Konsolidasi (091116) 1700" xfId="534"/>
    <cellStyle name="_JKT_12 Laporan Stock Pool MKS Desember 2008 (2)_LHD" xfId="535"/>
    <cellStyle name="_JKT_12 Laporan Stock Pool MKS Desember 2008 (2)_Performance Review 091112" xfId="536"/>
    <cellStyle name="_JKT_AP Logistic 2010 Konsolidasi (091110)" xfId="537"/>
    <cellStyle name="_JKT_AP Logistic 2010 Konsolidasi (091111) 1830" xfId="538"/>
    <cellStyle name="_JKT_AP Logistic 2010 Konsolidasi (091111) 2230" xfId="539"/>
    <cellStyle name="_JKT_AP Logistic 2010 Konsolidasi (091115) 1830" xfId="540"/>
    <cellStyle name="_JKT_AP Logistic 2010 Konsolidasi (091116) 1340" xfId="541"/>
    <cellStyle name="_JKT_AP Logistic 2010 Konsolidasi (091116) 1700" xfId="542"/>
    <cellStyle name="_JKT_Book1" xfId="543"/>
    <cellStyle name="_JKT_lap  SerPo PNTK Des  08 (2)" xfId="544"/>
    <cellStyle name="_JKT_lap  SerPo PNTK Des  08 (3)" xfId="545"/>
    <cellStyle name="_JKT_lap  SerPo PNTK November  08" xfId="546"/>
    <cellStyle name="_JKT_LHD" xfId="547"/>
    <cellStyle name="_JKT_Performance Review 091112" xfId="548"/>
    <cellStyle name="_JKT_Reimburst HO" xfId="549"/>
    <cellStyle name="_JKT_Reimburst HO 2" xfId="550"/>
    <cellStyle name="_JKT_Reimburst HO 3" xfId="551"/>
    <cellStyle name="_JKT_Reimburst HO 4" xfId="552"/>
    <cellStyle name="_JKT_Reimburst HO 5" xfId="553"/>
    <cellStyle name="_JKT_Reimburst HO 6" xfId="554"/>
    <cellStyle name="_JKT_Reimburst HO 7" xfId="555"/>
    <cellStyle name="_JKT_Reimburst HO 8" xfId="556"/>
    <cellStyle name="_JKT_Reimburst HO_LHD" xfId="557"/>
    <cellStyle name="_KOmang CMD" xfId="558"/>
    <cellStyle name="_KOmang CMD_AP Logistic 2010 Konsolidasi (091110)" xfId="559"/>
    <cellStyle name="_KOmang CMD_AP Logistic 2010 Konsolidasi (091111) 1830" xfId="560"/>
    <cellStyle name="_KOmang CMD_AP Logistic 2010 Konsolidasi (091111) 2230" xfId="561"/>
    <cellStyle name="_KOmang CMD_AP Logistic 2010 Konsolidasi (091115) 1830" xfId="562"/>
    <cellStyle name="_KOmang CMD_AP Logistic 2010 Konsolidasi (091116) 1340" xfId="563"/>
    <cellStyle name="_KOmang CMD_AP Logistic 2010 Konsolidasi (091116) 1700" xfId="564"/>
    <cellStyle name="_KOmang CMD_LHD" xfId="565"/>
    <cellStyle name="_KOmang CMD_Performance Review 091112" xfId="566"/>
    <cellStyle name="_KT (2)" xfId="567"/>
    <cellStyle name="_KT (2)_1" xfId="568"/>
    <cellStyle name="_KT (2)_1_Lora-tungchau" xfId="569"/>
    <cellStyle name="_KT (2)_1_Qt-HT3PQ1(CauKho)" xfId="570"/>
    <cellStyle name="_KT (2)_2" xfId="571"/>
    <cellStyle name="_KT (2)_2_TG-TH" xfId="572"/>
    <cellStyle name="_KT (2)_2_TG-TH_BAO CAO KLCT PT2000" xfId="573"/>
    <cellStyle name="_KT (2)_2_TG-TH_BAO CAO PT2000" xfId="574"/>
    <cellStyle name="_KT (2)_2_TG-TH_BAO CAO PT2000_Book1" xfId="575"/>
    <cellStyle name="_KT (2)_2_TG-TH_Bao cao XDCB 2001 - T11 KH dieu chinh 20-11-THAI" xfId="576"/>
    <cellStyle name="_KT (2)_2_TG-TH_Book1" xfId="577"/>
    <cellStyle name="_KT (2)_2_TG-TH_Book1_1" xfId="578"/>
    <cellStyle name="_KT (2)_2_TG-TH_Book1_2" xfId="579"/>
    <cellStyle name="_KT (2)_2_TG-TH_Book1_3" xfId="580"/>
    <cellStyle name="_KT (2)_2_TG-TH_Book1_3_Book1" xfId="581"/>
    <cellStyle name="_KT (2)_2_TG-TH_Book1_3_MENU" xfId="582"/>
    <cellStyle name="_KT (2)_2_TG-TH_Book1_Book1" xfId="583"/>
    <cellStyle name="_KT (2)_2_TG-TH_Book1_Intimex-2007" xfId="584"/>
    <cellStyle name="_KT (2)_2_TG-TH_Book1_TH KE" xfId="585"/>
    <cellStyle name="_KT (2)_2_TG-TH_Book1_THU CHI TIEN" xfId="586"/>
    <cellStyle name="_KT (2)_2_TG-TH_Book1_TKE" xfId="587"/>
    <cellStyle name="_KT (2)_2_TG-TH_DTCDT MR.2N110.HOCMON.TDTOAN.CCUNG" xfId="588"/>
    <cellStyle name="_KT (2)_2_TG-TH_Giai Doan 3 Hong Ngu" xfId="589"/>
    <cellStyle name="_KT (2)_2_TG-TH_Intimex-2007" xfId="590"/>
    <cellStyle name="_KT (2)_2_TG-TH_Lora-tungchau" xfId="591"/>
    <cellStyle name="_KT (2)_2_TG-TH_PGIA-phieu tham tra Kho bac" xfId="592"/>
    <cellStyle name="_KT (2)_2_TG-TH_PT02-02" xfId="593"/>
    <cellStyle name="_KT (2)_2_TG-TH_PT02-02_Book1" xfId="594"/>
    <cellStyle name="_KT (2)_2_TG-TH_PT02-03" xfId="595"/>
    <cellStyle name="_KT (2)_2_TG-TH_PT02-03_Book1" xfId="596"/>
    <cellStyle name="_KT (2)_2_TG-TH_Qt-HT3PQ1(CauKho)" xfId="597"/>
    <cellStyle name="_KT (2)_2_TG-TH_TH KE" xfId="598"/>
    <cellStyle name="_KT (2)_2_TG-TH_TH KE_Book1" xfId="599"/>
    <cellStyle name="_KT (2)_2_TG-TH_TH KE_MENU" xfId="600"/>
    <cellStyle name="_KT (2)_2_TG-TH_THU CHI TIEN" xfId="601"/>
    <cellStyle name="_KT (2)_2_TG-TH_TKE" xfId="602"/>
    <cellStyle name="_KT (2)_3" xfId="603"/>
    <cellStyle name="_KT (2)_3_TG-TH" xfId="604"/>
    <cellStyle name="_KT (2)_3_TG-TH_Book1" xfId="605"/>
    <cellStyle name="_KT (2)_3_TG-TH_Book1_BC-QT-WB-dthao" xfId="606"/>
    <cellStyle name="_KT (2)_3_TG-TH_Book1_Intimex-2007" xfId="607"/>
    <cellStyle name="_KT (2)_3_TG-TH_Giai Doan 3 Hong Ngu" xfId="608"/>
    <cellStyle name="_KT (2)_3_TG-TH_Giai Doan 3 Hong Ngu_Book1" xfId="609"/>
    <cellStyle name="_KT (2)_3_TG-TH_Intimex-2007" xfId="610"/>
    <cellStyle name="_KT (2)_3_TG-TH_Lora-tungchau" xfId="611"/>
    <cellStyle name="_KT (2)_3_TG-TH_PERSONAL" xfId="612"/>
    <cellStyle name="_KT (2)_3_TG-TH_PERSONAL_Book1" xfId="613"/>
    <cellStyle name="_KT (2)_3_TG-TH_PERSONAL_Book1_Book1" xfId="614"/>
    <cellStyle name="_KT (2)_3_TG-TH_PERSONAL_Book1_THU CHI TIEN" xfId="615"/>
    <cellStyle name="_KT (2)_3_TG-TH_PERSONAL_HTQ.8 GD1" xfId="616"/>
    <cellStyle name="_KT (2)_3_TG-TH_PERSONAL_TH KE" xfId="617"/>
    <cellStyle name="_KT (2)_3_TG-TH_PERSONAL_THU CHI TIEN" xfId="618"/>
    <cellStyle name="_KT (2)_3_TG-TH_PERSONAL_TKE" xfId="619"/>
    <cellStyle name="_KT (2)_3_TG-TH_PERSONAL_Tong hop KHCB 2001" xfId="620"/>
    <cellStyle name="_KT (2)_3_TG-TH_Qt-HT3PQ1(CauKho)" xfId="621"/>
    <cellStyle name="_KT (2)_4" xfId="622"/>
    <cellStyle name="_KT (2)_4_BAO CAO KLCT PT2000" xfId="623"/>
    <cellStyle name="_KT (2)_4_BAO CAO PT2000" xfId="624"/>
    <cellStyle name="_KT (2)_4_BAO CAO PT2000_Book1" xfId="625"/>
    <cellStyle name="_KT (2)_4_Bao cao XDCB 2001 - T11 KH dieu chinh 20-11-THAI" xfId="626"/>
    <cellStyle name="_KT (2)_4_Book1" xfId="627"/>
    <cellStyle name="_KT (2)_4_Book1_1" xfId="628"/>
    <cellStyle name="_KT (2)_4_Book1_2" xfId="629"/>
    <cellStyle name="_KT (2)_4_Book1_3" xfId="630"/>
    <cellStyle name="_KT (2)_4_Book1_3_Book1" xfId="631"/>
    <cellStyle name="_KT (2)_4_Book1_3_MENU" xfId="632"/>
    <cellStyle name="_KT (2)_4_Book1_Book1" xfId="633"/>
    <cellStyle name="_KT (2)_4_Book1_Intimex-2007" xfId="634"/>
    <cellStyle name="_KT (2)_4_Book1_TH KE" xfId="635"/>
    <cellStyle name="_KT (2)_4_Book1_THU CHI TIEN" xfId="636"/>
    <cellStyle name="_KT (2)_4_Book1_TKE" xfId="637"/>
    <cellStyle name="_KT (2)_4_DTCDT MR.2N110.HOCMON.TDTOAN.CCUNG" xfId="638"/>
    <cellStyle name="_KT (2)_4_Giai Doan 3 Hong Ngu" xfId="639"/>
    <cellStyle name="_KT (2)_4_Intimex-2007" xfId="640"/>
    <cellStyle name="_KT (2)_4_Lora-tungchau" xfId="641"/>
    <cellStyle name="_KT (2)_4_PGIA-phieu tham tra Kho bac" xfId="642"/>
    <cellStyle name="_KT (2)_4_PT02-02" xfId="643"/>
    <cellStyle name="_KT (2)_4_PT02-02_Book1" xfId="644"/>
    <cellStyle name="_KT (2)_4_PT02-03" xfId="645"/>
    <cellStyle name="_KT (2)_4_PT02-03_Book1" xfId="646"/>
    <cellStyle name="_KT (2)_4_Qt-HT3PQ1(CauKho)" xfId="647"/>
    <cellStyle name="_KT (2)_4_TG-TH" xfId="648"/>
    <cellStyle name="_KT (2)_4_TH KE" xfId="649"/>
    <cellStyle name="_KT (2)_4_TH KE_Book1" xfId="650"/>
    <cellStyle name="_KT (2)_4_TH KE_MENU" xfId="651"/>
    <cellStyle name="_KT (2)_4_THU CHI TIEN" xfId="652"/>
    <cellStyle name="_KT (2)_4_TKE" xfId="653"/>
    <cellStyle name="_KT (2)_5" xfId="654"/>
    <cellStyle name="_KT (2)_5_BAO CAO KLCT PT2000" xfId="655"/>
    <cellStyle name="_KT (2)_5_BAO CAO PT2000" xfId="656"/>
    <cellStyle name="_KT (2)_5_BAO CAO PT2000_Book1" xfId="657"/>
    <cellStyle name="_KT (2)_5_Bao cao XDCB 2001 - T11 KH dieu chinh 20-11-THAI" xfId="658"/>
    <cellStyle name="_KT (2)_5_Book1" xfId="659"/>
    <cellStyle name="_KT (2)_5_Book1_1" xfId="660"/>
    <cellStyle name="_KT (2)_5_Book1_2" xfId="661"/>
    <cellStyle name="_KT (2)_5_Book1_3" xfId="662"/>
    <cellStyle name="_KT (2)_5_Book1_3_Book1" xfId="663"/>
    <cellStyle name="_KT (2)_5_Book1_3_MENU" xfId="664"/>
    <cellStyle name="_KT (2)_5_Book1_BC-QT-WB-dthao" xfId="665"/>
    <cellStyle name="_KT (2)_5_Book1_Book1" xfId="666"/>
    <cellStyle name="_KT (2)_5_Book1_Intimex-2007" xfId="667"/>
    <cellStyle name="_KT (2)_5_Book1_TH KE" xfId="668"/>
    <cellStyle name="_KT (2)_5_Book1_THU CHI TIEN" xfId="669"/>
    <cellStyle name="_KT (2)_5_Book1_TKE" xfId="670"/>
    <cellStyle name="_KT (2)_5_DTCDT MR.2N110.HOCMON.TDTOAN.CCUNG" xfId="671"/>
    <cellStyle name="_KT (2)_5_Giai Doan 3 Hong Ngu" xfId="672"/>
    <cellStyle name="_KT (2)_5_Intimex-2007" xfId="673"/>
    <cellStyle name="_KT (2)_5_Lora-tungchau" xfId="674"/>
    <cellStyle name="_KT (2)_5_PGIA-phieu tham tra Kho bac" xfId="675"/>
    <cellStyle name="_KT (2)_5_PT02-02" xfId="676"/>
    <cellStyle name="_KT (2)_5_PT02-02_Book1" xfId="677"/>
    <cellStyle name="_KT (2)_5_PT02-03" xfId="678"/>
    <cellStyle name="_KT (2)_5_PT02-03_Book1" xfId="679"/>
    <cellStyle name="_KT (2)_5_Qt-HT3PQ1(CauKho)" xfId="680"/>
    <cellStyle name="_KT (2)_5_TH KE" xfId="681"/>
    <cellStyle name="_KT (2)_5_TH KE_Book1" xfId="682"/>
    <cellStyle name="_KT (2)_5_TH KE_MENU" xfId="683"/>
    <cellStyle name="_KT (2)_5_THU CHI TIEN" xfId="684"/>
    <cellStyle name="_KT (2)_5_TKE" xfId="685"/>
    <cellStyle name="_KT (2)_Book1" xfId="686"/>
    <cellStyle name="_KT (2)_Book1_BC-QT-WB-dthao" xfId="687"/>
    <cellStyle name="_KT (2)_Book1_Intimex-2007" xfId="688"/>
    <cellStyle name="_KT (2)_Giai Doan 3 Hong Ngu" xfId="689"/>
    <cellStyle name="_KT (2)_Giai Doan 3 Hong Ngu_Book1" xfId="690"/>
    <cellStyle name="_KT (2)_Intimex-2007" xfId="691"/>
    <cellStyle name="_KT (2)_Lora-tungchau" xfId="692"/>
    <cellStyle name="_KT (2)_PERSONAL" xfId="693"/>
    <cellStyle name="_KT (2)_PERSONAL_Book1" xfId="694"/>
    <cellStyle name="_KT (2)_PERSONAL_Book1_Book1" xfId="695"/>
    <cellStyle name="_KT (2)_PERSONAL_Book1_THU CHI TIEN" xfId="696"/>
    <cellStyle name="_KT (2)_PERSONAL_HTQ.8 GD1" xfId="697"/>
    <cellStyle name="_KT (2)_PERSONAL_TH KE" xfId="698"/>
    <cellStyle name="_KT (2)_PERSONAL_THU CHI TIEN" xfId="699"/>
    <cellStyle name="_KT (2)_PERSONAL_TKE" xfId="700"/>
    <cellStyle name="_KT (2)_PERSONAL_Tong hop KHCB 2001" xfId="701"/>
    <cellStyle name="_KT (2)_Qt-HT3PQ1(CauKho)" xfId="702"/>
    <cellStyle name="_KT (2)_TG-TH" xfId="703"/>
    <cellStyle name="_KT_TG" xfId="704"/>
    <cellStyle name="_KT_TG_1" xfId="705"/>
    <cellStyle name="_KT_TG_1_BAO CAO KLCT PT2000" xfId="706"/>
    <cellStyle name="_KT_TG_1_BAO CAO PT2000" xfId="707"/>
    <cellStyle name="_KT_TG_1_BAO CAO PT2000_Book1" xfId="708"/>
    <cellStyle name="_KT_TG_1_Bao cao XDCB 2001 - T11 KH dieu chinh 20-11-THAI" xfId="709"/>
    <cellStyle name="_KT_TG_1_Book1" xfId="710"/>
    <cellStyle name="_KT_TG_1_Book1_1" xfId="711"/>
    <cellStyle name="_KT_TG_1_Book1_2" xfId="712"/>
    <cellStyle name="_KT_TG_1_Book1_3" xfId="713"/>
    <cellStyle name="_KT_TG_1_Book1_3_Book1" xfId="714"/>
    <cellStyle name="_KT_TG_1_Book1_3_MENU" xfId="715"/>
    <cellStyle name="_KT_TG_1_Book1_BC-QT-WB-dthao" xfId="716"/>
    <cellStyle name="_KT_TG_1_Book1_Book1" xfId="717"/>
    <cellStyle name="_KT_TG_1_Book1_Intimex-2007" xfId="718"/>
    <cellStyle name="_KT_TG_1_Book1_TH KE" xfId="719"/>
    <cellStyle name="_KT_TG_1_Book1_THU CHI TIEN" xfId="720"/>
    <cellStyle name="_KT_TG_1_Book1_TKE" xfId="721"/>
    <cellStyle name="_KT_TG_1_DTCDT MR.2N110.HOCMON.TDTOAN.CCUNG" xfId="722"/>
    <cellStyle name="_KT_TG_1_Giai Doan 3 Hong Ngu" xfId="723"/>
    <cellStyle name="_KT_TG_1_Intimex-2007" xfId="724"/>
    <cellStyle name="_KT_TG_1_Lora-tungchau" xfId="725"/>
    <cellStyle name="_KT_TG_1_PGIA-phieu tham tra Kho bac" xfId="726"/>
    <cellStyle name="_KT_TG_1_PT02-02" xfId="727"/>
    <cellStyle name="_KT_TG_1_PT02-02_Book1" xfId="728"/>
    <cellStyle name="_KT_TG_1_PT02-03" xfId="729"/>
    <cellStyle name="_KT_TG_1_PT02-03_Book1" xfId="730"/>
    <cellStyle name="_KT_TG_1_Qt-HT3PQ1(CauKho)" xfId="731"/>
    <cellStyle name="_KT_TG_1_TH KE" xfId="732"/>
    <cellStyle name="_KT_TG_1_TH KE_Book1" xfId="733"/>
    <cellStyle name="_KT_TG_1_TH KE_MENU" xfId="734"/>
    <cellStyle name="_KT_TG_1_THU CHI TIEN" xfId="735"/>
    <cellStyle name="_KT_TG_1_TKE" xfId="736"/>
    <cellStyle name="_KT_TG_2" xfId="737"/>
    <cellStyle name="_KT_TG_2_BAO CAO KLCT PT2000" xfId="738"/>
    <cellStyle name="_KT_TG_2_BAO CAO PT2000" xfId="739"/>
    <cellStyle name="_KT_TG_2_BAO CAO PT2000_Book1" xfId="740"/>
    <cellStyle name="_KT_TG_2_Bao cao XDCB 2001 - T11 KH dieu chinh 20-11-THAI" xfId="741"/>
    <cellStyle name="_KT_TG_2_Book1" xfId="742"/>
    <cellStyle name="_KT_TG_2_Book1_1" xfId="743"/>
    <cellStyle name="_KT_TG_2_Book1_2" xfId="744"/>
    <cellStyle name="_KT_TG_2_Book1_3" xfId="745"/>
    <cellStyle name="_KT_TG_2_Book1_3_Book1" xfId="746"/>
    <cellStyle name="_KT_TG_2_Book1_3_MENU" xfId="747"/>
    <cellStyle name="_KT_TG_2_Book1_Book1" xfId="748"/>
    <cellStyle name="_KT_TG_2_Book1_Intimex-2007" xfId="749"/>
    <cellStyle name="_KT_TG_2_Book1_TH KE" xfId="750"/>
    <cellStyle name="_KT_TG_2_Book1_THU CHI TIEN" xfId="751"/>
    <cellStyle name="_KT_TG_2_Book1_TKE" xfId="752"/>
    <cellStyle name="_KT_TG_2_DTCDT MR.2N110.HOCMON.TDTOAN.CCUNG" xfId="753"/>
    <cellStyle name="_KT_TG_2_Giai Doan 3 Hong Ngu" xfId="754"/>
    <cellStyle name="_KT_TG_2_Intimex-2007" xfId="755"/>
    <cellStyle name="_KT_TG_2_Lora-tungchau" xfId="756"/>
    <cellStyle name="_KT_TG_2_PGIA-phieu tham tra Kho bac" xfId="757"/>
    <cellStyle name="_KT_TG_2_PT02-02" xfId="758"/>
    <cellStyle name="_KT_TG_2_PT02-02_Book1" xfId="759"/>
    <cellStyle name="_KT_TG_2_PT02-03" xfId="760"/>
    <cellStyle name="_KT_TG_2_PT02-03_Book1" xfId="761"/>
    <cellStyle name="_KT_TG_2_Qt-HT3PQ1(CauKho)" xfId="762"/>
    <cellStyle name="_KT_TG_2_TH KE" xfId="763"/>
    <cellStyle name="_KT_TG_2_TH KE_Book1" xfId="764"/>
    <cellStyle name="_KT_TG_2_TH KE_MENU" xfId="765"/>
    <cellStyle name="_KT_TG_2_THU CHI TIEN" xfId="766"/>
    <cellStyle name="_KT_TG_2_TKE" xfId="767"/>
    <cellStyle name="_KT_TG_3" xfId="768"/>
    <cellStyle name="_KT_TG_4" xfId="769"/>
    <cellStyle name="_KT_TG_4_Lora-tungchau" xfId="770"/>
    <cellStyle name="_KT_TG_4_Qt-HT3PQ1(CauKho)" xfId="771"/>
    <cellStyle name="_KUMPULAN PICA 2007" xfId="772"/>
    <cellStyle name="_KUMPULAN PICA 2007 2" xfId="773"/>
    <cellStyle name="_KUMPULAN PICA 2007 3" xfId="774"/>
    <cellStyle name="_KUMPULAN PICA 2007 4" xfId="775"/>
    <cellStyle name="_KUMPULAN PICA 2007 5" xfId="776"/>
    <cellStyle name="_KUMPULAN PICA 2007 6" xfId="777"/>
    <cellStyle name="_KUMPULAN PICA 2007 7" xfId="778"/>
    <cellStyle name="_KUMPULAN PICA 2007 8" xfId="779"/>
    <cellStyle name="_KUMPULAN PICA 2007_Book1" xfId="780"/>
    <cellStyle name="_KUMPULAN PICA 2007_LHD" xfId="781"/>
    <cellStyle name="_KUMPULAN PICA 2007_PL Oktober" xfId="782"/>
    <cellStyle name="_KUMPULAN PICA 2007_Reimburst HO" xfId="783"/>
    <cellStyle name="_KUMPULAN PICA 2007_Reimburst HO 2" xfId="784"/>
    <cellStyle name="_KUMPULAN PICA 2007_Reimburst HO 3" xfId="785"/>
    <cellStyle name="_KUMPULAN PICA 2007_Reimburst HO 4" xfId="786"/>
    <cellStyle name="_KUMPULAN PICA 2007_Reimburst HO 5" xfId="787"/>
    <cellStyle name="_KUMPULAN PICA 2007_Reimburst HO 6" xfId="788"/>
    <cellStyle name="_KUMPULAN PICA 2007_Reimburst HO 7" xfId="789"/>
    <cellStyle name="_KUMPULAN PICA 2007_Reimburst HO 8" xfId="790"/>
    <cellStyle name="_KUMPULAN PICA 2007_Reimburst HO_LHD" xfId="791"/>
    <cellStyle name="_lap  SerPo PNTK Des  08 (2)" xfId="792"/>
    <cellStyle name="_lap  SerPo PNTK Des  08 (2)_AP Logistic 2010 Konsolidasi (091110)" xfId="793"/>
    <cellStyle name="_lap  SerPo PNTK Des  08 (2)_AP Logistic 2010 Konsolidasi (091111) 1830" xfId="794"/>
    <cellStyle name="_lap  SerPo PNTK Des  08 (2)_AP Logistic 2010 Konsolidasi (091111) 2230" xfId="795"/>
    <cellStyle name="_lap  SerPo PNTK Des  08 (2)_AP Logistic 2010 Konsolidasi (091115) 1830" xfId="796"/>
    <cellStyle name="_lap  SerPo PNTK Des  08 (2)_AP Logistic 2010 Konsolidasi (091116) 1340" xfId="797"/>
    <cellStyle name="_lap  SerPo PNTK Des  08 (2)_AP Logistic 2010 Konsolidasi (091116) 1700" xfId="798"/>
    <cellStyle name="_lap  SerPo PNTK Des  08 (2)_LHD" xfId="799"/>
    <cellStyle name="_lap  SerPo PNTK Des  08 (2)_Performance Review 091112" xfId="800"/>
    <cellStyle name="_lap  SerPo PNTK Des  08 (3)" xfId="801"/>
    <cellStyle name="_lap  SerPo PNTK Des  08 (3)_AP Logistic 2010 Konsolidasi (091110)" xfId="802"/>
    <cellStyle name="_lap  SerPo PNTK Des  08 (3)_AP Logistic 2010 Konsolidasi (091111) 1830" xfId="803"/>
    <cellStyle name="_lap  SerPo PNTK Des  08 (3)_AP Logistic 2010 Konsolidasi (091111) 2230" xfId="804"/>
    <cellStyle name="_lap  SerPo PNTK Des  08 (3)_AP Logistic 2010 Konsolidasi (091115) 1830" xfId="805"/>
    <cellStyle name="_lap  SerPo PNTK Des  08 (3)_AP Logistic 2010 Konsolidasi (091116) 1340" xfId="806"/>
    <cellStyle name="_lap  SerPo PNTK Des  08 (3)_AP Logistic 2010 Konsolidasi (091116) 1700" xfId="807"/>
    <cellStyle name="_lap  SerPo PNTK Des  08 (3)_LHD" xfId="808"/>
    <cellStyle name="_lap  SerPo PNTK Des  08 (3)_Performance Review 091112" xfId="809"/>
    <cellStyle name="_lap  SerPo PNTK November  08" xfId="810"/>
    <cellStyle name="_lap  SerPo PNTK November  08_AP Logistic 2010 Konsolidasi (091110)" xfId="811"/>
    <cellStyle name="_lap  SerPo PNTK November  08_AP Logistic 2010 Konsolidasi (091111) 1830" xfId="812"/>
    <cellStyle name="_lap  SerPo PNTK November  08_AP Logistic 2010 Konsolidasi (091111) 2230" xfId="813"/>
    <cellStyle name="_lap  SerPo PNTK November  08_AP Logistic 2010 Konsolidasi (091115) 1830" xfId="814"/>
    <cellStyle name="_lap  SerPo PNTK November  08_AP Logistic 2010 Konsolidasi (091116) 1340" xfId="815"/>
    <cellStyle name="_lap  SerPo PNTK November  08_AP Logistic 2010 Konsolidasi (091116) 1700" xfId="816"/>
    <cellStyle name="_lap  SerPo PNTK November  08_LHD" xfId="817"/>
    <cellStyle name="_lap  SerPo PNTK November  08_Performance Review 091112" xfId="818"/>
    <cellStyle name="_Lap Stock Pool Denpasar - Feb  08" xfId="819"/>
    <cellStyle name="_Lap Stock Pool Denpasar - Feb  08_12 Laporan Stock Pool MKS Desember 2008 (2)" xfId="820"/>
    <cellStyle name="_Lap Stock Pool Denpasar - Feb  08_12 Laporan Stock Pool MKS Desember 2008 (2)_AP Logistic 2010 Konsolidasi (091110)" xfId="821"/>
    <cellStyle name="_Lap Stock Pool Denpasar - Feb  08_12 Laporan Stock Pool MKS Desember 2008 (2)_AP Logistic 2010 Konsolidasi (091111) 1830" xfId="822"/>
    <cellStyle name="_Lap Stock Pool Denpasar - Feb  08_12 Laporan Stock Pool MKS Desember 2008 (2)_AP Logistic 2010 Konsolidasi (091111) 2230" xfId="823"/>
    <cellStyle name="_Lap Stock Pool Denpasar - Feb  08_12 Laporan Stock Pool MKS Desember 2008 (2)_AP Logistic 2010 Konsolidasi (091115) 1830" xfId="824"/>
    <cellStyle name="_Lap Stock Pool Denpasar - Feb  08_12 Laporan Stock Pool MKS Desember 2008 (2)_AP Logistic 2010 Konsolidasi (091116) 1340" xfId="825"/>
    <cellStyle name="_Lap Stock Pool Denpasar - Feb  08_12 Laporan Stock Pool MKS Desember 2008 (2)_AP Logistic 2010 Konsolidasi (091116) 1700" xfId="826"/>
    <cellStyle name="_Lap Stock Pool Denpasar - Feb  08_12 Laporan Stock Pool MKS Desember 2008 (2)_LHD" xfId="827"/>
    <cellStyle name="_Lap Stock Pool Denpasar - Feb  08_12 Laporan Stock Pool MKS Desember 2008 (2)_Performance Review 091112" xfId="828"/>
    <cellStyle name="_Lap Stock Pool Denpasar - Feb  08_AP Logistic 2010 Konsolidasi (091110)" xfId="829"/>
    <cellStyle name="_Lap Stock Pool Denpasar - Feb  08_AP Logistic 2010 Konsolidasi (091111) 1830" xfId="830"/>
    <cellStyle name="_Lap Stock Pool Denpasar - Feb  08_AP Logistic 2010 Konsolidasi (091111) 2230" xfId="831"/>
    <cellStyle name="_Lap Stock Pool Denpasar - Feb  08_AP Logistic 2010 Konsolidasi (091115) 1830" xfId="832"/>
    <cellStyle name="_Lap Stock Pool Denpasar - Feb  08_AP Logistic 2010 Konsolidasi (091116) 1340" xfId="833"/>
    <cellStyle name="_Lap Stock Pool Denpasar - Feb  08_AP Logistic 2010 Konsolidasi (091116) 1700" xfId="834"/>
    <cellStyle name="_Lap Stock Pool Denpasar - Feb  08_LHD" xfId="835"/>
    <cellStyle name="_Lap Stock Pool Denpasar - Feb  08_Performance Review 091112" xfId="836"/>
    <cellStyle name="_Lap stok  Banjarmasin Des 08" xfId="837"/>
    <cellStyle name="_Lap stok  Banjarmasin Des 08 2" xfId="838"/>
    <cellStyle name="_Lap stok  Banjarmasin Des 08_AP Logistic 2010 Konsolidasi (091110)" xfId="839"/>
    <cellStyle name="_Lap stok  Banjarmasin Des 08_AP Logistic 2010 Konsolidasi (091111) 1830" xfId="840"/>
    <cellStyle name="_Lap stok  Banjarmasin Des 08_AP Logistic 2010 Konsolidasi (091111) 2230" xfId="841"/>
    <cellStyle name="_Lap stok  Banjarmasin Des 08_AP Logistic 2010 Konsolidasi (091115) 1830" xfId="842"/>
    <cellStyle name="_Lap stok  Banjarmasin Des 08_AP Logistic 2010 Konsolidasi (091116) 1340" xfId="843"/>
    <cellStyle name="_Lap stok  Banjarmasin Des 08_AP Logistic 2010 Konsolidasi (091116) 1700" xfId="844"/>
    <cellStyle name="_Lap stok  Banjarmasin Des 08_FINAL - Buku Saku3" xfId="845"/>
    <cellStyle name="_Lap stok  Banjarmasin Des 08_Laporan Harian Dispatcher_2010_Heavy Truck" xfId="846"/>
    <cellStyle name="_Lap stok  Banjarmasin Des 08_Laporan Harian Dispatcher_2010_Heavy Truck2" xfId="847"/>
    <cellStyle name="_Lap stok  Banjarmasin Des 08_Laporan Harian Dispatcher_2010_Light Truck" xfId="848"/>
    <cellStyle name="_Lap stok  Banjarmasin Des 08_Laporan Harian Dispatcher_2010_Light Truck_LHD" xfId="849"/>
    <cellStyle name="_Lap stok  Banjarmasin Des 08_Laporan Harian Dispatcher_2010-11_Heavy Truck" xfId="850"/>
    <cellStyle name="_Lap stok  Banjarmasin Des 08_Laporan Harian Dispatcher_2010-11_Light Truck" xfId="851"/>
    <cellStyle name="_Lap stok  Banjarmasin Des 08_Laporan Harian Dispatcher_2010-11_Light Truck_LHD" xfId="852"/>
    <cellStyle name="_Lap stok  Banjarmasin Des 08_LHD" xfId="853"/>
    <cellStyle name="_Lap stok  Banjarmasin Des 08_LHD_2010-12_Heavy Truck" xfId="854"/>
    <cellStyle name="_Lap stok  Banjarmasin Des 08_LHD_2010-12_Light Truck" xfId="855"/>
    <cellStyle name="_Lap stok  Banjarmasin Des 08_LHD_2010-12_Light Truck_LHD" xfId="856"/>
    <cellStyle name="_Lap stok  Banjarmasin Des 08_LHD_Heavy Truck 2011-01" xfId="857"/>
    <cellStyle name="_Lap stok  Banjarmasin Des 08_Performance Review 091112" xfId="858"/>
    <cellStyle name="_Lap stok  Banjarmasin Des 08_PL Oktober" xfId="859"/>
    <cellStyle name="_Lap stok  Pontianak Desember 08" xfId="860"/>
    <cellStyle name="_Lap stok  Pontianak Desember 08 2" xfId="861"/>
    <cellStyle name="_Lap stok  Pontianak Desember 08_AP Logistic 2010 Konsolidasi (091110)" xfId="862"/>
    <cellStyle name="_Lap stok  Pontianak Desember 08_AP Logistic 2010 Konsolidasi (091111) 1830" xfId="863"/>
    <cellStyle name="_Lap stok  Pontianak Desember 08_AP Logistic 2010 Konsolidasi (091111) 2230" xfId="864"/>
    <cellStyle name="_Lap stok  Pontianak Desember 08_AP Logistic 2010 Konsolidasi (091115) 1830" xfId="865"/>
    <cellStyle name="_Lap stok  Pontianak Desember 08_AP Logistic 2010 Konsolidasi (091116) 1340" xfId="866"/>
    <cellStyle name="_Lap stok  Pontianak Desember 08_AP Logistic 2010 Konsolidasi (091116) 1700" xfId="867"/>
    <cellStyle name="_Lap stok  Pontianak Desember 08_FINAL - Buku Saku3" xfId="868"/>
    <cellStyle name="_Lap stok  Pontianak Desember 08_Laporan Harian Dispatcher_2010_Heavy Truck" xfId="869"/>
    <cellStyle name="_Lap stok  Pontianak Desember 08_Laporan Harian Dispatcher_2010_Heavy Truck2" xfId="870"/>
    <cellStyle name="_Lap stok  Pontianak Desember 08_Laporan Harian Dispatcher_2010_Light Truck" xfId="871"/>
    <cellStyle name="_Lap stok  Pontianak Desember 08_Laporan Harian Dispatcher_2010_Light Truck_LHD" xfId="872"/>
    <cellStyle name="_Lap stok  Pontianak Desember 08_Laporan Harian Dispatcher_2010-11_Heavy Truck" xfId="873"/>
    <cellStyle name="_Lap stok  Pontianak Desember 08_Laporan Harian Dispatcher_2010-11_Light Truck" xfId="874"/>
    <cellStyle name="_Lap stok  Pontianak Desember 08_Laporan Harian Dispatcher_2010-11_Light Truck_LHD" xfId="875"/>
    <cellStyle name="_Lap stok  Pontianak Desember 08_LHD" xfId="876"/>
    <cellStyle name="_Lap stok  Pontianak Desember 08_LHD_2010-12_Heavy Truck" xfId="877"/>
    <cellStyle name="_Lap stok  Pontianak Desember 08_LHD_2010-12_Light Truck" xfId="878"/>
    <cellStyle name="_Lap stok  Pontianak Desember 08_LHD_2010-12_Light Truck_LHD" xfId="879"/>
    <cellStyle name="_Lap stok  Pontianak Desember 08_LHD_Heavy Truck 2011-01" xfId="880"/>
    <cellStyle name="_Lap stok  Pontianak Desember 08_Performance Review 091112" xfId="881"/>
    <cellStyle name="_Lap stok  Pontianak Desember 08_PL Oktober" xfId="882"/>
    <cellStyle name="_Lap stok Mks Des 08" xfId="883"/>
    <cellStyle name="_Lap stok Mks Des 08 2" xfId="884"/>
    <cellStyle name="_Lap stok Mks Des 08_AP Logistic 2010 Konsolidasi (091110)" xfId="885"/>
    <cellStyle name="_Lap stok Mks Des 08_AP Logistic 2010 Konsolidasi (091111) 1830" xfId="886"/>
    <cellStyle name="_Lap stok Mks Des 08_AP Logistic 2010 Konsolidasi (091111) 2230" xfId="887"/>
    <cellStyle name="_Lap stok Mks Des 08_AP Logistic 2010 Konsolidasi (091115) 1830" xfId="888"/>
    <cellStyle name="_Lap stok Mks Des 08_AP Logistic 2010 Konsolidasi (091116) 1340" xfId="889"/>
    <cellStyle name="_Lap stok Mks Des 08_AP Logistic 2010 Konsolidasi (091116) 1700" xfId="890"/>
    <cellStyle name="_Lap stok Mks Des 08_FINAL - Buku Saku3" xfId="891"/>
    <cellStyle name="_Lap stok Mks Des 08_Laporan Harian Dispatcher_2010_Heavy Truck" xfId="892"/>
    <cellStyle name="_Lap stok Mks Des 08_Laporan Harian Dispatcher_2010_Heavy Truck2" xfId="893"/>
    <cellStyle name="_Lap stok Mks Des 08_Laporan Harian Dispatcher_2010_Light Truck" xfId="894"/>
    <cellStyle name="_Lap stok Mks Des 08_Laporan Harian Dispatcher_2010_Light Truck_LHD" xfId="895"/>
    <cellStyle name="_Lap stok Mks Des 08_Laporan Harian Dispatcher_2010-11_Heavy Truck" xfId="896"/>
    <cellStyle name="_Lap stok Mks Des 08_Laporan Harian Dispatcher_2010-11_Light Truck" xfId="897"/>
    <cellStyle name="_Lap stok Mks Des 08_Laporan Harian Dispatcher_2010-11_Light Truck_LHD" xfId="898"/>
    <cellStyle name="_Lap stok Mks Des 08_LHD" xfId="899"/>
    <cellStyle name="_Lap stok Mks Des 08_LHD_2010-12_Heavy Truck" xfId="900"/>
    <cellStyle name="_Lap stok Mks Des 08_LHD_2010-12_Light Truck" xfId="901"/>
    <cellStyle name="_Lap stok Mks Des 08_LHD_2010-12_Light Truck_LHD" xfId="902"/>
    <cellStyle name="_Lap stok Mks Des 08_LHD_Heavy Truck 2011-01" xfId="903"/>
    <cellStyle name="_Lap stok Mks Des 08_Performance Review 091112" xfId="904"/>
    <cellStyle name="_Lap stok Mks Des 08_PL Oktober" xfId="905"/>
    <cellStyle name="_Laporan Stok Harian 18-Desember-2008" xfId="906"/>
    <cellStyle name="_Laporan Stok Harian 18-Desember-2008_AP Logistic 2010 Konsolidasi (091110)" xfId="907"/>
    <cellStyle name="_Laporan Stok Harian 18-Desember-2008_AP Logistic 2010 Konsolidasi (091111) 1830" xfId="908"/>
    <cellStyle name="_Laporan Stok Harian 18-Desember-2008_AP Logistic 2010 Konsolidasi (091111) 2230" xfId="909"/>
    <cellStyle name="_Laporan Stok Harian 18-Desember-2008_AP Logistic 2010 Konsolidasi (091115) 1830" xfId="910"/>
    <cellStyle name="_Laporan Stok Harian 18-Desember-2008_AP Logistic 2010 Konsolidasi (091116) 1340" xfId="911"/>
    <cellStyle name="_Laporan Stok Harian 18-Desember-2008_AP Logistic 2010 Konsolidasi (091116) 1700" xfId="912"/>
    <cellStyle name="_Laporan Stok Harian 18-Desember-2008_LHD" xfId="913"/>
    <cellStyle name="_Laporan Stok Harian 18-Desember-2008_Performance Review 091112" xfId="914"/>
    <cellStyle name="_Laporan Stok Harian 20-Desember-2008" xfId="915"/>
    <cellStyle name="_Laporan Stok Harian 20-Desember-2008_AP Logistic 2010 Konsolidasi (091110)" xfId="916"/>
    <cellStyle name="_Laporan Stok Harian 20-Desember-2008_AP Logistic 2010 Konsolidasi (091111) 1830" xfId="917"/>
    <cellStyle name="_Laporan Stok Harian 20-Desember-2008_AP Logistic 2010 Konsolidasi (091111) 2230" xfId="918"/>
    <cellStyle name="_Laporan Stok Harian 20-Desember-2008_AP Logistic 2010 Konsolidasi (091115) 1830" xfId="919"/>
    <cellStyle name="_Laporan Stok Harian 20-Desember-2008_AP Logistic 2010 Konsolidasi (091116) 1340" xfId="920"/>
    <cellStyle name="_Laporan Stok Harian 20-Desember-2008_AP Logistic 2010 Konsolidasi (091116) 1700" xfId="921"/>
    <cellStyle name="_Laporan Stok Harian 20-Desember-2008_LHD" xfId="922"/>
    <cellStyle name="_Laporan Stok Harian 20-Desember-2008_Performance Review 091112" xfId="923"/>
    <cellStyle name="_Laporan Stok Harian 24-Desember-2008" xfId="924"/>
    <cellStyle name="_Laporan Stok Harian 24-Desember-2008_AP Logistic 2010 Konsolidasi (091110)" xfId="925"/>
    <cellStyle name="_Laporan Stok Harian 24-Desember-2008_AP Logistic 2010 Konsolidasi (091111) 1830" xfId="926"/>
    <cellStyle name="_Laporan Stok Harian 24-Desember-2008_AP Logistic 2010 Konsolidasi (091111) 2230" xfId="927"/>
    <cellStyle name="_Laporan Stok Harian 24-Desember-2008_AP Logistic 2010 Konsolidasi (091115) 1830" xfId="928"/>
    <cellStyle name="_Laporan Stok Harian 24-Desember-2008_AP Logistic 2010 Konsolidasi (091116) 1340" xfId="929"/>
    <cellStyle name="_Laporan Stok Harian 24-Desember-2008_AP Logistic 2010 Konsolidasi (091116) 1700" xfId="930"/>
    <cellStyle name="_Laporan Stok Harian 24-Desember-2008_LHD" xfId="931"/>
    <cellStyle name="_Laporan Stok Harian 24-Desember-2008_Performance Review 091112" xfId="932"/>
    <cellStyle name="_Laporan Stok Harian 26-Desember-2008" xfId="933"/>
    <cellStyle name="_Laporan Stok Harian 26-Desember-2008_AP Logistic 2010 Konsolidasi (091110)" xfId="934"/>
    <cellStyle name="_Laporan Stok Harian 26-Desember-2008_AP Logistic 2010 Konsolidasi (091111) 1830" xfId="935"/>
    <cellStyle name="_Laporan Stok Harian 26-Desember-2008_AP Logistic 2010 Konsolidasi (091111) 2230" xfId="936"/>
    <cellStyle name="_Laporan Stok Harian 26-Desember-2008_AP Logistic 2010 Konsolidasi (091115) 1830" xfId="937"/>
    <cellStyle name="_Laporan Stok Harian 26-Desember-2008_AP Logistic 2010 Konsolidasi (091116) 1340" xfId="938"/>
    <cellStyle name="_Laporan Stok Harian 26-Desember-2008_AP Logistic 2010 Konsolidasi (091116) 1700" xfId="939"/>
    <cellStyle name="_Laporan Stok Harian 26-Desember-2008_LHD" xfId="940"/>
    <cellStyle name="_Laporan Stok Harian 26-Desember-2008_Performance Review 091112" xfId="941"/>
    <cellStyle name="_LHP - Agustus 2007" xfId="942"/>
    <cellStyle name="_LHP - Agustus 2007 (2)" xfId="943"/>
    <cellStyle name="_LHP - Agustus 2007 (2)_12 Laporan Stock Pool MKS Desember 2008 (2)" xfId="944"/>
    <cellStyle name="_LHP - Agustus 2007 (2)_12 Laporan Stock Pool MKS Desember 2008 (2)_AP Logistic 2010 Konsolidasi (091110)" xfId="945"/>
    <cellStyle name="_LHP - Agustus 2007 (2)_12 Laporan Stock Pool MKS Desember 2008 (2)_AP Logistic 2010 Konsolidasi (091111) 1830" xfId="946"/>
    <cellStyle name="_LHP - Agustus 2007 (2)_12 Laporan Stock Pool MKS Desember 2008 (2)_AP Logistic 2010 Konsolidasi (091111) 2230" xfId="947"/>
    <cellStyle name="_LHP - Agustus 2007 (2)_12 Laporan Stock Pool MKS Desember 2008 (2)_AP Logistic 2010 Konsolidasi (091115) 1830" xfId="948"/>
    <cellStyle name="_LHP - Agustus 2007 (2)_12 Laporan Stock Pool MKS Desember 2008 (2)_AP Logistic 2010 Konsolidasi (091116) 1340" xfId="949"/>
    <cellStyle name="_LHP - Agustus 2007 (2)_12 Laporan Stock Pool MKS Desember 2008 (2)_AP Logistic 2010 Konsolidasi (091116) 1700" xfId="950"/>
    <cellStyle name="_LHP - Agustus 2007 (2)_12 Laporan Stock Pool MKS Desember 2008 (2)_LHD" xfId="951"/>
    <cellStyle name="_LHP - Agustus 2007 (2)_12 Laporan Stock Pool MKS Desember 2008 (2)_Performance Review 091112" xfId="952"/>
    <cellStyle name="_LHP - Agustus 2007 (2)_12 Laporan Stock Pool MKS Desember 2008 (2)_Performance Review 091112 2" xfId="953"/>
    <cellStyle name="_LHP - Agustus 2007 (2)_AP Logistic 2010 Konsolidasi (091110)" xfId="954"/>
    <cellStyle name="_LHP - Agustus 2007 (2)_AP Logistic 2010 Konsolidasi (091111) 1830" xfId="955"/>
    <cellStyle name="_LHP - Agustus 2007 (2)_AP Logistic 2010 Konsolidasi (091111) 2230" xfId="956"/>
    <cellStyle name="_LHP - Agustus 2007 (2)_AP Logistic 2010 Konsolidasi (091115) 1830" xfId="957"/>
    <cellStyle name="_LHP - Agustus 2007 (2)_AP Logistic 2010 Konsolidasi (091116) 1340" xfId="958"/>
    <cellStyle name="_LHP - Agustus 2007 (2)_AP Logistic 2010 Konsolidasi (091116) 1700" xfId="959"/>
    <cellStyle name="_LHP - Agustus 2007 (2)_LAP. STOCK MEI  2010" xfId="960"/>
    <cellStyle name="_LHP - Agustus 2007 (2)_LHD" xfId="961"/>
    <cellStyle name="_LHP - Agustus 2007 (2)_LS Alvin" xfId="962"/>
    <cellStyle name="_LHP - Agustus 2007 (2)_Performance Review 091112" xfId="963"/>
    <cellStyle name="_LHP - Agustus 2007 (3)" xfId="964"/>
    <cellStyle name="_LHP - Agustus 2007 (3)_12 Laporan Stock Pool MKS Desember 2008 (2)" xfId="965"/>
    <cellStyle name="_LHP - Agustus 2007 (3)_12 Laporan Stock Pool MKS Desember 2008 (2)_AP Logistic 2010 Konsolidasi (091110)" xfId="966"/>
    <cellStyle name="_LHP - Agustus 2007 (3)_12 Laporan Stock Pool MKS Desember 2008 (2)_AP Logistic 2010 Konsolidasi (091111) 1830" xfId="967"/>
    <cellStyle name="_LHP - Agustus 2007 (3)_12 Laporan Stock Pool MKS Desember 2008 (2)_AP Logistic 2010 Konsolidasi (091111) 2230" xfId="968"/>
    <cellStyle name="_LHP - Agustus 2007 (3)_12 Laporan Stock Pool MKS Desember 2008 (2)_AP Logistic 2010 Konsolidasi (091115) 1830" xfId="969"/>
    <cellStyle name="_LHP - Agustus 2007 (3)_12 Laporan Stock Pool MKS Desember 2008 (2)_AP Logistic 2010 Konsolidasi (091116) 1340" xfId="970"/>
    <cellStyle name="_LHP - Agustus 2007 (3)_12 Laporan Stock Pool MKS Desember 2008 (2)_AP Logistic 2010 Konsolidasi (091116) 1700" xfId="971"/>
    <cellStyle name="_LHP - Agustus 2007 (3)_12 Laporan Stock Pool MKS Desember 2008 (2)_LHD" xfId="972"/>
    <cellStyle name="_LHP - Agustus 2007 (3)_12 Laporan Stock Pool MKS Desember 2008 (2)_Performance Review 091112" xfId="973"/>
    <cellStyle name="_LHP - Agustus 2007 (3)_AP Logistic 2010 Konsolidasi (091110)" xfId="974"/>
    <cellStyle name="_LHP - Agustus 2007 (3)_AP Logistic 2010 Konsolidasi (091111) 1830" xfId="975"/>
    <cellStyle name="_LHP - Agustus 2007 (3)_AP Logistic 2010 Konsolidasi (091111) 2230" xfId="976"/>
    <cellStyle name="_LHP - Agustus 2007 (3)_AP Logistic 2010 Konsolidasi (091115) 1830" xfId="977"/>
    <cellStyle name="_LHP - Agustus 2007 (3)_AP Logistic 2010 Konsolidasi (091116) 1340" xfId="978"/>
    <cellStyle name="_LHP - Agustus 2007 (3)_AP Logistic 2010 Konsolidasi (091116) 1700" xfId="979"/>
    <cellStyle name="_LHP - Agustus 2007 (3)_LAP. STOCK MEI  2010" xfId="980"/>
    <cellStyle name="_LHP - Agustus 2007 (3)_LHD" xfId="981"/>
    <cellStyle name="_LHP - Agustus 2007 (3)_LS Alvin" xfId="982"/>
    <cellStyle name="_LHP - Agustus 2007 (3)_Performance Review 091112" xfId="983"/>
    <cellStyle name="_LHP - Agustus 2007 (4)" xfId="984"/>
    <cellStyle name="_LHP - Agustus 2007 (4)_12 Laporan Stock Pool MKS Desember 2008 (2)" xfId="985"/>
    <cellStyle name="_LHP - Agustus 2007 (4)_12 Laporan Stock Pool MKS Desember 2008 (2)_AP Logistic 2010 Konsolidasi (091110)" xfId="986"/>
    <cellStyle name="_LHP - Agustus 2007 (4)_12 Laporan Stock Pool MKS Desember 2008 (2)_AP Logistic 2010 Konsolidasi (091111) 1830" xfId="987"/>
    <cellStyle name="_LHP - Agustus 2007 (4)_12 Laporan Stock Pool MKS Desember 2008 (2)_AP Logistic 2010 Konsolidasi (091111) 2230" xfId="988"/>
    <cellStyle name="_LHP - Agustus 2007 (4)_12 Laporan Stock Pool MKS Desember 2008 (2)_AP Logistic 2010 Konsolidasi (091115) 1830" xfId="989"/>
    <cellStyle name="_LHP - Agustus 2007 (4)_12 Laporan Stock Pool MKS Desember 2008 (2)_AP Logistic 2010 Konsolidasi (091116) 1340" xfId="990"/>
    <cellStyle name="_LHP - Agustus 2007 (4)_12 Laporan Stock Pool MKS Desember 2008 (2)_AP Logistic 2010 Konsolidasi (091116) 1700" xfId="991"/>
    <cellStyle name="_LHP - Agustus 2007 (4)_12 Laporan Stock Pool MKS Desember 2008 (2)_LHD" xfId="992"/>
    <cellStyle name="_LHP - Agustus 2007 (4)_12 Laporan Stock Pool MKS Desember 2008 (2)_Performance Review 091112" xfId="993"/>
    <cellStyle name="_LHP - Agustus 2007 (4)_AP Logistic 2010 Konsolidasi (091110)" xfId="994"/>
    <cellStyle name="_LHP - Agustus 2007 (4)_AP Logistic 2010 Konsolidasi (091111) 1830" xfId="995"/>
    <cellStyle name="_LHP - Agustus 2007 (4)_AP Logistic 2010 Konsolidasi (091111) 2230" xfId="996"/>
    <cellStyle name="_LHP - Agustus 2007 (4)_AP Logistic 2010 Konsolidasi (091115) 1830" xfId="997"/>
    <cellStyle name="_LHP - Agustus 2007 (4)_AP Logistic 2010 Konsolidasi (091116) 1340" xfId="998"/>
    <cellStyle name="_LHP - Agustus 2007 (4)_AP Logistic 2010 Konsolidasi (091116) 1700" xfId="999"/>
    <cellStyle name="_LHP - Agustus 2007 (4)_LAP. STOCK MEI  2010" xfId="1000"/>
    <cellStyle name="_LHP - Agustus 2007 (4)_LHD" xfId="1001"/>
    <cellStyle name="_LHP - Agustus 2007 (4)_LS Alvin" xfId="1002"/>
    <cellStyle name="_LHP - Agustus 2007 (4)_Performance Review 091112" xfId="1003"/>
    <cellStyle name="_LHP - Agustus 2007_12 Laporan Stock Pool MKS Desember 2008 (2)" xfId="1004"/>
    <cellStyle name="_LHP - Agustus 2007_12 Laporan Stock Pool MKS Desember 2008 (2)_AP Logistic 2010 Konsolidasi (091110)" xfId="1005"/>
    <cellStyle name="_LHP - Agustus 2007_12 Laporan Stock Pool MKS Desember 2008 (2)_AP Logistic 2010 Konsolidasi (091111) 1830" xfId="1006"/>
    <cellStyle name="_LHP - Agustus 2007_12 Laporan Stock Pool MKS Desember 2008 (2)_AP Logistic 2010 Konsolidasi (091111) 2230" xfId="1007"/>
    <cellStyle name="_LHP - Agustus 2007_12 Laporan Stock Pool MKS Desember 2008 (2)_AP Logistic 2010 Konsolidasi (091115) 1830" xfId="1008"/>
    <cellStyle name="_LHP - Agustus 2007_12 Laporan Stock Pool MKS Desember 2008 (2)_AP Logistic 2010 Konsolidasi (091116) 1340" xfId="1009"/>
    <cellStyle name="_LHP - Agustus 2007_12 Laporan Stock Pool MKS Desember 2008 (2)_AP Logistic 2010 Konsolidasi (091116) 1700" xfId="1010"/>
    <cellStyle name="_LHP - Agustus 2007_12 Laporan Stock Pool MKS Desember 2008 (2)_LHD" xfId="1011"/>
    <cellStyle name="_LHP - Agustus 2007_12 Laporan Stock Pool MKS Desember 2008 (2)_Performance Review 091112" xfId="1012"/>
    <cellStyle name="_LHP - Agustus 2007_AP Logistic 2010 Konsolidasi (091110)" xfId="1013"/>
    <cellStyle name="_LHP - Agustus 2007_AP Logistic 2010 Konsolidasi (091111) 1830" xfId="1014"/>
    <cellStyle name="_LHP - Agustus 2007_AP Logistic 2010 Konsolidasi (091111) 2230" xfId="1015"/>
    <cellStyle name="_LHP - Agustus 2007_AP Logistic 2010 Konsolidasi (091115) 1830" xfId="1016"/>
    <cellStyle name="_LHP - Agustus 2007_AP Logistic 2010 Konsolidasi (091116) 1340" xfId="1017"/>
    <cellStyle name="_LHP - Agustus 2007_AP Logistic 2010 Konsolidasi (091116) 1700" xfId="1018"/>
    <cellStyle name="_LHP - Agustus 2007_LAP. STOCK MEI  2010" xfId="1019"/>
    <cellStyle name="_LHP - Agustus 2007_LHD" xfId="1020"/>
    <cellStyle name="_LHP - Agustus 2007_LS Alvin" xfId="1021"/>
    <cellStyle name="_LHP - Agustus 2007_Performance Review 091112" xfId="1022"/>
    <cellStyle name="_LHP Des 2007 (2)" xfId="1023"/>
    <cellStyle name="_LHP Des 2007 (2) 2" xfId="1024"/>
    <cellStyle name="_LHP Des 2007 (2)_AP Logistic 2010 Konsolidasi (091110)" xfId="1025"/>
    <cellStyle name="_LHP Des 2007 (2)_AP Logistic 2010 Konsolidasi (091111) 1830" xfId="1026"/>
    <cellStyle name="_LHP Des 2007 (2)_AP Logistic 2010 Konsolidasi (091111) 2230" xfId="1027"/>
    <cellStyle name="_LHP Des 2007 (2)_AP Logistic 2010 Konsolidasi (091115) 1830" xfId="1028"/>
    <cellStyle name="_LHP Des 2007 (2)_AP Logistic 2010 Konsolidasi (091116) 1340" xfId="1029"/>
    <cellStyle name="_LHP Des 2007 (2)_AP Logistic 2010 Konsolidasi (091116) 1700" xfId="1030"/>
    <cellStyle name="_LHP Des 2007 (2)_FINAL - Buku Saku3" xfId="1031"/>
    <cellStyle name="_LHP Des 2007 (2)_Laporan Harian Dispatcher_2010_Heavy Truck" xfId="1032"/>
    <cellStyle name="_LHP Des 2007 (2)_Laporan Harian Dispatcher_2010_Heavy Truck2" xfId="1033"/>
    <cellStyle name="_LHP Des 2007 (2)_Laporan Harian Dispatcher_2010_Light Truck" xfId="1034"/>
    <cellStyle name="_LHP Des 2007 (2)_Laporan Harian Dispatcher_2010_Light Truck_LHD" xfId="1035"/>
    <cellStyle name="_LHP Des 2007 (2)_Laporan Harian Dispatcher_2010-11_Heavy Truck" xfId="1036"/>
    <cellStyle name="_LHP Des 2007 (2)_Laporan Harian Dispatcher_2010-11_Light Truck" xfId="1037"/>
    <cellStyle name="_LHP Des 2007 (2)_Laporan Harian Dispatcher_2010-11_Light Truck_LHD" xfId="1038"/>
    <cellStyle name="_LHP Des 2007 (2)_LHD" xfId="1039"/>
    <cellStyle name="_LHP Des 2007 (2)_LHD_2010-12_Heavy Truck" xfId="1040"/>
    <cellStyle name="_LHP Des 2007 (2)_LHD_2010-12_Light Truck" xfId="1041"/>
    <cellStyle name="_LHP Des 2007 (2)_LHD_2010-12_Light Truck_LHD" xfId="1042"/>
    <cellStyle name="_LHP Des 2007 (2)_LHD_Heavy Truck 2011-01" xfId="1043"/>
    <cellStyle name="_LHP Des 2007 (2)_Performance Review 091112" xfId="1044"/>
    <cellStyle name="_LHP Des 2007 (2)_PL Oktober" xfId="1045"/>
    <cellStyle name="_LHP NOV 2007 (new)" xfId="1046"/>
    <cellStyle name="_LHP NOV 2007 (new) 2" xfId="1047"/>
    <cellStyle name="_LHP NOV 2007 (new)_AP Logistic 2010 Konsolidasi (091110)" xfId="1048"/>
    <cellStyle name="_LHP NOV 2007 (new)_AP Logistic 2010 Konsolidasi (091111) 1830" xfId="1049"/>
    <cellStyle name="_LHP NOV 2007 (new)_AP Logistic 2010 Konsolidasi (091111) 2230" xfId="1050"/>
    <cellStyle name="_LHP NOV 2007 (new)_AP Logistic 2010 Konsolidasi (091115) 1830" xfId="1051"/>
    <cellStyle name="_LHP NOV 2007 (new)_AP Logistic 2010 Konsolidasi (091116) 1340" xfId="1052"/>
    <cellStyle name="_LHP NOV 2007 (new)_AP Logistic 2010 Konsolidasi (091116) 1700" xfId="1053"/>
    <cellStyle name="_LHP NOV 2007 (new)_FINAL - Buku Saku3" xfId="1054"/>
    <cellStyle name="_LHP NOV 2007 (new)_Laporan Harian Dispatcher_2010_Heavy Truck" xfId="1055"/>
    <cellStyle name="_LHP NOV 2007 (new)_Laporan Harian Dispatcher_2010_Heavy Truck2" xfId="1056"/>
    <cellStyle name="_LHP NOV 2007 (new)_Laporan Harian Dispatcher_2010_Light Truck" xfId="1057"/>
    <cellStyle name="_LHP NOV 2007 (new)_Laporan Harian Dispatcher_2010_Light Truck_LHD" xfId="1058"/>
    <cellStyle name="_LHP NOV 2007 (new)_Laporan Harian Dispatcher_2010-11_Heavy Truck" xfId="1059"/>
    <cellStyle name="_LHP NOV 2007 (new)_Laporan Harian Dispatcher_2010-11_Light Truck" xfId="1060"/>
    <cellStyle name="_LHP NOV 2007 (new)_Laporan Harian Dispatcher_2010-11_Light Truck_LHD" xfId="1061"/>
    <cellStyle name="_LHP NOV 2007 (new)_LHD" xfId="1062"/>
    <cellStyle name="_LHP NOV 2007 (new)_LHD_2010-12_Heavy Truck" xfId="1063"/>
    <cellStyle name="_LHP NOV 2007 (new)_LHD_2010-12_Light Truck" xfId="1064"/>
    <cellStyle name="_LHP NOV 2007 (new)_LHD_2010-12_Light Truck_LHD" xfId="1065"/>
    <cellStyle name="_LHP NOV 2007 (new)_LHD_Heavy Truck 2011-01" xfId="1066"/>
    <cellStyle name="_LHP NOV 2007 (new)_Performance Review 091112" xfId="1067"/>
    <cellStyle name="_LHP NOV 2007 (new)_PL Oktober" xfId="1068"/>
    <cellStyle name="_LHP OKT 2007 (new)" xfId="1069"/>
    <cellStyle name="_LHP OKT 2007 (new) 2" xfId="1070"/>
    <cellStyle name="_LHP OKT 2007 (new)_AP Logistic 2010 Konsolidasi (091110)" xfId="1071"/>
    <cellStyle name="_LHP OKT 2007 (new)_AP Logistic 2010 Konsolidasi (091111) 1830" xfId="1072"/>
    <cellStyle name="_LHP OKT 2007 (new)_AP Logistic 2010 Konsolidasi (091111) 2230" xfId="1073"/>
    <cellStyle name="_LHP OKT 2007 (new)_AP Logistic 2010 Konsolidasi (091115) 1830" xfId="1074"/>
    <cellStyle name="_LHP OKT 2007 (new)_AP Logistic 2010 Konsolidasi (091116) 1340" xfId="1075"/>
    <cellStyle name="_LHP OKT 2007 (new)_AP Logistic 2010 Konsolidasi (091116) 1700" xfId="1076"/>
    <cellStyle name="_LHP OKT 2007 (new)_FINAL - Buku Saku3" xfId="1077"/>
    <cellStyle name="_LHP OKT 2007 (new)_Laporan Harian Dispatcher_2010_Heavy Truck" xfId="1078"/>
    <cellStyle name="_LHP OKT 2007 (new)_Laporan Harian Dispatcher_2010_Heavy Truck2" xfId="1079"/>
    <cellStyle name="_LHP OKT 2007 (new)_Laporan Harian Dispatcher_2010_Light Truck" xfId="1080"/>
    <cellStyle name="_LHP OKT 2007 (new)_Laporan Harian Dispatcher_2010_Light Truck_LHD" xfId="1081"/>
    <cellStyle name="_LHP OKT 2007 (new)_Laporan Harian Dispatcher_2010-11_Heavy Truck" xfId="1082"/>
    <cellStyle name="_LHP OKT 2007 (new)_Laporan Harian Dispatcher_2010-11_Light Truck" xfId="1083"/>
    <cellStyle name="_LHP OKT 2007 (new)_Laporan Harian Dispatcher_2010-11_Light Truck_LHD" xfId="1084"/>
    <cellStyle name="_LHP OKT 2007 (new)_Laporan Harian Dispatcher_2010-11_Light Truck_LHD 2" xfId="1085"/>
    <cellStyle name="_LHP OKT 2007 (new)_LHD" xfId="1086"/>
    <cellStyle name="_LHP OKT 2007 (new)_LHD_2010-12_Heavy Truck" xfId="1087"/>
    <cellStyle name="_LHP OKT 2007 (new)_LHD_2010-12_Light Truck" xfId="1088"/>
    <cellStyle name="_LHP OKT 2007 (new)_LHD_2010-12_Light Truck_LHD" xfId="1089"/>
    <cellStyle name="_LHP OKT 2007 (new)_LHD_Heavy Truck 2011-01" xfId="1090"/>
    <cellStyle name="_LHP OKT 2007 (new)_Performance Review 091112" xfId="1091"/>
    <cellStyle name="_LHP OKT 2007 (new)_PL Oktober" xfId="1092"/>
    <cellStyle name="_LHP Unit Harian Feb.2008" xfId="1093"/>
    <cellStyle name="_LHP Unit Harian Feb.2008 2" xfId="1094"/>
    <cellStyle name="_LHP Unit Harian Feb.2008_AP Logistic 2010 Konsolidasi (091110)" xfId="1095"/>
    <cellStyle name="_LHP Unit Harian Feb.2008_AP Logistic 2010 Konsolidasi (091111) 1830" xfId="1096"/>
    <cellStyle name="_LHP Unit Harian Feb.2008_AP Logistic 2010 Konsolidasi (091111) 2230" xfId="1097"/>
    <cellStyle name="_LHP Unit Harian Feb.2008_AP Logistic 2010 Konsolidasi (091115) 1830" xfId="1098"/>
    <cellStyle name="_LHP Unit Harian Feb.2008_AP Logistic 2010 Konsolidasi (091116) 1340" xfId="1099"/>
    <cellStyle name="_LHP Unit Harian Feb.2008_AP Logistic 2010 Konsolidasi (091116) 1700" xfId="1100"/>
    <cellStyle name="_LHP Unit Harian Feb.2008_FINAL - Buku Saku3" xfId="1101"/>
    <cellStyle name="_LHP Unit Harian Feb.2008_Laporan Harian Dispatcher_2010_Heavy Truck" xfId="1102"/>
    <cellStyle name="_LHP Unit Harian Feb.2008_Laporan Harian Dispatcher_2010_Heavy Truck2" xfId="1103"/>
    <cellStyle name="_LHP Unit Harian Feb.2008_Laporan Harian Dispatcher_2010_Light Truck" xfId="1104"/>
    <cellStyle name="_LHP Unit Harian Feb.2008_Laporan Harian Dispatcher_2010_Light Truck_LHD" xfId="1105"/>
    <cellStyle name="_LHP Unit Harian Feb.2008_Laporan Harian Dispatcher_2010-11_Heavy Truck" xfId="1106"/>
    <cellStyle name="_LHP Unit Harian Feb.2008_Laporan Harian Dispatcher_2010-11_Light Truck" xfId="1107"/>
    <cellStyle name="_LHP Unit Harian Feb.2008_Laporan Harian Dispatcher_2010-11_Light Truck_LHD" xfId="1108"/>
    <cellStyle name="_LHP Unit Harian Feb.2008_LHD" xfId="1109"/>
    <cellStyle name="_LHP Unit Harian Feb.2008_LHD_2010-12_Heavy Truck" xfId="1110"/>
    <cellStyle name="_LHP Unit Harian Feb.2008_LHD_2010-12_Light Truck" xfId="1111"/>
    <cellStyle name="_LHP Unit Harian Feb.2008_LHD_2010-12_Light Truck_LHD" xfId="1112"/>
    <cellStyle name="_LHP Unit Harian Feb.2008_LHD_Heavy Truck 2011-01" xfId="1113"/>
    <cellStyle name="_LHP Unit Harian Feb.2008_Performance Review 091112" xfId="1114"/>
    <cellStyle name="_LHP Unit Harian Feb.2008_PL Oktober" xfId="1115"/>
    <cellStyle name="_LHP-Jkt Des 08" xfId="1116"/>
    <cellStyle name="_LHP-Jkt Des 08 2" xfId="1117"/>
    <cellStyle name="_LHP-Jkt Des 08_AP Logistic 2010 Konsolidasi (091110)" xfId="1118"/>
    <cellStyle name="_LHP-Jkt Des 08_AP Logistic 2010 Konsolidasi (091111) 1830" xfId="1119"/>
    <cellStyle name="_LHP-Jkt Des 08_AP Logistic 2010 Konsolidasi (091111) 2230" xfId="1120"/>
    <cellStyle name="_LHP-Jkt Des 08_AP Logistic 2010 Konsolidasi (091115) 1830" xfId="1121"/>
    <cellStyle name="_LHP-Jkt Des 08_AP Logistic 2010 Konsolidasi (091116) 1340" xfId="1122"/>
    <cellStyle name="_LHP-Jkt Des 08_AP Logistic 2010 Konsolidasi (091116) 1700" xfId="1123"/>
    <cellStyle name="_LHP-Jkt Des 08_FINAL - Buku Saku3" xfId="1124"/>
    <cellStyle name="_LHP-Jkt Des 08_Laporan Harian Dispatcher_2010_Heavy Truck" xfId="1125"/>
    <cellStyle name="_LHP-Jkt Des 08_Laporan Harian Dispatcher_2010_Heavy Truck2" xfId="1126"/>
    <cellStyle name="_LHP-Jkt Des 08_Laporan Harian Dispatcher_2010_Light Truck" xfId="1127"/>
    <cellStyle name="_LHP-Jkt Des 08_Laporan Harian Dispatcher_2010_Light Truck_LHD" xfId="1128"/>
    <cellStyle name="_LHP-Jkt Des 08_Laporan Harian Dispatcher_2010-11_Heavy Truck" xfId="1129"/>
    <cellStyle name="_LHP-Jkt Des 08_Laporan Harian Dispatcher_2010-11_Light Truck" xfId="1130"/>
    <cellStyle name="_LHP-Jkt Des 08_Laporan Harian Dispatcher_2010-11_Light Truck_LHD" xfId="1131"/>
    <cellStyle name="_LHP-Jkt Des 08_LHD" xfId="1132"/>
    <cellStyle name="_LHP-Jkt Des 08_LHD_2010-12_Heavy Truck" xfId="1133"/>
    <cellStyle name="_LHP-Jkt Des 08_LHD_2010-12_Light Truck" xfId="1134"/>
    <cellStyle name="_LHP-Jkt Des 08_LHD_2010-12_Light Truck_LHD" xfId="1135"/>
    <cellStyle name="_LHP-Jkt Des 08_LHD_Heavy Truck 2011-01" xfId="1136"/>
    <cellStyle name="_LHP-Jkt Des 08_Performance Review 091112" xfId="1137"/>
    <cellStyle name="_LHP-Jkt Des 08_PL Oktober" xfId="1138"/>
    <cellStyle name="_LHP-Juli - 2007xls" xfId="1139"/>
    <cellStyle name="_LHP-Juli - 2007xls (2)" xfId="1140"/>
    <cellStyle name="_LHP-Juli - 2007xls (2)_12 Laporan Stock Pool MKS Desember 2008 (2)" xfId="1141"/>
    <cellStyle name="_LHP-Juli - 2007xls (2)_12 Laporan Stock Pool MKS Desember 2008 (2)_AP Logistic 2010 Konsolidasi (091110)" xfId="1142"/>
    <cellStyle name="_LHP-Juli - 2007xls (2)_12 Laporan Stock Pool MKS Desember 2008 (2)_AP Logistic 2010 Konsolidasi (091111) 1830" xfId="1143"/>
    <cellStyle name="_LHP-Juli - 2007xls (2)_12 Laporan Stock Pool MKS Desember 2008 (2)_AP Logistic 2010 Konsolidasi (091111) 2230" xfId="1144"/>
    <cellStyle name="_LHP-Juli - 2007xls (2)_12 Laporan Stock Pool MKS Desember 2008 (2)_AP Logistic 2010 Konsolidasi (091115) 1830" xfId="1145"/>
    <cellStyle name="_LHP-Juli - 2007xls (2)_12 Laporan Stock Pool MKS Desember 2008 (2)_AP Logistic 2010 Konsolidasi (091115) 1830 2" xfId="1146"/>
    <cellStyle name="_LHP-Juli - 2007xls (2)_12 Laporan Stock Pool MKS Desember 2008 (2)_AP Logistic 2010 Konsolidasi (091116) 1340" xfId="1147"/>
    <cellStyle name="_LHP-Juli - 2007xls (2)_12 Laporan Stock Pool MKS Desember 2008 (2)_AP Logistic 2010 Konsolidasi (091116) 1700" xfId="1148"/>
    <cellStyle name="_LHP-Juli - 2007xls (2)_12 Laporan Stock Pool MKS Desember 2008 (2)_LHD" xfId="1149"/>
    <cellStyle name="_LHP-Juli - 2007xls (2)_12 Laporan Stock Pool MKS Desember 2008 (2)_Performance Review 091112" xfId="1150"/>
    <cellStyle name="_LHP-Juli - 2007xls (2)_12 Laporan Stock Pool MKS Desember 2008 (2)_Performance Review 091112 2" xfId="1151"/>
    <cellStyle name="_LHP-Juli - 2007xls (2)_AP Logistic 2010 Konsolidasi (091110)" xfId="1152"/>
    <cellStyle name="_LHP-Juli - 2007xls (2)_AP Logistic 2010 Konsolidasi (091111) 1830" xfId="1153"/>
    <cellStyle name="_LHP-Juli - 2007xls (2)_AP Logistic 2010 Konsolidasi (091111) 2230" xfId="1154"/>
    <cellStyle name="_LHP-Juli - 2007xls (2)_AP Logistic 2010 Konsolidasi (091115) 1830" xfId="1155"/>
    <cellStyle name="_LHP-Juli - 2007xls (2)_AP Logistic 2010 Konsolidasi (091116) 1340" xfId="1156"/>
    <cellStyle name="_LHP-Juli - 2007xls (2)_AP Logistic 2010 Konsolidasi (091116) 1700" xfId="1157"/>
    <cellStyle name="_LHP-Juli - 2007xls (2)_LAP. STOCK MEI  2010" xfId="1158"/>
    <cellStyle name="_LHP-Juli - 2007xls (2)_LHD" xfId="1159"/>
    <cellStyle name="_LHP-Juli - 2007xls (2)_LS Alvin" xfId="1160"/>
    <cellStyle name="_LHP-Juli - 2007xls (2)_Performance Review 091112" xfId="1161"/>
    <cellStyle name="_LHP-Juli - 2007xls_12 Laporan Stock Pool MKS Desember 2008 (2)" xfId="1162"/>
    <cellStyle name="_LHP-Juli - 2007xls_12 Laporan Stock Pool MKS Desember 2008 (2)_AP Logistic 2010 Konsolidasi (091110)" xfId="1163"/>
    <cellStyle name="_LHP-Juli - 2007xls_12 Laporan Stock Pool MKS Desember 2008 (2)_AP Logistic 2010 Konsolidasi (091111) 1830" xfId="1164"/>
    <cellStyle name="_LHP-Juli - 2007xls_12 Laporan Stock Pool MKS Desember 2008 (2)_AP Logistic 2010 Konsolidasi (091111) 2230" xfId="1165"/>
    <cellStyle name="_LHP-Juli - 2007xls_12 Laporan Stock Pool MKS Desember 2008 (2)_AP Logistic 2010 Konsolidasi (091115) 1830" xfId="1166"/>
    <cellStyle name="_LHP-Juli - 2007xls_12 Laporan Stock Pool MKS Desember 2008 (2)_AP Logistic 2010 Konsolidasi (091116) 1340" xfId="1167"/>
    <cellStyle name="_LHP-Juli - 2007xls_12 Laporan Stock Pool MKS Desember 2008 (2)_AP Logistic 2010 Konsolidasi (091116) 1700" xfId="1168"/>
    <cellStyle name="_LHP-Juli - 2007xls_12 Laporan Stock Pool MKS Desember 2008 (2)_LHD" xfId="1169"/>
    <cellStyle name="_LHP-Juli - 2007xls_12 Laporan Stock Pool MKS Desember 2008 (2)_Performance Review 091112" xfId="1170"/>
    <cellStyle name="_LHP-Juli - 2007xls_AP Logistic 2010 Konsolidasi (091110)" xfId="1171"/>
    <cellStyle name="_LHP-Juli - 2007xls_AP Logistic 2010 Konsolidasi (091111) 1830" xfId="1172"/>
    <cellStyle name="_LHP-Juli - 2007xls_AP Logistic 2010 Konsolidasi (091111) 2230" xfId="1173"/>
    <cellStyle name="_LHP-Juli - 2007xls_AP Logistic 2010 Konsolidasi (091115) 1830" xfId="1174"/>
    <cellStyle name="_LHP-Juli - 2007xls_AP Logistic 2010 Konsolidasi (091116) 1340" xfId="1175"/>
    <cellStyle name="_LHP-Juli - 2007xls_AP Logistic 2010 Konsolidasi (091116) 1700" xfId="1176"/>
    <cellStyle name="_LHP-Juli - 2007xls_LAP. STOCK MEI  2010" xfId="1177"/>
    <cellStyle name="_LHP-Juli - 2007xls_LHD" xfId="1178"/>
    <cellStyle name="_LHP-Juli - 2007xls_LS Alvin" xfId="1179"/>
    <cellStyle name="_LHP-Juli - 2007xls_Performance Review 091112" xfId="1180"/>
    <cellStyle name="_Lora-tungchau" xfId="1181"/>
    <cellStyle name="_LSP Bali - Desember 2008" xfId="1182"/>
    <cellStyle name="_LSP Bali - Desember 2008 (2)" xfId="1183"/>
    <cellStyle name="_LSP Bali - Desember 2008 (2) 2" xfId="1184"/>
    <cellStyle name="_LSP Bali - Desember 2008 (2) 3" xfId="1185"/>
    <cellStyle name="_LSP Bali - Desember 2008 (2)_AP Logistic 2010 Konsolidasi (091110)" xfId="1186"/>
    <cellStyle name="_LSP Bali - Desember 2008 (2)_AP Logistic 2010 Konsolidasi (091111) 1830" xfId="1187"/>
    <cellStyle name="_LSP Bali - Desember 2008 (2)_AP Logistic 2010 Konsolidasi (091111) 2230" xfId="1188"/>
    <cellStyle name="_LSP Bali - Desember 2008 (2)_AP Logistic 2010 Konsolidasi (091115) 1830" xfId="1189"/>
    <cellStyle name="_LSP Bali - Desember 2008 (2)_AP Logistic 2010 Konsolidasi (091116) 1340" xfId="1190"/>
    <cellStyle name="_LSP Bali - Desember 2008 (2)_AP Logistic 2010 Konsolidasi (091116) 1700" xfId="1191"/>
    <cellStyle name="_LSP Bali - Desember 2008 (2)_FINAL - Buku Saku3" xfId="1192"/>
    <cellStyle name="_LSP Bali - Desember 2008 (2)_Laporan Harian Dispatcher_2010_Heavy Truck" xfId="1193"/>
    <cellStyle name="_LSP Bali - Desember 2008 (2)_Laporan Harian Dispatcher_2010_Heavy Truck2" xfId="1194"/>
    <cellStyle name="_LSP Bali - Desember 2008 (2)_Laporan Harian Dispatcher_2010_Light Truck" xfId="1195"/>
    <cellStyle name="_LSP Bali - Desember 2008 (2)_Laporan Harian Dispatcher_2010_Light Truck_LHD" xfId="1196"/>
    <cellStyle name="_LSP Bali - Desember 2008 (2)_Laporan Harian Dispatcher_2010-11_Heavy Truck" xfId="1197"/>
    <cellStyle name="_LSP Bali - Desember 2008 (2)_Laporan Harian Dispatcher_2010-11_Light Truck" xfId="1198"/>
    <cellStyle name="_LSP Bali - Desember 2008 (2)_Laporan Harian Dispatcher_2010-11_Light Truck_LHD" xfId="1199"/>
    <cellStyle name="_LSP Bali - Desember 2008 (2)_LHD" xfId="1200"/>
    <cellStyle name="_LSP Bali - Desember 2008 (2)_LHD_2010-12_Heavy Truck" xfId="1201"/>
    <cellStyle name="_LSP Bali - Desember 2008 (2)_LHD_2010-12_Light Truck" xfId="1202"/>
    <cellStyle name="_LSP Bali - Desember 2008 (2)_LHD_2010-12_Light Truck_LHD" xfId="1203"/>
    <cellStyle name="_LSP Bali - Desember 2008 (2)_LHD_Heavy Truck 2011-01" xfId="1204"/>
    <cellStyle name="_LSP Bali - Desember 2008 (2)_Performance Review 091112" xfId="1205"/>
    <cellStyle name="_LSP Bali - Desember 2008 (2)_PL Oktober" xfId="1206"/>
    <cellStyle name="_LSP Bali - Desember 2008 2" xfId="1207"/>
    <cellStyle name="_LSP Bali - Desember 2008_AP Logistic 2010 Konsolidasi (091110)" xfId="1208"/>
    <cellStyle name="_LSP Bali - Desember 2008_AP Logistic 2010 Konsolidasi (091111) 1830" xfId="1209"/>
    <cellStyle name="_LSP Bali - Desember 2008_AP Logistic 2010 Konsolidasi (091111) 2230" xfId="1210"/>
    <cellStyle name="_LSP Bali - Desember 2008_AP Logistic 2010 Konsolidasi (091115) 1830" xfId="1211"/>
    <cellStyle name="_LSP Bali - Desember 2008_AP Logistic 2010 Konsolidasi (091116) 1340" xfId="1212"/>
    <cellStyle name="_LSP Bali - Desember 2008_AP Logistic 2010 Konsolidasi (091116) 1700" xfId="1213"/>
    <cellStyle name="_LSP Bali - Desember 2008_FINAL - Buku Saku3" xfId="1214"/>
    <cellStyle name="_LSP Bali - Desember 2008_Laporan Harian Dispatcher_2010_Heavy Truck" xfId="1215"/>
    <cellStyle name="_LSP Bali - Desember 2008_Laporan Harian Dispatcher_2010_Heavy Truck2" xfId="1216"/>
    <cellStyle name="_LSP Bali - Desember 2008_Laporan Harian Dispatcher_2010_Light Truck" xfId="1217"/>
    <cellStyle name="_LSP Bali - Desember 2008_Laporan Harian Dispatcher_2010_Light Truck_LHD" xfId="1218"/>
    <cellStyle name="_LSP Bali - Desember 2008_Laporan Harian Dispatcher_2010-11_Heavy Truck" xfId="1219"/>
    <cellStyle name="_LSP Bali - Desember 2008_Laporan Harian Dispatcher_2010-11_Light Truck" xfId="1220"/>
    <cellStyle name="_LSP Bali - Desember 2008_Laporan Harian Dispatcher_2010-11_Light Truck_LHD" xfId="1221"/>
    <cellStyle name="_LSP Bali - Desember 2008_LHD" xfId="1222"/>
    <cellStyle name="_LSP Bali - Desember 2008_LHD_2010-12_Heavy Truck" xfId="1223"/>
    <cellStyle name="_LSP Bali - Desember 2008_LHD_2010-12_Light Truck" xfId="1224"/>
    <cellStyle name="_LSP Bali - Desember 2008_LHD_2010-12_Light Truck_LHD" xfId="1225"/>
    <cellStyle name="_LSP Bali - Desember 2008_LHD_Heavy Truck 2011-01" xfId="1226"/>
    <cellStyle name="_LSP Bali - Desember 2008_Performance Review 091112" xfId="1227"/>
    <cellStyle name="_LSP Bali - Desember 2008_PL Oktober" xfId="1228"/>
    <cellStyle name="_LSP Bali - Januari 2009" xfId="1229"/>
    <cellStyle name="_LSP Bali - Januari 2009 2" xfId="1230"/>
    <cellStyle name="_LSP Bali - Januari 2009_AP Logistic 2010 Konsolidasi (091110)" xfId="1231"/>
    <cellStyle name="_LSP Bali - Januari 2009_AP Logistic 2010 Konsolidasi (091111) 1830" xfId="1232"/>
    <cellStyle name="_LSP Bali - Januari 2009_AP Logistic 2010 Konsolidasi (091111) 2230" xfId="1233"/>
    <cellStyle name="_LSP Bali - Januari 2009_AP Logistic 2010 Konsolidasi (091115) 1830" xfId="1234"/>
    <cellStyle name="_LSP Bali - Januari 2009_AP Logistic 2010 Konsolidasi (091116) 1340" xfId="1235"/>
    <cellStyle name="_LSP Bali - Januari 2009_AP Logistic 2010 Konsolidasi (091116) 1700" xfId="1236"/>
    <cellStyle name="_LSP Bali - Januari 2009_FINAL - Buku Saku3" xfId="1237"/>
    <cellStyle name="_LSP Bali - Januari 2009_Laporan Harian Dispatcher_2010_Heavy Truck" xfId="1238"/>
    <cellStyle name="_LSP Bali - Januari 2009_Laporan Harian Dispatcher_2010_Heavy Truck2" xfId="1239"/>
    <cellStyle name="_LSP Bali - Januari 2009_Laporan Harian Dispatcher_2010_Light Truck" xfId="1240"/>
    <cellStyle name="_LSP Bali - Januari 2009_Laporan Harian Dispatcher_2010_Light Truck_LHD" xfId="1241"/>
    <cellStyle name="_LSP Bali - Januari 2009_Laporan Harian Dispatcher_2010-11_Heavy Truck" xfId="1242"/>
    <cellStyle name="_LSP Bali - Januari 2009_Laporan Harian Dispatcher_2010-11_Light Truck" xfId="1243"/>
    <cellStyle name="_LSP Bali - Januari 2009_Laporan Harian Dispatcher_2010-11_Light Truck_LHD" xfId="1244"/>
    <cellStyle name="_LSP Bali - Januari 2009_LHD" xfId="1245"/>
    <cellStyle name="_LSP Bali - Januari 2009_LHD_2010-12_Heavy Truck" xfId="1246"/>
    <cellStyle name="_LSP Bali - Januari 2009_LHD_2010-12_Light Truck" xfId="1247"/>
    <cellStyle name="_LSP Bali - Januari 2009_LHD_2010-12_Light Truck_LHD" xfId="1248"/>
    <cellStyle name="_LSP Bali - Januari 2009_LHD_Heavy Truck 2011-01" xfId="1249"/>
    <cellStyle name="_LSP Bali - Januari 2009_Performance Review 091112" xfId="1250"/>
    <cellStyle name="_LSP Bali - Januari 2009_PL Oktober" xfId="1251"/>
    <cellStyle name="_LSP Bali - November 2008 (2)" xfId="1252"/>
    <cellStyle name="_LSP Bali - November 2008 (2) 2" xfId="1253"/>
    <cellStyle name="_LSP Bali - November 2008 (2)_AP Logistic 2010 Konsolidasi (091110)" xfId="1254"/>
    <cellStyle name="_LSP Bali - November 2008 (2)_AP Logistic 2010 Konsolidasi (091111) 1830" xfId="1255"/>
    <cellStyle name="_LSP Bali - November 2008 (2)_AP Logistic 2010 Konsolidasi (091111) 2230" xfId="1256"/>
    <cellStyle name="_LSP Bali - November 2008 (2)_AP Logistic 2010 Konsolidasi (091115) 1830" xfId="1257"/>
    <cellStyle name="_LSP Bali - November 2008 (2)_AP Logistic 2010 Konsolidasi (091116) 1340" xfId="1258"/>
    <cellStyle name="_LSP Bali - November 2008 (2)_AP Logistic 2010 Konsolidasi (091116) 1700" xfId="1259"/>
    <cellStyle name="_LSP Bali - November 2008 (2)_FINAL - Buku Saku3" xfId="1260"/>
    <cellStyle name="_LSP Bali - November 2008 (2)_Laporan Harian Dispatcher_2010_Heavy Truck" xfId="1261"/>
    <cellStyle name="_LSP Bali - November 2008 (2)_Laporan Harian Dispatcher_2010_Heavy Truck2" xfId="1262"/>
    <cellStyle name="_LSP Bali - November 2008 (2)_Laporan Harian Dispatcher_2010_Light Truck" xfId="1263"/>
    <cellStyle name="_LSP Bali - November 2008 (2)_Laporan Harian Dispatcher_2010_Light Truck_LHD" xfId="1264"/>
    <cellStyle name="_LSP Bali - November 2008 (2)_Laporan Harian Dispatcher_2010-11_Heavy Truck" xfId="1265"/>
    <cellStyle name="_LSP Bali - November 2008 (2)_Laporan Harian Dispatcher_2010-11_Light Truck" xfId="1266"/>
    <cellStyle name="_LSP Bali - November 2008 (2)_Laporan Harian Dispatcher_2010-11_Light Truck_LHD" xfId="1267"/>
    <cellStyle name="_LSP Bali - November 2008 (2)_LHD" xfId="1268"/>
    <cellStyle name="_LSP Bali - November 2008 (2)_LHD_2010-12_Heavy Truck" xfId="1269"/>
    <cellStyle name="_LSP Bali - November 2008 (2)_LHD_2010-12_Light Truck" xfId="1270"/>
    <cellStyle name="_LSP Bali - November 2008 (2)_LHD_2010-12_Light Truck_LHD" xfId="1271"/>
    <cellStyle name="_LSP Bali - November 2008 (2)_LHD_Heavy Truck 2011-01" xfId="1272"/>
    <cellStyle name="_LSP Bali - November 2008 (2)_Performance Review 091112" xfId="1273"/>
    <cellStyle name="_LSP Bali - November 2008 (2)_PL Oktober" xfId="1274"/>
    <cellStyle name="_LSP Bali - November 2008 (5)" xfId="1275"/>
    <cellStyle name="_LSP Bali - November 2008 (5) 2" xfId="1276"/>
    <cellStyle name="_LSP Bali - November 2008 (5)_AP Logistic 2010 Konsolidasi (091110)" xfId="1277"/>
    <cellStyle name="_LSP Bali - November 2008 (5)_AP Logistic 2010 Konsolidasi (091111) 1830" xfId="1278"/>
    <cellStyle name="_LSP Bali - November 2008 (5)_AP Logistic 2010 Konsolidasi (091111) 2230" xfId="1279"/>
    <cellStyle name="_LSP Bali - November 2008 (5)_AP Logistic 2010 Konsolidasi (091115) 1830" xfId="1280"/>
    <cellStyle name="_LSP Bali - November 2008 (5)_AP Logistic 2010 Konsolidasi (091116) 1340" xfId="1281"/>
    <cellStyle name="_LSP Bali - November 2008 (5)_AP Logistic 2010 Konsolidasi (091116) 1700" xfId="1282"/>
    <cellStyle name="_LSP Bali - November 2008 (5)_FINAL - Buku Saku3" xfId="1283"/>
    <cellStyle name="_LSP Bali - November 2008 (5)_Laporan Harian Dispatcher_2010_Heavy Truck" xfId="1284"/>
    <cellStyle name="_LSP Bali - November 2008 (5)_Laporan Harian Dispatcher_2010_Heavy Truck2" xfId="1285"/>
    <cellStyle name="_LSP Bali - November 2008 (5)_Laporan Harian Dispatcher_2010_Light Truck" xfId="1286"/>
    <cellStyle name="_LSP Bali - November 2008 (5)_Laporan Harian Dispatcher_2010_Light Truck_LHD" xfId="1287"/>
    <cellStyle name="_LSP Bali - November 2008 (5)_Laporan Harian Dispatcher_2010-11_Heavy Truck" xfId="1288"/>
    <cellStyle name="_LSP Bali - November 2008 (5)_Laporan Harian Dispatcher_2010-11_Light Truck" xfId="1289"/>
    <cellStyle name="_LSP Bali - November 2008 (5)_Laporan Harian Dispatcher_2010-11_Light Truck_LHD" xfId="1290"/>
    <cellStyle name="_LSP Bali - November 2008 (5)_LHD" xfId="1291"/>
    <cellStyle name="_LSP Bali - November 2008 (5)_LHD_2010-12_Heavy Truck" xfId="1292"/>
    <cellStyle name="_LSP Bali - November 2008 (5)_LHD_2010-12_Light Truck" xfId="1293"/>
    <cellStyle name="_LSP Bali - November 2008 (5)_LHD_2010-12_Light Truck_LHD" xfId="1294"/>
    <cellStyle name="_LSP Bali - November 2008 (5)_LHD_Heavy Truck 2011-01" xfId="1295"/>
    <cellStyle name="_LSP Bali - November 2008 (5)_Performance Review 091112" xfId="1296"/>
    <cellStyle name="_LSP Bali - November 2008 (5)_PL Oktober" xfId="1297"/>
    <cellStyle name="_LSP Bali januari 09" xfId="1298"/>
    <cellStyle name="_LSP Bali januari 09 2" xfId="1299"/>
    <cellStyle name="_LSP Bali januari 09_AP Logistic 2010 Konsolidasi (091110)" xfId="1300"/>
    <cellStyle name="_LSP Bali januari 09_AP Logistic 2010 Konsolidasi (091111) 1830" xfId="1301"/>
    <cellStyle name="_LSP Bali januari 09_AP Logistic 2010 Konsolidasi (091111) 2230" xfId="1302"/>
    <cellStyle name="_LSP Bali januari 09_AP Logistic 2010 Konsolidasi (091115) 1830" xfId="1303"/>
    <cellStyle name="_LSP Bali januari 09_AP Logistic 2010 Konsolidasi (091116) 1340" xfId="1304"/>
    <cellStyle name="_LSP Bali januari 09_AP Logistic 2010 Konsolidasi (091116) 1700" xfId="1305"/>
    <cellStyle name="_LSP Bali januari 09_FINAL - Buku Saku3" xfId="1306"/>
    <cellStyle name="_LSP Bali januari 09_Laporan Harian Dispatcher_2010_Heavy Truck" xfId="1307"/>
    <cellStyle name="_LSP Bali januari 09_Laporan Harian Dispatcher_2010_Heavy Truck2" xfId="1308"/>
    <cellStyle name="_LSP Bali januari 09_Laporan Harian Dispatcher_2010_Light Truck" xfId="1309"/>
    <cellStyle name="_LSP Bali januari 09_Laporan Harian Dispatcher_2010_Light Truck_LHD" xfId="1310"/>
    <cellStyle name="_LSP Bali januari 09_Laporan Harian Dispatcher_2010-11_Heavy Truck" xfId="1311"/>
    <cellStyle name="_LSP Bali januari 09_Laporan Harian Dispatcher_2010-11_Light Truck" xfId="1312"/>
    <cellStyle name="_LSP Bali januari 09_Laporan Harian Dispatcher_2010-11_Light Truck_LHD" xfId="1313"/>
    <cellStyle name="_LSP Bali januari 09_LHD" xfId="1314"/>
    <cellStyle name="_LSP Bali januari 09_LHD_2010-12_Heavy Truck" xfId="1315"/>
    <cellStyle name="_LSP Bali januari 09_LHD_2010-12_Light Truck" xfId="1316"/>
    <cellStyle name="_LSP Bali januari 09_LHD_2010-12_Light Truck_LHD" xfId="1317"/>
    <cellStyle name="_LSP Bali januari 09_LHD_Heavy Truck 2011-01" xfId="1318"/>
    <cellStyle name="_LSP Bali januari 09_Performance Review 091112" xfId="1319"/>
    <cellStyle name="_LSP Bali januari 09_PL Oktober" xfId="1320"/>
    <cellStyle name="_Makassar 2007" xfId="1321"/>
    <cellStyle name="_Makassar 2007 2" xfId="1322"/>
    <cellStyle name="_Makassar 2007_AP Logistic 2010 Konsolidasi (091110)" xfId="1323"/>
    <cellStyle name="_Makassar 2007_AP Logistic 2010 Konsolidasi (091111) 1830" xfId="1324"/>
    <cellStyle name="_Makassar 2007_AP Logistic 2010 Konsolidasi (091111) 2230" xfId="1325"/>
    <cellStyle name="_Makassar 2007_AP Logistic 2010 Konsolidasi (091115) 1830" xfId="1326"/>
    <cellStyle name="_Makassar 2007_AP Logistic 2010 Konsolidasi (091116) 1340" xfId="1327"/>
    <cellStyle name="_Makassar 2007_AP Logistic 2010 Konsolidasi (091116) 1700" xfId="1328"/>
    <cellStyle name="_Makassar 2007_FINAL - Buku Saku3" xfId="1329"/>
    <cellStyle name="_Makassar 2007_Laporan Harian Dispatcher_2010_Heavy Truck" xfId="1330"/>
    <cellStyle name="_Makassar 2007_Laporan Harian Dispatcher_2010_Heavy Truck2" xfId="1331"/>
    <cellStyle name="_Makassar 2007_Laporan Harian Dispatcher_2010_Light Truck" xfId="1332"/>
    <cellStyle name="_Makassar 2007_Laporan Harian Dispatcher_2010_Light Truck_LHD" xfId="1333"/>
    <cellStyle name="_Makassar 2007_Laporan Harian Dispatcher_2010-11_Heavy Truck" xfId="1334"/>
    <cellStyle name="_Makassar 2007_Laporan Harian Dispatcher_2010-11_Light Truck" xfId="1335"/>
    <cellStyle name="_Makassar 2007_Laporan Harian Dispatcher_2010-11_Light Truck_LHD" xfId="1336"/>
    <cellStyle name="_Makassar 2007_LHD" xfId="1337"/>
    <cellStyle name="_Makassar 2007_LHD_2010-12_Heavy Truck" xfId="1338"/>
    <cellStyle name="_Makassar 2007_LHD_2010-12_Heavy Truck 2" xfId="1339"/>
    <cellStyle name="_Makassar 2007_LHD_2010-12_Heavy Truck 3" xfId="1340"/>
    <cellStyle name="_Makassar 2007_LHD_2010-12_Light Truck" xfId="1341"/>
    <cellStyle name="_Makassar 2007_LHD_2010-12_Light Truck_LHD" xfId="1342"/>
    <cellStyle name="_Makassar 2007_LHD_Heavy Truck 2011-01" xfId="1343"/>
    <cellStyle name="_Makassar 2007_Performance Review 091112" xfId="1344"/>
    <cellStyle name="_Makassar 2007_PL Oktober" xfId="1345"/>
    <cellStyle name="_Makassar Operation Performance Review Maret 2007" xfId="1346"/>
    <cellStyle name="_Makassar Operation Performance Review Maret 2007 2" xfId="1347"/>
    <cellStyle name="_Makassar Operation Performance Review Maret 2007_AP Logistic 2010 Konsolidasi (091110)" xfId="1348"/>
    <cellStyle name="_Makassar Operation Performance Review Maret 2007_AP Logistic 2010 Konsolidasi (091111) 1830" xfId="1349"/>
    <cellStyle name="_Makassar Operation Performance Review Maret 2007_AP Logistic 2010 Konsolidasi (091111) 2230" xfId="1350"/>
    <cellStyle name="_Makassar Operation Performance Review Maret 2007_AP Logistic 2010 Konsolidasi (091115) 1830" xfId="1351"/>
    <cellStyle name="_Makassar Operation Performance Review Maret 2007_AP Logistic 2010 Konsolidasi (091116) 1340" xfId="1352"/>
    <cellStyle name="_Makassar Operation Performance Review Maret 2007_AP Logistic 2010 Konsolidasi (091116) 1700" xfId="1353"/>
    <cellStyle name="_Makassar Operation Performance Review Maret 2007_FINAL - Buku Saku3" xfId="1354"/>
    <cellStyle name="_Makassar Operation Performance Review Maret 2007_Laporan Harian Dispatcher_2010_Heavy Truck" xfId="1355"/>
    <cellStyle name="_Makassar Operation Performance Review Maret 2007_Laporan Harian Dispatcher_2010_Heavy Truck2" xfId="1356"/>
    <cellStyle name="_Makassar Operation Performance Review Maret 2007_Laporan Harian Dispatcher_2010_Light Truck" xfId="1357"/>
    <cellStyle name="_Makassar Operation Performance Review Maret 2007_Laporan Harian Dispatcher_2010_Light Truck_LHD" xfId="1358"/>
    <cellStyle name="_Makassar Operation Performance Review Maret 2007_Laporan Harian Dispatcher_2010-11_Heavy Truck" xfId="1359"/>
    <cellStyle name="_Makassar Operation Performance Review Maret 2007_Laporan Harian Dispatcher_2010-11_Light Truck" xfId="1360"/>
    <cellStyle name="_Makassar Operation Performance Review Maret 2007_Laporan Harian Dispatcher_2010-11_Light Truck_LHD" xfId="1361"/>
    <cellStyle name="_Makassar Operation Performance Review Maret 2007_LHD" xfId="1362"/>
    <cellStyle name="_Makassar Operation Performance Review Maret 2007_LHD_2010-12_Heavy Truck" xfId="1363"/>
    <cellStyle name="_Makassar Operation Performance Review Maret 2007_LHD_2010-12_Light Truck" xfId="1364"/>
    <cellStyle name="_Makassar Operation Performance Review Maret 2007_LHD_2010-12_Light Truck_LHD" xfId="1365"/>
    <cellStyle name="_Makassar Operation Performance Review Maret 2007_LHD_Heavy Truck 2011-01" xfId="1366"/>
    <cellStyle name="_Makassar Operation Performance Review Maret 2007_Performance Review 091112" xfId="1367"/>
    <cellStyle name="_Makassar Operation Performance Review Maret 2007_PL Oktober" xfId="1368"/>
    <cellStyle name="_Mutasi unit nov 07" xfId="1369"/>
    <cellStyle name="_Mutasi unit nov 07_12 Laporan Stock Pool MKS Desember 2008 (2)" xfId="1370"/>
    <cellStyle name="_Mutasi unit nov 07_12 Laporan Stock Pool MKS Desember 2008 (2)_AP Logistic 2010 Konsolidasi (091110)" xfId="1371"/>
    <cellStyle name="_Mutasi unit nov 07_12 Laporan Stock Pool MKS Desember 2008 (2)_AP Logistic 2010 Konsolidasi (091111) 1830" xfId="1372"/>
    <cellStyle name="_Mutasi unit nov 07_12 Laporan Stock Pool MKS Desember 2008 (2)_AP Logistic 2010 Konsolidasi (091111) 2230" xfId="1373"/>
    <cellStyle name="_Mutasi unit nov 07_12 Laporan Stock Pool MKS Desember 2008 (2)_AP Logistic 2010 Konsolidasi (091115) 1830" xfId="1374"/>
    <cellStyle name="_Mutasi unit nov 07_12 Laporan Stock Pool MKS Desember 2008 (2)_AP Logistic 2010 Konsolidasi (091116) 1340" xfId="1375"/>
    <cellStyle name="_Mutasi unit nov 07_12 Laporan Stock Pool MKS Desember 2008 (2)_AP Logistic 2010 Konsolidasi (091116) 1700" xfId="1376"/>
    <cellStyle name="_Mutasi unit nov 07_12 Laporan Stock Pool MKS Desember 2008 (2)_LHD" xfId="1377"/>
    <cellStyle name="_Mutasi unit nov 07_12 Laporan Stock Pool MKS Desember 2008 (2)_Performance Review 091112" xfId="1378"/>
    <cellStyle name="_Mutasi unit nov 07_AP Logistic 2010 Konsolidasi (091110)" xfId="1379"/>
    <cellStyle name="_Mutasi unit nov 07_AP Logistic 2010 Konsolidasi (091111) 1830" xfId="1380"/>
    <cellStyle name="_Mutasi unit nov 07_AP Logistic 2010 Konsolidasi (091111) 2230" xfId="1381"/>
    <cellStyle name="_Mutasi unit nov 07_AP Logistic 2010 Konsolidasi (091115) 1830" xfId="1382"/>
    <cellStyle name="_Mutasi unit nov 07_AP Logistic 2010 Konsolidasi (091116) 1340" xfId="1383"/>
    <cellStyle name="_Mutasi unit nov 07_AP Logistic 2010 Konsolidasi (091116) 1700" xfId="1384"/>
    <cellStyle name="_Mutasi unit nov 07_LHD" xfId="1385"/>
    <cellStyle name="_Mutasi unit nov 07_Performance Review 091112" xfId="1386"/>
    <cellStyle name="_NEW" xfId="1387"/>
    <cellStyle name="_NEW PICA ruli" xfId="1388"/>
    <cellStyle name="_NEW PICA ruli 2" xfId="1389"/>
    <cellStyle name="_NEW PICA ruli 3" xfId="1390"/>
    <cellStyle name="_NEW PICA ruli 4" xfId="1391"/>
    <cellStyle name="_NEW PICA ruli 5" xfId="1392"/>
    <cellStyle name="_NEW PICA ruli 6" xfId="1393"/>
    <cellStyle name="_NEW PICA ruli 7" xfId="1394"/>
    <cellStyle name="_NEW PICA ruli 8" xfId="1395"/>
    <cellStyle name="_NEW PICA ruli_LHD" xfId="1396"/>
    <cellStyle name="_operation new april" xfId="1397"/>
    <cellStyle name="_operation new april 2" xfId="1398"/>
    <cellStyle name="_operation new april_AP Logistic 2010 Konsolidasi (091110)" xfId="1399"/>
    <cellStyle name="_operation new april_AP Logistic 2010 Konsolidasi (091111) 1830" xfId="1400"/>
    <cellStyle name="_operation new april_AP Logistic 2010 Konsolidasi (091111) 2230" xfId="1401"/>
    <cellStyle name="_operation new april_AP Logistic 2010 Konsolidasi (091115) 1830" xfId="1402"/>
    <cellStyle name="_operation new april_AP Logistic 2010 Konsolidasi (091116) 1340" xfId="1403"/>
    <cellStyle name="_operation new april_AP Logistic 2010 Konsolidasi (091116) 1700" xfId="1404"/>
    <cellStyle name="_operation new april_FINAL - Buku Saku3" xfId="1405"/>
    <cellStyle name="_operation new april_Laporan Harian Dispatcher_2010_Heavy Truck" xfId="1406"/>
    <cellStyle name="_operation new april_Laporan Harian Dispatcher_2010_Heavy Truck2" xfId="1407"/>
    <cellStyle name="_operation new april_Laporan Harian Dispatcher_2010_Light Truck" xfId="1408"/>
    <cellStyle name="_operation new april_Laporan Harian Dispatcher_2010_Light Truck_LHD" xfId="1409"/>
    <cellStyle name="_operation new april_Laporan Harian Dispatcher_2010-11_Heavy Truck" xfId="1410"/>
    <cellStyle name="_operation new april_Laporan Harian Dispatcher_2010-11_Light Truck" xfId="1411"/>
    <cellStyle name="_operation new april_Laporan Harian Dispatcher_2010-11_Light Truck_LHD" xfId="1412"/>
    <cellStyle name="_operation new april_LHD" xfId="1413"/>
    <cellStyle name="_operation new april_LHD_2010-12_Heavy Truck" xfId="1414"/>
    <cellStyle name="_operation new april_LHD_2010-12_Light Truck" xfId="1415"/>
    <cellStyle name="_operation new april_LHD_2010-12_Light Truck_LHD" xfId="1416"/>
    <cellStyle name="_operation new april_LHD_Heavy Truck 2011-01" xfId="1417"/>
    <cellStyle name="_operation new april_Performance Review 091112" xfId="1418"/>
    <cellStyle name="_operation new april_PL Oktober" xfId="1419"/>
    <cellStyle name="_Performance review UIO Maret 2007" xfId="1420"/>
    <cellStyle name="_Performance review UIO Maret 2007 2" xfId="1421"/>
    <cellStyle name="_Performance review UIO Maret 2007 3" xfId="1422"/>
    <cellStyle name="_Performance review UIO Maret 2007 4" xfId="1423"/>
    <cellStyle name="_Performance review UIO Maret 2007 5" xfId="1424"/>
    <cellStyle name="_Performance review UIO Maret 2007 6" xfId="1425"/>
    <cellStyle name="_Performance review UIO Maret 2007 7" xfId="1426"/>
    <cellStyle name="_Performance review UIO Maret 2007 8" xfId="1427"/>
    <cellStyle name="_Performance review UIO Maret 2007_Book1" xfId="1428"/>
    <cellStyle name="_Performance review UIO Maret 2007_LHD" xfId="1429"/>
    <cellStyle name="_Performance review UIO Maret 2007_PL Oktober" xfId="1430"/>
    <cellStyle name="_Performance review UIO Maret 2007_Reimburst HO" xfId="1431"/>
    <cellStyle name="_Performance review UIO Maret 2007_Reimburst HO 2" xfId="1432"/>
    <cellStyle name="_Performance review UIO Maret 2007_Reimburst HO 3" xfId="1433"/>
    <cellStyle name="_Performance review UIO Maret 2007_Reimburst HO 4" xfId="1434"/>
    <cellStyle name="_Performance review UIO Maret 2007_Reimburst HO 5" xfId="1435"/>
    <cellStyle name="_Performance review UIO Maret 2007_Reimburst HO 6" xfId="1436"/>
    <cellStyle name="_Performance review UIO Maret 2007_Reimburst HO 7" xfId="1437"/>
    <cellStyle name="_Performance review UIO Maret 2007_Reimburst HO 8" xfId="1438"/>
    <cellStyle name="_Performance review UIO Maret 2007_Reimburst HO_LHD" xfId="1439"/>
    <cellStyle name="_PERSONAL" xfId="1440"/>
    <cellStyle name="_PERSONAL_Book1" xfId="1441"/>
    <cellStyle name="_PERSONAL_Book1_Book1" xfId="1442"/>
    <cellStyle name="_PERSONAL_Book1_THU CHI TIEN" xfId="1443"/>
    <cellStyle name="_PERSONAL_HTQ.8 GD1" xfId="1444"/>
    <cellStyle name="_PERSONAL_TH KE" xfId="1445"/>
    <cellStyle name="_PERSONAL_THU CHI TIEN" xfId="1446"/>
    <cellStyle name="_PERSONAL_TKE" xfId="1447"/>
    <cellStyle name="_PERSONAL_Tong hop KHCB 2001" xfId="1448"/>
    <cellStyle name="_Pica final mei" xfId="1449"/>
    <cellStyle name="_Pica final mei 2" xfId="1450"/>
    <cellStyle name="_Pica final mei 3" xfId="1451"/>
    <cellStyle name="_Pica final mei 4" xfId="1452"/>
    <cellStyle name="_Pica final mei 5" xfId="1453"/>
    <cellStyle name="_Pica final mei 6" xfId="1454"/>
    <cellStyle name="_Pica final mei 7" xfId="1455"/>
    <cellStyle name="_Pica final mei 8" xfId="1456"/>
    <cellStyle name="_Pica final mei_LHD" xfId="1457"/>
    <cellStyle name="_PICA PERFORMANCE MEI 2007" xfId="1458"/>
    <cellStyle name="_PICA PERFORMANCE MEI 2007 2" xfId="1459"/>
    <cellStyle name="_PICA PERFORMANCE MEI 2007 3" xfId="1460"/>
    <cellStyle name="_PICA PERFORMANCE MEI 2007 4" xfId="1461"/>
    <cellStyle name="_PICA PERFORMANCE MEI 2007 5" xfId="1462"/>
    <cellStyle name="_PICA PERFORMANCE MEI 2007 6" xfId="1463"/>
    <cellStyle name="_PICA PERFORMANCE MEI 2007 7" xfId="1464"/>
    <cellStyle name="_PICA PERFORMANCE MEI 2007 8" xfId="1465"/>
    <cellStyle name="_PICA PERFORMANCE MEI 2007_LHD" xfId="1466"/>
    <cellStyle name="_Q1 - CC" xfId="1467"/>
    <cellStyle name="_Q1 - CC 2" xfId="1468"/>
    <cellStyle name="_Q1 - CC 3" xfId="1469"/>
    <cellStyle name="_Q1 - CC 4" xfId="1470"/>
    <cellStyle name="_Q1 - CC 5" xfId="1471"/>
    <cellStyle name="_Q1 - CC 6" xfId="1472"/>
    <cellStyle name="_Q1 - CC 7" xfId="1473"/>
    <cellStyle name="_Q1 - CC 8" xfId="1474"/>
    <cellStyle name="_Q1 - CC_Book1" xfId="1475"/>
    <cellStyle name="_Q1 - CC_LHD" xfId="1476"/>
    <cellStyle name="_Q1 - CC_PL Oktober" xfId="1477"/>
    <cellStyle name="_Q1 - CC_Reimburst HO" xfId="1478"/>
    <cellStyle name="_Q1 - CC_Reimburst HO 2" xfId="1479"/>
    <cellStyle name="_Q1 - CC_Reimburst HO 3" xfId="1480"/>
    <cellStyle name="_Q1 - CC_Reimburst HO 4" xfId="1481"/>
    <cellStyle name="_Q1 - CC_Reimburst HO 5" xfId="1482"/>
    <cellStyle name="_Q1 - CC_Reimburst HO 6" xfId="1483"/>
    <cellStyle name="_Q1 - CC_Reimburst HO 7" xfId="1484"/>
    <cellStyle name="_Q1 - CC_Reimburst HO 8" xfId="1485"/>
    <cellStyle name="_Q1 - CC_Reimburst HO_LHD" xfId="1486"/>
    <cellStyle name="_Qt-HT3PQ1(CauKho)" xfId="1487"/>
    <cellStyle name="_Reconcille UIO HO vs UIO Cabang Jan 07" xfId="1488"/>
    <cellStyle name="_Reconcille UIO HO vs UIO Cabang Jan 07 2" xfId="1489"/>
    <cellStyle name="_Reconcille UIO HO vs UIO Cabang Jan 07 3" xfId="1490"/>
    <cellStyle name="_Reconcille UIO HO vs UIO Cabang Jan 07 4" xfId="1491"/>
    <cellStyle name="_Reconcille UIO HO vs UIO Cabang Jan 07 5" xfId="1492"/>
    <cellStyle name="_Reconcille UIO HO vs UIO Cabang Jan 07 6" xfId="1493"/>
    <cellStyle name="_Reconcille UIO HO vs UIO Cabang Jan 07 7" xfId="1494"/>
    <cellStyle name="_Reconcille UIO HO vs UIO Cabang Jan 07 8" xfId="1495"/>
    <cellStyle name="_Reconcille UIO HO vs UIO Cabang Jan 07 9" xfId="1496"/>
    <cellStyle name="_Reconcille UIO HO vs UIO Cabang Jan 07_AP Logistic 2010 Konsolidasi (091110)" xfId="1497"/>
    <cellStyle name="_Reconcille UIO HO vs UIO Cabang Jan 07_AP Logistic 2010 Konsolidasi (091111) 1830" xfId="1498"/>
    <cellStyle name="_Reconcille UIO HO vs UIO Cabang Jan 07_AP Logistic 2010 Konsolidasi (091111) 2230" xfId="1499"/>
    <cellStyle name="_Reconcille UIO HO vs UIO Cabang Jan 07_AP Logistic 2010 Konsolidasi (091115) 1830" xfId="1500"/>
    <cellStyle name="_Reconcille UIO HO vs UIO Cabang Jan 07_AP Logistic 2010 Konsolidasi (091116) 1340" xfId="1501"/>
    <cellStyle name="_Reconcille UIO HO vs UIO Cabang Jan 07_AP Logistic 2010 Konsolidasi (091116) 1700" xfId="1502"/>
    <cellStyle name="_Reconcille UIO HO vs UIO Cabang Jan 07_Book1" xfId="1503"/>
    <cellStyle name="_Reconcille UIO HO vs UIO Cabang Jan 07_Book1_Laporan Harian Dispatcher_2010_Heavy Truck" xfId="1504"/>
    <cellStyle name="_Reconcille UIO HO vs UIO Cabang Jan 07_Book1_Laporan Harian Dispatcher_2010_Heavy Truck2" xfId="1505"/>
    <cellStyle name="_Reconcille UIO HO vs UIO Cabang Jan 07_Book1_Laporan Harian Dispatcher_2010_Light Truck" xfId="1506"/>
    <cellStyle name="_Reconcille UIO HO vs UIO Cabang Jan 07_Book1_Laporan Harian Dispatcher_2010_Light Truck_LHD" xfId="1507"/>
    <cellStyle name="_Reconcille UIO HO vs UIO Cabang Jan 07_Book1_Laporan Harian Dispatcher_2010-11_Heavy Truck" xfId="1508"/>
    <cellStyle name="_Reconcille UIO HO vs UIO Cabang Jan 07_Book1_Laporan Harian Dispatcher_2010-11_Light Truck" xfId="1509"/>
    <cellStyle name="_Reconcille UIO HO vs UIO Cabang Jan 07_Book1_Laporan Harian Dispatcher_2010-11_Light Truck_LHD" xfId="1510"/>
    <cellStyle name="_Reconcille UIO HO vs UIO Cabang Jan 07_Book1_LHD" xfId="1511"/>
    <cellStyle name="_Reconcille UIO HO vs UIO Cabang Jan 07_Book1_LHD_2010-12_Heavy Truck" xfId="1512"/>
    <cellStyle name="_Reconcille UIO HO vs UIO Cabang Jan 07_Book1_LHD_2010-12_Light Truck" xfId="1513"/>
    <cellStyle name="_Reconcille UIO HO vs UIO Cabang Jan 07_Book1_LHD_2010-12_Light Truck_LHD" xfId="1514"/>
    <cellStyle name="_Reconcille UIO HO vs UIO Cabang Jan 07_Book1_LHD_Heavy Truck 2011-01" xfId="1515"/>
    <cellStyle name="_Reconcille UIO HO vs UIO Cabang Jan 07_Book1_PL Oktober" xfId="1516"/>
    <cellStyle name="_Reconcille UIO HO vs UIO Cabang Jan 07_FINAL - Buku Saku3" xfId="1517"/>
    <cellStyle name="_Reconcille UIO HO vs UIO Cabang Jan 07_lap  SerPo PNTK Des  08 (2)" xfId="1518"/>
    <cellStyle name="_Reconcille UIO HO vs UIO Cabang Jan 07_lap  SerPo PNTK Des  08 (2)_LHD" xfId="1519"/>
    <cellStyle name="_Reconcille UIO HO vs UIO Cabang Jan 07_lap  SerPo PNTK Des  08 (3)" xfId="1520"/>
    <cellStyle name="_Reconcille UIO HO vs UIO Cabang Jan 07_lap  SerPo PNTK Des  08 (3)_LHD" xfId="1521"/>
    <cellStyle name="_Reconcille UIO HO vs UIO Cabang Jan 07_lap  SerPo PNTK November  08" xfId="1522"/>
    <cellStyle name="_Reconcille UIO HO vs UIO Cabang Jan 07_lap  SerPo PNTK November  08_LHD" xfId="1523"/>
    <cellStyle name="_Reconcille UIO HO vs UIO Cabang Jan 07_LHD" xfId="1524"/>
    <cellStyle name="_Reconcille UIO HO vs UIO Cabang Jan 07_Performance Review 091112" xfId="1525"/>
    <cellStyle name="_Recons Cab vs UIO HO Feb 07" xfId="1526"/>
    <cellStyle name="_Recons Cab vs UIO HO Feb 07 2" xfId="1527"/>
    <cellStyle name="_Recons Cab vs UIO HO Feb 07 3" xfId="1528"/>
    <cellStyle name="_Recons Cab vs UIO HO Feb 07 4" xfId="1529"/>
    <cellStyle name="_Recons Cab vs UIO HO Feb 07 5" xfId="1530"/>
    <cellStyle name="_Recons Cab vs UIO HO Feb 07 6" xfId="1531"/>
    <cellStyle name="_Recons Cab vs UIO HO Feb 07 7" xfId="1532"/>
    <cellStyle name="_Recons Cab vs UIO HO Feb 07 8" xfId="1533"/>
    <cellStyle name="_Recons Cab vs UIO HO Feb 07_LHD" xfId="1534"/>
    <cellStyle name="_Rekons" xfId="1535"/>
    <cellStyle name="_Rekons 2" xfId="1536"/>
    <cellStyle name="_Rekons_AP Logistic 2010 Konsolidasi (091110)" xfId="1537"/>
    <cellStyle name="_Rekons_AP Logistic 2010 Konsolidasi (091111) 1830" xfId="1538"/>
    <cellStyle name="_Rekons_AP Logistic 2010 Konsolidasi (091111) 2230" xfId="1539"/>
    <cellStyle name="_Rekons_AP Logistic 2010 Konsolidasi (091115) 1830" xfId="1540"/>
    <cellStyle name="_Rekons_AP Logistic 2010 Konsolidasi (091116) 1340" xfId="1541"/>
    <cellStyle name="_Rekons_AP Logistic 2010 Konsolidasi (091116) 1700" xfId="1542"/>
    <cellStyle name="_Rekons_FINAL - Buku Saku3" xfId="1543"/>
    <cellStyle name="_Rekons_Laporan Harian Dispatcher_2010_Heavy Truck" xfId="1544"/>
    <cellStyle name="_Rekons_Laporan Harian Dispatcher_2010_Heavy Truck2" xfId="1545"/>
    <cellStyle name="_Rekons_Laporan Harian Dispatcher_2010_Light Truck" xfId="1546"/>
    <cellStyle name="_Rekons_Laporan Harian Dispatcher_2010_Light Truck_LHD" xfId="1547"/>
    <cellStyle name="_Rekons_Laporan Harian Dispatcher_2010-11_Heavy Truck" xfId="1548"/>
    <cellStyle name="_Rekons_Laporan Harian Dispatcher_2010-11_Light Truck" xfId="1549"/>
    <cellStyle name="_Rekons_Laporan Harian Dispatcher_2010-11_Light Truck_LHD" xfId="1550"/>
    <cellStyle name="_Rekons_LHD" xfId="1551"/>
    <cellStyle name="_Rekons_LHD_2010-12_Heavy Truck" xfId="1552"/>
    <cellStyle name="_Rekons_LHD_2010-12_Light Truck" xfId="1553"/>
    <cellStyle name="_Rekons_LHD_2010-12_Light Truck_LHD" xfId="1554"/>
    <cellStyle name="_Rekons_LHD_Heavy Truck 2011-01" xfId="1555"/>
    <cellStyle name="_Rekons_Performance Review 091112" xfId="1556"/>
    <cellStyle name="_Rekons_PL Oktober" xfId="1557"/>
    <cellStyle name="_Report Disposal" xfId="1558"/>
    <cellStyle name="_Report Disposal_AP 2009 Trip-Basis Moderate (Update Ferdi 1 November 2008)" xfId="1559"/>
    <cellStyle name="_Report Disposal_AP 2009 Trip-Basis Moderate (Update Ferdi 15 Oktober 2008)" xfId="1560"/>
    <cellStyle name="_Report Disposal_AP 2009 Trip-Basis Moderate (Update Ferdi 15 Oktober 2008)_AP Logistic 2010 Konsolidasi (091110)" xfId="1561"/>
    <cellStyle name="_Report Disposal_AP 2009 Trip-Basis Moderate (Update Ferdi 15 Oktober 2008)_AP Logistic 2010 Konsolidasi (091111) 1830" xfId="1562"/>
    <cellStyle name="_Report Disposal_AP 2009 Trip-Basis Moderate (Update Ferdi 15 Oktober 2008)_AP Logistic 2010 Konsolidasi (091111) 2230" xfId="1563"/>
    <cellStyle name="_Report Disposal_AP 2009 Trip-Basis Moderate (Update Ferdi 15 Oktober 2008)_AP Logistic 2010 Konsolidasi (091115) 1830" xfId="1564"/>
    <cellStyle name="_Report Disposal_AP 2009 Trip-Basis Moderate (Update Ferdi 15 Oktober 2008)_AP Logistic 2010 Konsolidasi (091116) 1340" xfId="1565"/>
    <cellStyle name="_Report Disposal_AP 2009 Trip-Basis Moderate (Update Ferdi 15 Oktober 2008)_AP Logistic 2010 Konsolidasi (091116) 1700" xfId="1566"/>
    <cellStyle name="_Report Disposal_AP 2009 Trip-Basis Moderate (Update Ferdi 15 Oktober 2008)_Performance Review 091112" xfId="1567"/>
    <cellStyle name="_Report Disposal_AP Logistic 2010 Konsolidasi (091110)" xfId="1568"/>
    <cellStyle name="_Report Disposal_AP Logistic 2010 Konsolidasi (091111) 1830" xfId="1569"/>
    <cellStyle name="_Report Disposal_AP Logistic 2010 Konsolidasi (091111) 2230" xfId="1570"/>
    <cellStyle name="_Report Disposal_AP Logistic 2010 Konsolidasi (091115) 1830" xfId="1571"/>
    <cellStyle name="_Report Disposal_AP Logistic 2010 Konsolidasi (091116) 1340" xfId="1572"/>
    <cellStyle name="_Report Disposal_AP Logistic 2010 Konsolidasi (091116) 1700" xfId="1573"/>
    <cellStyle name="_Report Disposal_Database Depreciation" xfId="1574"/>
    <cellStyle name="_Report Disposal_Performance Review 091112" xfId="1575"/>
    <cellStyle name="_SLS--bdg- Jan'07 (Comment)" xfId="1576"/>
    <cellStyle name="_SLS--bdg- Jan'07 (Comment) 2" xfId="1577"/>
    <cellStyle name="_SLS--bdg- Jan'07 (Comment) 3" xfId="1578"/>
    <cellStyle name="_SLS--bdg- Jan'07 (Comment) 4" xfId="1579"/>
    <cellStyle name="_SLS--bdg- Jan'07 (Comment) 5" xfId="1580"/>
    <cellStyle name="_SLS--bdg- Jan'07 (Comment) 6" xfId="1581"/>
    <cellStyle name="_SLS--bdg- Jan'07 (Comment) 7" xfId="1582"/>
    <cellStyle name="_SLS--bdg- Jan'07 (Comment) 8" xfId="1583"/>
    <cellStyle name="_SLS--bdg- Jan'07 (Comment) 9" xfId="1584"/>
    <cellStyle name="_SLS--bdg- Jan'07 (Comment)_AP 2009 Trip-Basis Moderate (Update Ferdi 1 November 2008)" xfId="1585"/>
    <cellStyle name="_SLS--bdg- Jan'07 (Comment)_Book1" xfId="1586"/>
    <cellStyle name="_SLS--bdg- Jan'07 (Comment)_Book1_Laporan Harian Dispatcher_2010_Heavy Truck" xfId="1587"/>
    <cellStyle name="_SLS--bdg- Jan'07 (Comment)_Book1_Laporan Harian Dispatcher_2010_Heavy Truck2" xfId="1588"/>
    <cellStyle name="_SLS--bdg- Jan'07 (Comment)_Book1_Laporan Harian Dispatcher_2010_Light Truck" xfId="1589"/>
    <cellStyle name="_SLS--bdg- Jan'07 (Comment)_Book1_Laporan Harian Dispatcher_2010_Light Truck_LHD" xfId="1590"/>
    <cellStyle name="_SLS--bdg- Jan'07 (Comment)_Book1_Laporan Harian Dispatcher_2010-11_Heavy Truck" xfId="1591"/>
    <cellStyle name="_SLS--bdg- Jan'07 (Comment)_Book1_Laporan Harian Dispatcher_2010-11_Light Truck" xfId="1592"/>
    <cellStyle name="_SLS--bdg- Jan'07 (Comment)_Book1_Laporan Harian Dispatcher_2010-11_Light Truck_LHD" xfId="1593"/>
    <cellStyle name="_SLS--bdg- Jan'07 (Comment)_Book1_LHD" xfId="1594"/>
    <cellStyle name="_SLS--bdg- Jan'07 (Comment)_Book1_LHD_2010-12_Heavy Truck" xfId="1595"/>
    <cellStyle name="_SLS--bdg- Jan'07 (Comment)_Book1_LHD_2010-12_Light Truck" xfId="1596"/>
    <cellStyle name="_SLS--bdg- Jan'07 (Comment)_Book1_LHD_2010-12_Light Truck_LHD" xfId="1597"/>
    <cellStyle name="_SLS--bdg- Jan'07 (Comment)_Book1_LHD_Heavy Truck 2011-01" xfId="1598"/>
    <cellStyle name="_SLS--bdg- Jan'07 (Comment)_Book1_PL Oktober" xfId="1599"/>
    <cellStyle name="_SLS--bdg- Jan'07 (Comment)_FINAL - Buku Saku3" xfId="1600"/>
    <cellStyle name="_SLS--bdg- Jan'07 (Comment)_lap  SerPo PNTK Des  08 (2)" xfId="1601"/>
    <cellStyle name="_SLS--bdg- Jan'07 (Comment)_lap  SerPo PNTK Des  08 (2)_LHD" xfId="1602"/>
    <cellStyle name="_SLS--bdg- Jan'07 (Comment)_lap  SerPo PNTK Des  08 (3)" xfId="1603"/>
    <cellStyle name="_SLS--bdg- Jan'07 (Comment)_lap  SerPo PNTK Des  08 (3)_LHD" xfId="1604"/>
    <cellStyle name="_SLS--bdg- Jan'07 (Comment)_lap  SerPo PNTK November  08" xfId="1605"/>
    <cellStyle name="_SLS--bdg- Jan'07 (Comment)_lap  SerPo PNTK November  08_LHD" xfId="1606"/>
    <cellStyle name="_SLS--bdg- Jan'07 (Comment)_LAP. STOCK MEI  2010" xfId="1607"/>
    <cellStyle name="_SLS--bdg- Jan'07 (Comment)_LHD" xfId="1608"/>
    <cellStyle name="_SLS--bdg- Jan'07 (Comment)_LSP Bali - November 2008 (5)" xfId="1609"/>
    <cellStyle name="_SLS--bdg- Jan'07 (Comment)_LSP Bali - November 2008 (5) 2" xfId="1610"/>
    <cellStyle name="_SLS--bdg- Jan'07 (Comment)_LSP Bali - November 2008 (5)_AP Logistic 2010 Konsolidasi (091110)" xfId="1611"/>
    <cellStyle name="_SLS--bdg- Jan'07 (Comment)_LSP Bali - November 2008 (5)_AP Logistic 2010 Konsolidasi (091111) 1830" xfId="1612"/>
    <cellStyle name="_SLS--bdg- Jan'07 (Comment)_LSP Bali - November 2008 (5)_AP Logistic 2010 Konsolidasi (091111) 2230" xfId="1613"/>
    <cellStyle name="_SLS--bdg- Jan'07 (Comment)_LSP Bali - November 2008 (5)_AP Logistic 2010 Konsolidasi (091115) 1830" xfId="1614"/>
    <cellStyle name="_SLS--bdg- Jan'07 (Comment)_LSP Bali - November 2008 (5)_AP Logistic 2010 Konsolidasi (091116) 1340" xfId="1615"/>
    <cellStyle name="_SLS--bdg- Jan'07 (Comment)_LSP Bali - November 2008 (5)_AP Logistic 2010 Konsolidasi (091116) 1700" xfId="1616"/>
    <cellStyle name="_SLS--bdg- Jan'07 (Comment)_LSP Bali - November 2008 (5)_FINAL - Buku Saku3" xfId="1617"/>
    <cellStyle name="_SLS--bdg- Jan'07 (Comment)_LSP Bali - November 2008 (5)_Laporan Harian Dispatcher_2010_Heavy Truck" xfId="1618"/>
    <cellStyle name="_SLS--bdg- Jan'07 (Comment)_LSP Bali - November 2008 (5)_Laporan Harian Dispatcher_2010_Heavy Truck2" xfId="1619"/>
    <cellStyle name="_SLS--bdg- Jan'07 (Comment)_LSP Bali - November 2008 (5)_Laporan Harian Dispatcher_2010_Light Truck" xfId="1620"/>
    <cellStyle name="_SLS--bdg- Jan'07 (Comment)_LSP Bali - November 2008 (5)_Laporan Harian Dispatcher_2010_Light Truck_LHD" xfId="1621"/>
    <cellStyle name="_SLS--bdg- Jan'07 (Comment)_LSP Bali - November 2008 (5)_Laporan Harian Dispatcher_2010-11_Heavy Truck" xfId="1622"/>
    <cellStyle name="_SLS--bdg- Jan'07 (Comment)_LSP Bali - November 2008 (5)_Laporan Harian Dispatcher_2010-11_Light Truck" xfId="1623"/>
    <cellStyle name="_SLS--bdg- Jan'07 (Comment)_LSP Bali - November 2008 (5)_Laporan Harian Dispatcher_2010-11_Light Truck_LHD" xfId="1624"/>
    <cellStyle name="_SLS--bdg- Jan'07 (Comment)_LSP Bali - November 2008 (5)_LHD" xfId="1625"/>
    <cellStyle name="_SLS--bdg- Jan'07 (Comment)_LSP Bali - November 2008 (5)_LHD_2010-12_Heavy Truck" xfId="1626"/>
    <cellStyle name="_SLS--bdg- Jan'07 (Comment)_LSP Bali - November 2008 (5)_LHD_2010-12_Light Truck" xfId="1627"/>
    <cellStyle name="_SLS--bdg- Jan'07 (Comment)_LSP Bali - November 2008 (5)_LHD_2010-12_Light Truck_LHD" xfId="1628"/>
    <cellStyle name="_SLS--bdg- Jan'07 (Comment)_LSP Bali - November 2008 (5)_LHD_Heavy Truck 2011-01" xfId="1629"/>
    <cellStyle name="_SLS--bdg- Jan'07 (Comment)_LSP Bali - November 2008 (5)_Performance Review 091112" xfId="1630"/>
    <cellStyle name="_SLS--bdg- Jan'07 (Comment)_LSP Bali - November 2008 (5)_PL Oktober" xfId="1631"/>
    <cellStyle name="_SLS--bdg- Jan'07 (Comment)_UIO April 27" xfId="1632"/>
    <cellStyle name="_SLS--bdg- Jan'07 (Comment)_UIO April 27_AP Logistic 2010 Konsolidasi (091110)" xfId="1633"/>
    <cellStyle name="_SLS--bdg- Jan'07 (Comment)_UIO April 27_AP Logistic 2010 Konsolidasi (091111) 1830" xfId="1634"/>
    <cellStyle name="_SLS--bdg- Jan'07 (Comment)_UIO April 27_AP Logistic 2010 Konsolidasi (091111) 2230" xfId="1635"/>
    <cellStyle name="_SLS--bdg- Jan'07 (Comment)_UIO April 27_AP Logistic 2010 Konsolidasi (091115) 1830" xfId="1636"/>
    <cellStyle name="_SLS--bdg- Jan'07 (Comment)_UIO April 27_AP Logistic 2010 Konsolidasi (091116) 1340" xfId="1637"/>
    <cellStyle name="_SLS--bdg- Jan'07 (Comment)_UIO April 27_AP Logistic 2010 Konsolidasi (091116) 1700" xfId="1638"/>
    <cellStyle name="_SLS--bdg- Jan'07 (Comment)_UIO April 27_Performance Review 091112" xfId="1639"/>
    <cellStyle name="_SLS-Progress'07-Mar" xfId="1640"/>
    <cellStyle name="_SLS-Progress'07-Mar 2" xfId="1641"/>
    <cellStyle name="_SLS-Progress'07-Mar 3" xfId="1642"/>
    <cellStyle name="_SLS-Progress'07-Mar 4" xfId="1643"/>
    <cellStyle name="_SLS-Progress'07-Mar 5" xfId="1644"/>
    <cellStyle name="_SLS-Progress'07-Mar 6" xfId="1645"/>
    <cellStyle name="_SLS-Progress'07-Mar 7" xfId="1646"/>
    <cellStyle name="_SLS-Progress'07-Mar 8" xfId="1647"/>
    <cellStyle name="_SLS-Progress'07-Mar_Book1" xfId="1648"/>
    <cellStyle name="_SLS-Progress'07-Mar_LHD" xfId="1649"/>
    <cellStyle name="_SLS-Progress'07-Mar_PL Oktober" xfId="1650"/>
    <cellStyle name="_SLS-Progress'07-Mar_Reimburst HO" xfId="1651"/>
    <cellStyle name="_SLS-Progress'07-Mar_Reimburst HO 2" xfId="1652"/>
    <cellStyle name="_SLS-Progress'07-Mar_Reimburst HO 3" xfId="1653"/>
    <cellStyle name="_SLS-Progress'07-Mar_Reimburst HO 4" xfId="1654"/>
    <cellStyle name="_SLS-Progress'07-Mar_Reimburst HO 5" xfId="1655"/>
    <cellStyle name="_SLS-Progress'07-Mar_Reimburst HO 6" xfId="1656"/>
    <cellStyle name="_SLS-Progress'07-Mar_Reimburst HO 7" xfId="1657"/>
    <cellStyle name="_SLS-Progress'07-Mar_Reimburst HO 8" xfId="1658"/>
    <cellStyle name="_SLS-Progress'07-Mar_Reimburst HO_LHD" xfId="1659"/>
    <cellStyle name="_Sulawesi Operation Performance Review 2007-Mei" xfId="1660"/>
    <cellStyle name="_Sulawesi Operation Performance Review 2007-Mei 2" xfId="1661"/>
    <cellStyle name="_Sulawesi Operation Performance Review 2007-Mei_AP Logistic 2010 Konsolidasi (091110)" xfId="1662"/>
    <cellStyle name="_Sulawesi Operation Performance Review 2007-Mei_AP Logistic 2010 Konsolidasi (091111) 1830" xfId="1663"/>
    <cellStyle name="_Sulawesi Operation Performance Review 2007-Mei_AP Logistic 2010 Konsolidasi (091111) 2230" xfId="1664"/>
    <cellStyle name="_Sulawesi Operation Performance Review 2007-Mei_AP Logistic 2010 Konsolidasi (091115) 1830" xfId="1665"/>
    <cellStyle name="_Sulawesi Operation Performance Review 2007-Mei_AP Logistic 2010 Konsolidasi (091116) 1340" xfId="1666"/>
    <cellStyle name="_Sulawesi Operation Performance Review 2007-Mei_AP Logistic 2010 Konsolidasi (091116) 1700" xfId="1667"/>
    <cellStyle name="_Sulawesi Operation Performance Review 2007-Mei_FINAL - Buku Saku3" xfId="1668"/>
    <cellStyle name="_Sulawesi Operation Performance Review 2007-Mei_Laporan Harian Dispatcher_2010_Heavy Truck" xfId="1669"/>
    <cellStyle name="_Sulawesi Operation Performance Review 2007-Mei_Laporan Harian Dispatcher_2010_Heavy Truck2" xfId="1670"/>
    <cellStyle name="_Sulawesi Operation Performance Review 2007-Mei_Laporan Harian Dispatcher_2010_Light Truck" xfId="1671"/>
    <cellStyle name="_Sulawesi Operation Performance Review 2007-Mei_Laporan Harian Dispatcher_2010_Light Truck_LHD" xfId="1672"/>
    <cellStyle name="_Sulawesi Operation Performance Review 2007-Mei_Laporan Harian Dispatcher_2010-11_Heavy Truck" xfId="1673"/>
    <cellStyle name="_Sulawesi Operation Performance Review 2007-Mei_Laporan Harian Dispatcher_2010-11_Light Truck" xfId="1674"/>
    <cellStyle name="_Sulawesi Operation Performance Review 2007-Mei_Laporan Harian Dispatcher_2010-11_Light Truck_LHD" xfId="1675"/>
    <cellStyle name="_Sulawesi Operation Performance Review 2007-Mei_LHD" xfId="1676"/>
    <cellStyle name="_Sulawesi Operation Performance Review 2007-Mei_LHD_2010-12_Heavy Truck" xfId="1677"/>
    <cellStyle name="_Sulawesi Operation Performance Review 2007-Mei_LHD_2010-12_Light Truck" xfId="1678"/>
    <cellStyle name="_Sulawesi Operation Performance Review 2007-Mei_LHD_2010-12_Light Truck_LHD" xfId="1679"/>
    <cellStyle name="_Sulawesi Operation Performance Review 2007-Mei_LHD_Heavy Truck 2011-01" xfId="1680"/>
    <cellStyle name="_Sulawesi Operation Performance Review 2007-Mei_Performance Review 091112" xfId="1681"/>
    <cellStyle name="_Sulawesi Operation Performance Review 2007-Mei_PL Oktober" xfId="1682"/>
    <cellStyle name="_TAGIHAN SEPTEMBER 09 JV012340-JV012529" xfId="1683"/>
    <cellStyle name="_TG-TH" xfId="1684"/>
    <cellStyle name="_TG-TH_1" xfId="1685"/>
    <cellStyle name="_TG-TH_1_BAO CAO KLCT PT2000" xfId="1686"/>
    <cellStyle name="_TG-TH_1_BAO CAO PT2000" xfId="1687"/>
    <cellStyle name="_TG-TH_1_BAO CAO PT2000_Book1" xfId="1688"/>
    <cellStyle name="_TG-TH_1_Bao cao XDCB 2001 - T11 KH dieu chinh 20-11-THAI" xfId="1689"/>
    <cellStyle name="_TG-TH_1_Book1" xfId="1690"/>
    <cellStyle name="_TG-TH_1_Book1_1" xfId="1691"/>
    <cellStyle name="_TG-TH_1_Book1_2" xfId="1692"/>
    <cellStyle name="_TG-TH_1_Book1_3" xfId="1693"/>
    <cellStyle name="_TG-TH_1_Book1_3_Book1" xfId="1694"/>
    <cellStyle name="_TG-TH_1_Book1_3_MENU" xfId="1695"/>
    <cellStyle name="_TG-TH_1_Book1_BC-QT-WB-dthao" xfId="1696"/>
    <cellStyle name="_TG-TH_1_Book1_Book1" xfId="1697"/>
    <cellStyle name="_TG-TH_1_Book1_Intimex-2007" xfId="1698"/>
    <cellStyle name="_TG-TH_1_Book1_TH KE" xfId="1699"/>
    <cellStyle name="_TG-TH_1_Book1_THU CHI TIEN" xfId="1700"/>
    <cellStyle name="_TG-TH_1_Book1_TKE" xfId="1701"/>
    <cellStyle name="_TG-TH_1_DTCDT MR.2N110.HOCMON.TDTOAN.CCUNG" xfId="1702"/>
    <cellStyle name="_TG-TH_1_Giai Doan 3 Hong Ngu" xfId="1703"/>
    <cellStyle name="_TG-TH_1_Intimex-2007" xfId="1704"/>
    <cellStyle name="_TG-TH_1_Lora-tungchau" xfId="1705"/>
    <cellStyle name="_TG-TH_1_PGIA-phieu tham tra Kho bac" xfId="1706"/>
    <cellStyle name="_TG-TH_1_PT02-02" xfId="1707"/>
    <cellStyle name="_TG-TH_1_PT02-02_Book1" xfId="1708"/>
    <cellStyle name="_TG-TH_1_PT02-03" xfId="1709"/>
    <cellStyle name="_TG-TH_1_PT02-03_Book1" xfId="1710"/>
    <cellStyle name="_TG-TH_1_Qt-HT3PQ1(CauKho)" xfId="1711"/>
    <cellStyle name="_TG-TH_1_TH KE" xfId="1712"/>
    <cellStyle name="_TG-TH_1_TH KE_Book1" xfId="1713"/>
    <cellStyle name="_TG-TH_1_TH KE_MENU" xfId="1714"/>
    <cellStyle name="_TG-TH_1_THU CHI TIEN" xfId="1715"/>
    <cellStyle name="_TG-TH_1_TKE" xfId="1716"/>
    <cellStyle name="_TG-TH_2" xfId="1717"/>
    <cellStyle name="_TG-TH_2_BAO CAO KLCT PT2000" xfId="1718"/>
    <cellStyle name="_TG-TH_2_BAO CAO PT2000" xfId="1719"/>
    <cellStyle name="_TG-TH_2_BAO CAO PT2000_Book1" xfId="1720"/>
    <cellStyle name="_TG-TH_2_Bao cao XDCB 2001 - T11 KH dieu chinh 20-11-THAI" xfId="1721"/>
    <cellStyle name="_TG-TH_2_Book1" xfId="1722"/>
    <cellStyle name="_TG-TH_2_Book1_1" xfId="1723"/>
    <cellStyle name="_TG-TH_2_Book1_2" xfId="1724"/>
    <cellStyle name="_TG-TH_2_Book1_3" xfId="1725"/>
    <cellStyle name="_TG-TH_2_Book1_3_Book1" xfId="1726"/>
    <cellStyle name="_TG-TH_2_Book1_3_MENU" xfId="1727"/>
    <cellStyle name="_TG-TH_2_Book1_Book1" xfId="1728"/>
    <cellStyle name="_TG-TH_2_Book1_Intimex-2007" xfId="1729"/>
    <cellStyle name="_TG-TH_2_Book1_TH KE" xfId="1730"/>
    <cellStyle name="_TG-TH_2_Book1_THU CHI TIEN" xfId="1731"/>
    <cellStyle name="_TG-TH_2_Book1_TKE" xfId="1732"/>
    <cellStyle name="_TG-TH_2_DTCDT MR.2N110.HOCMON.TDTOAN.CCUNG" xfId="1733"/>
    <cellStyle name="_TG-TH_2_Giai Doan 3 Hong Ngu" xfId="1734"/>
    <cellStyle name="_TG-TH_2_Intimex-2007" xfId="1735"/>
    <cellStyle name="_TG-TH_2_Lora-tungchau" xfId="1736"/>
    <cellStyle name="_TG-TH_2_PGIA-phieu tham tra Kho bac" xfId="1737"/>
    <cellStyle name="_TG-TH_2_PT02-02" xfId="1738"/>
    <cellStyle name="_TG-TH_2_PT02-02_Book1" xfId="1739"/>
    <cellStyle name="_TG-TH_2_PT02-03" xfId="1740"/>
    <cellStyle name="_TG-TH_2_PT02-03_Book1" xfId="1741"/>
    <cellStyle name="_TG-TH_2_Qt-HT3PQ1(CauKho)" xfId="1742"/>
    <cellStyle name="_TG-TH_2_TH KE" xfId="1743"/>
    <cellStyle name="_TG-TH_2_TH KE_Book1" xfId="1744"/>
    <cellStyle name="_TG-TH_2_TH KE_MENU" xfId="1745"/>
    <cellStyle name="_TG-TH_2_THU CHI TIEN" xfId="1746"/>
    <cellStyle name="_TG-TH_2_TKE" xfId="1747"/>
    <cellStyle name="_TG-TH_3" xfId="1748"/>
    <cellStyle name="_TG-TH_3_Lora-tungchau" xfId="1749"/>
    <cellStyle name="_TG-TH_3_Qt-HT3PQ1(CauKho)" xfId="1750"/>
    <cellStyle name="_TG-TH_4" xfId="1751"/>
    <cellStyle name="_UIO 31 Agustus 2007" xfId="1752"/>
    <cellStyle name="_UIO 31 Agustus 2007 2" xfId="1753"/>
    <cellStyle name="_UIO 31 Agustus 2007 3" xfId="1754"/>
    <cellStyle name="_UIO 31 Agustus 2007 4" xfId="1755"/>
    <cellStyle name="_UIO 31 Agustus 2007 5" xfId="1756"/>
    <cellStyle name="_UIO 31 Agustus 2007 6" xfId="1757"/>
    <cellStyle name="_UIO 31 Agustus 2007 7" xfId="1758"/>
    <cellStyle name="_UIO 31 Agustus 2007 8" xfId="1759"/>
    <cellStyle name="_UIO 31 Agustus 2007_Book1" xfId="1760"/>
    <cellStyle name="_UIO 31 Agustus 2007_LHD" xfId="1761"/>
    <cellStyle name="_UIO 31 Agustus 2007_PL Oktober" xfId="1762"/>
    <cellStyle name="_UIO 31 Agustus 2007_Reimburst HO" xfId="1763"/>
    <cellStyle name="_UIO 31 Agustus 2007_Reimburst HO 2" xfId="1764"/>
    <cellStyle name="_UIO 31 Agustus 2007_Reimburst HO 3" xfId="1765"/>
    <cellStyle name="_UIO 31 Agustus 2007_Reimburst HO 4" xfId="1766"/>
    <cellStyle name="_UIO 31 Agustus 2007_Reimburst HO 5" xfId="1767"/>
    <cellStyle name="_UIO 31 Agustus 2007_Reimburst HO 6" xfId="1768"/>
    <cellStyle name="_UIO 31 Agustus 2007_Reimburst HO 7" xfId="1769"/>
    <cellStyle name="_UIO 31 Agustus 2007_Reimburst HO 8" xfId="1770"/>
    <cellStyle name="_UIO 31 Agustus 2007_Reimburst HO_LHD" xfId="1771"/>
    <cellStyle name="_UIO Agustus 2007" xfId="1772"/>
    <cellStyle name="_UIO Agustus 2007 2" xfId="1773"/>
    <cellStyle name="_UIO Agustus 2007 3" xfId="1774"/>
    <cellStyle name="_UIO Agustus 2007 4" xfId="1775"/>
    <cellStyle name="_UIO Agustus 2007 5" xfId="1776"/>
    <cellStyle name="_UIO Agustus 2007 6" xfId="1777"/>
    <cellStyle name="_UIO Agustus 2007 7" xfId="1778"/>
    <cellStyle name="_UIO Agustus 2007 8" xfId="1779"/>
    <cellStyle name="_UIO Agustus 2007_Book1" xfId="1780"/>
    <cellStyle name="_UIO Agustus 2007_LHD" xfId="1781"/>
    <cellStyle name="_UIO Agustus 2007_PL Oktober" xfId="1782"/>
    <cellStyle name="_UIO Agustus 2007_Reimburst HO" xfId="1783"/>
    <cellStyle name="_UIO Agustus 2007_Reimburst HO 2" xfId="1784"/>
    <cellStyle name="_UIO Agustus 2007_Reimburst HO 3" xfId="1785"/>
    <cellStyle name="_UIO Agustus 2007_Reimburst HO 4" xfId="1786"/>
    <cellStyle name="_UIO Agustus 2007_Reimburst HO 5" xfId="1787"/>
    <cellStyle name="_UIO Agustus 2007_Reimburst HO 6" xfId="1788"/>
    <cellStyle name="_UIO Agustus 2007_Reimburst HO 7" xfId="1789"/>
    <cellStyle name="_UIO Agustus 2007_Reimburst HO 8" xfId="1790"/>
    <cellStyle name="_UIO Agustus 2007_Reimburst HO_LHD" xfId="1791"/>
    <cellStyle name="_UIO Jakarta Desember 08" xfId="1792"/>
    <cellStyle name="_UIO Jakarta Desember 08_AP Logistic 2010 Konsolidasi (091110)" xfId="1793"/>
    <cellStyle name="_UIO Jakarta Desember 08_AP Logistic 2010 Konsolidasi (091111) 1830" xfId="1794"/>
    <cellStyle name="_UIO Jakarta Desember 08_AP Logistic 2010 Konsolidasi (091111) 2230" xfId="1795"/>
    <cellStyle name="_UIO Jakarta Desember 08_AP Logistic 2010 Konsolidasi (091115) 1830" xfId="1796"/>
    <cellStyle name="_UIO Jakarta Desember 08_AP Logistic 2010 Konsolidasi (091116) 1340" xfId="1797"/>
    <cellStyle name="_UIO Jakarta Desember 08_AP Logistic 2010 Konsolidasi (091116) 1700" xfId="1798"/>
    <cellStyle name="_UIO Jakarta Desember 08_LHD" xfId="1799"/>
    <cellStyle name="_UIO Jakarta Desember 08_Performance Review 091112" xfId="1800"/>
    <cellStyle name="_UIO Jan 2007 Reconsile" xfId="1801"/>
    <cellStyle name="_UIO Jan 2007 Reconsile 2" xfId="1802"/>
    <cellStyle name="_UIO Jan 2007 Reconsile 2 2" xfId="1803"/>
    <cellStyle name="_UIO Jan 2007 Reconsile 3" xfId="1804"/>
    <cellStyle name="_UIO Jan 2007 Reconsile 4" xfId="1805"/>
    <cellStyle name="_UIO Jan 2007 Reconsile 5" xfId="1806"/>
    <cellStyle name="_UIO Jan 2007 Reconsile 6" xfId="1807"/>
    <cellStyle name="_UIO Jan 2007 Reconsile 7" xfId="1808"/>
    <cellStyle name="_UIO Jan 2007 Reconsile 8" xfId="1809"/>
    <cellStyle name="_UIO Jan 2007 Reconsile_12 Laporan Stock Pool MKS Desember 2008 (2)" xfId="1810"/>
    <cellStyle name="_UIO Jan 2007 Reconsile_12 Laporan Stock Pool MKS Desember 2008 (2)_AP Logistic 2010 Konsolidasi (091110)" xfId="1811"/>
    <cellStyle name="_UIO Jan 2007 Reconsile_12 Laporan Stock Pool MKS Desember 2008 (2)_AP Logistic 2010 Konsolidasi (091111) 1830" xfId="1812"/>
    <cellStyle name="_UIO Jan 2007 Reconsile_12 Laporan Stock Pool MKS Desember 2008 (2)_AP Logistic 2010 Konsolidasi (091111) 2230" xfId="1813"/>
    <cellStyle name="_UIO Jan 2007 Reconsile_12 Laporan Stock Pool MKS Desember 2008 (2)_AP Logistic 2010 Konsolidasi (091115) 1830" xfId="1814"/>
    <cellStyle name="_UIO Jan 2007 Reconsile_12 Laporan Stock Pool MKS Desember 2008 (2)_AP Logistic 2010 Konsolidasi (091116) 1340" xfId="1815"/>
    <cellStyle name="_UIO Jan 2007 Reconsile_12 Laporan Stock Pool MKS Desember 2008 (2)_AP Logistic 2010 Konsolidasi (091116) 1700" xfId="1816"/>
    <cellStyle name="_UIO Jan 2007 Reconsile_12 Laporan Stock Pool MKS Desember 2008 (2)_LHD" xfId="1817"/>
    <cellStyle name="_UIO Jan 2007 Reconsile_12 Laporan Stock Pool MKS Desember 2008 (2)_Performance Review 091112" xfId="1818"/>
    <cellStyle name="_UIO Jan 2007 Reconsile_AP Logistic 2010 Konsolidasi (091110)" xfId="1819"/>
    <cellStyle name="_UIO Jan 2007 Reconsile_AP Logistic 2010 Konsolidasi (091111) 1830" xfId="1820"/>
    <cellStyle name="_UIO Jan 2007 Reconsile_AP Logistic 2010 Konsolidasi (091111) 2230" xfId="1821"/>
    <cellStyle name="_UIO Jan 2007 Reconsile_AP Logistic 2010 Konsolidasi (091115) 1830" xfId="1822"/>
    <cellStyle name="_UIO Jan 2007 Reconsile_AP Logistic 2010 Konsolidasi (091116) 1340" xfId="1823"/>
    <cellStyle name="_UIO Jan 2007 Reconsile_AP Logistic 2010 Konsolidasi (091116) 1700" xfId="1824"/>
    <cellStyle name="_UIO Jan 2007 Reconsile_Book1" xfId="1825"/>
    <cellStyle name="_UIO Jan 2007 Reconsile_lap  SerPo PNTK Des  08 (2)" xfId="1826"/>
    <cellStyle name="_UIO Jan 2007 Reconsile_lap  SerPo PNTK Des  08 (3)" xfId="1827"/>
    <cellStyle name="_UIO Jan 2007 Reconsile_lap  SerPo PNTK November  08" xfId="1828"/>
    <cellStyle name="_UIO Jan 2007 Reconsile_LHD" xfId="1829"/>
    <cellStyle name="_UIO Jan 2007 Reconsile_Performance Review 091112" xfId="1830"/>
    <cellStyle name="_UIO Jan 2007 Reconsile_Reimburst HO" xfId="1831"/>
    <cellStyle name="_UIO Jan 2007 Reconsile_Reimburst HO 2" xfId="1832"/>
    <cellStyle name="_UIO Jan 2007 Reconsile_Reimburst HO 3" xfId="1833"/>
    <cellStyle name="_UIO Jan 2007 Reconsile_Reimburst HO 4" xfId="1834"/>
    <cellStyle name="_UIO Jan 2007 Reconsile_Reimburst HO 5" xfId="1835"/>
    <cellStyle name="_UIO Jan 2007 Reconsile_Reimburst HO 6" xfId="1836"/>
    <cellStyle name="_UIO Jan 2007 Reconsile_Reimburst HO 7" xfId="1837"/>
    <cellStyle name="_UIO Jan 2007 Reconsile_Reimburst HO 8" xfId="1838"/>
    <cellStyle name="_UIO Jan 2007 Reconsile_Reimburst HO_LHD" xfId="1839"/>
    <cellStyle name="_UIO Januari 07." xfId="1840"/>
    <cellStyle name="_UIO Januari 07. 2" xfId="1841"/>
    <cellStyle name="_UIO Januari 07. 3" xfId="1842"/>
    <cellStyle name="_UIO Januari 07. 4" xfId="1843"/>
    <cellStyle name="_UIO Januari 07. 5" xfId="1844"/>
    <cellStyle name="_UIO Januari 07. 6" xfId="1845"/>
    <cellStyle name="_UIO Januari 07. 7" xfId="1846"/>
    <cellStyle name="_UIO Januari 07. 8" xfId="1847"/>
    <cellStyle name="_UIO Januari 07._12 Laporan Stock Pool MKS Desember 2008 (2)" xfId="1848"/>
    <cellStyle name="_UIO Januari 07._12 Laporan Stock Pool MKS Desember 2008 (2)_AP Logistic 2010 Konsolidasi (091110)" xfId="1849"/>
    <cellStyle name="_UIO Januari 07._12 Laporan Stock Pool MKS Desember 2008 (2)_AP Logistic 2010 Konsolidasi (091111) 1830" xfId="1850"/>
    <cellStyle name="_UIO Januari 07._12 Laporan Stock Pool MKS Desember 2008 (2)_AP Logistic 2010 Konsolidasi (091111) 2230" xfId="1851"/>
    <cellStyle name="_UIO Januari 07._12 Laporan Stock Pool MKS Desember 2008 (2)_AP Logistic 2010 Konsolidasi (091115) 1830" xfId="1852"/>
    <cellStyle name="_UIO Januari 07._12 Laporan Stock Pool MKS Desember 2008 (2)_AP Logistic 2010 Konsolidasi (091116) 1340" xfId="1853"/>
    <cellStyle name="_UIO Januari 07._12 Laporan Stock Pool MKS Desember 2008 (2)_AP Logistic 2010 Konsolidasi (091116) 1700" xfId="1854"/>
    <cellStyle name="_UIO Januari 07._12 Laporan Stock Pool MKS Desember 2008 (2)_LHD" xfId="1855"/>
    <cellStyle name="_UIO Januari 07._12 Laporan Stock Pool MKS Desember 2008 (2)_Performance Review 091112" xfId="1856"/>
    <cellStyle name="_UIO Januari 07._5. Reminder Service Samarinda" xfId="1857"/>
    <cellStyle name="_UIO Januari 07._5. Reminder Service Samarinda 2" xfId="1858"/>
    <cellStyle name="_UIO Januari 07._5. Reminder Service Samarinda 3" xfId="1859"/>
    <cellStyle name="_UIO Januari 07._5. Reminder Service Samarinda 4" xfId="1860"/>
    <cellStyle name="_UIO Januari 07._5. Reminder Service Samarinda 5" xfId="1861"/>
    <cellStyle name="_UIO Januari 07._5. Reminder Service Samarinda 6" xfId="1862"/>
    <cellStyle name="_UIO Januari 07._5. Reminder Service Samarinda 7" xfId="1863"/>
    <cellStyle name="_UIO Januari 07._5. Reminder Service Samarinda 8" xfId="1864"/>
    <cellStyle name="_UIO Januari 07._5. Reminder Service Samarinda_LHD" xfId="1865"/>
    <cellStyle name="_UIO Januari 07._5. Reminder Service Samarinda_Reimburst HO" xfId="1866"/>
    <cellStyle name="_UIO Januari 07._5. Reminder Service Samarinda_Reimburst HO 2" xfId="1867"/>
    <cellStyle name="_UIO Januari 07._5. Reminder Service Samarinda_Reimburst HO 3" xfId="1868"/>
    <cellStyle name="_UIO Januari 07._5. Reminder Service Samarinda_Reimburst HO 4" xfId="1869"/>
    <cellStyle name="_UIO Januari 07._5. Reminder Service Samarinda_Reimburst HO 5" xfId="1870"/>
    <cellStyle name="_UIO Januari 07._5. Reminder Service Samarinda_Reimburst HO 6" xfId="1871"/>
    <cellStyle name="_UIO Januari 07._5. Reminder Service Samarinda_Reimburst HO 7" xfId="1872"/>
    <cellStyle name="_UIO Januari 07._5. Reminder Service Samarinda_Reimburst HO 8" xfId="1873"/>
    <cellStyle name="_UIO Januari 07._5. Reminder Service Samarinda_Reimburst HO_LHD" xfId="1874"/>
    <cellStyle name="_UIO Januari 07._AP Logistic 2010 Konsolidasi (091110)" xfId="1875"/>
    <cellStyle name="_UIO Januari 07._AP Logistic 2010 Konsolidasi (091111) 1830" xfId="1876"/>
    <cellStyle name="_UIO Januari 07._AP Logistic 2010 Konsolidasi (091111) 2230" xfId="1877"/>
    <cellStyle name="_UIO Januari 07._AP Logistic 2010 Konsolidasi (091115) 1830" xfId="1878"/>
    <cellStyle name="_UIO Januari 07._AP Logistic 2010 Konsolidasi (091116) 1340" xfId="1879"/>
    <cellStyle name="_UIO Januari 07._AP Logistic 2010 Konsolidasi (091116) 1700" xfId="1880"/>
    <cellStyle name="_UIO Januari 07._Book1" xfId="1881"/>
    <cellStyle name="_UIO Januari 07._lap  SerPo PNTK Des  08 (2)" xfId="1882"/>
    <cellStyle name="_UIO Januari 07._lap  SerPo PNTK Des  08 (3)" xfId="1883"/>
    <cellStyle name="_UIO Januari 07._lap  SerPo PNTK November  08" xfId="1884"/>
    <cellStyle name="_UIO Januari 07._LHD" xfId="1885"/>
    <cellStyle name="_UIO Januari 07._Performance Review 091112" xfId="1886"/>
    <cellStyle name="_UIO Januari 07._Reimburst HO" xfId="1887"/>
    <cellStyle name="_UIO Januari 07._Reimburst HO 2" xfId="1888"/>
    <cellStyle name="_UIO Januari 07._Reimburst HO 3" xfId="1889"/>
    <cellStyle name="_UIO Januari 07._Reimburst HO 4" xfId="1890"/>
    <cellStyle name="_UIO Januari 07._Reimburst HO 5" xfId="1891"/>
    <cellStyle name="_UIO Januari 07._Reimburst HO 6" xfId="1892"/>
    <cellStyle name="_UIO Januari 07._Reimburst HO 7" xfId="1893"/>
    <cellStyle name="_UIO Januari 07._Reimburst HO 8" xfId="1894"/>
    <cellStyle name="_UIO Januari 07._Reimburst HO_LHD" xfId="1895"/>
    <cellStyle name="_UIO Makassar 2008" xfId="1896"/>
    <cellStyle name="_UIO Makassar 2008_12 Laporan Stock Pool MKS Desember 2008 (2)" xfId="1897"/>
    <cellStyle name="_UIO Makassar 2008_12 Laporan Stock Pool MKS Desember 2008 (2)_AP Logistic 2010 Konsolidasi (091110)" xfId="1898"/>
    <cellStyle name="_UIO Makassar 2008_12 Laporan Stock Pool MKS Desember 2008 (2)_AP Logistic 2010 Konsolidasi (091111) 1830" xfId="1899"/>
    <cellStyle name="_UIO Makassar 2008_12 Laporan Stock Pool MKS Desember 2008 (2)_AP Logistic 2010 Konsolidasi (091111) 2230" xfId="1900"/>
    <cellStyle name="_UIO Makassar 2008_12 Laporan Stock Pool MKS Desember 2008 (2)_AP Logistic 2010 Konsolidasi (091115) 1830" xfId="1901"/>
    <cellStyle name="_UIO Makassar 2008_12 Laporan Stock Pool MKS Desember 2008 (2)_AP Logistic 2010 Konsolidasi (091116) 1340" xfId="1902"/>
    <cellStyle name="_UIO Makassar 2008_12 Laporan Stock Pool MKS Desember 2008 (2)_AP Logistic 2010 Konsolidasi (091116) 1700" xfId="1903"/>
    <cellStyle name="_UIO Makassar 2008_12 Laporan Stock Pool MKS Desember 2008 (2)_LHD" xfId="1904"/>
    <cellStyle name="_UIO Makassar 2008_12 Laporan Stock Pool MKS Desember 2008 (2)_Performance Review 091112" xfId="1905"/>
    <cellStyle name="_UIO Makassar 2008_AP Logistic 2010 Konsolidasi (091110)" xfId="1906"/>
    <cellStyle name="_UIO Makassar 2008_AP Logistic 2010 Konsolidasi (091111) 1830" xfId="1907"/>
    <cellStyle name="_UIO Makassar 2008_AP Logistic 2010 Konsolidasi (091111) 2230" xfId="1908"/>
    <cellStyle name="_UIO Makassar 2008_AP Logistic 2010 Konsolidasi (091115) 1830" xfId="1909"/>
    <cellStyle name="_UIO Makassar 2008_AP Logistic 2010 Konsolidasi (091116) 1340" xfId="1910"/>
    <cellStyle name="_UIO Makassar 2008_AP Logistic 2010 Konsolidasi (091116) 1700" xfId="1911"/>
    <cellStyle name="_UIO Makassar 2008_LHD" xfId="1912"/>
    <cellStyle name="_UIO Makassar 2008_Performance Review 091112" xfId="1913"/>
    <cellStyle name="_Unit Baru 2008" xfId="1914"/>
    <cellStyle name="_Unit Baru 2008_AP Logistic 2010 Konsolidasi (091110)" xfId="1915"/>
    <cellStyle name="_Unit Baru 2008_AP Logistic 2010 Konsolidasi (091111) 1830" xfId="1916"/>
    <cellStyle name="_Unit Baru 2008_AP Logistic 2010 Konsolidasi (091111) 2230" xfId="1917"/>
    <cellStyle name="_Unit Baru 2008_AP Logistic 2010 Konsolidasi (091115) 1830" xfId="1918"/>
    <cellStyle name="_Unit Baru 2008_AP Logistic 2010 Konsolidasi (091116) 1340" xfId="1919"/>
    <cellStyle name="_Unit Baru 2008_AP Logistic 2010 Konsolidasi (091116) 1700" xfId="1920"/>
    <cellStyle name="_Unit Baru 2008_LHD" xfId="1921"/>
    <cellStyle name="_Unit Baru 2008_Performance Review 091112" xfId="1922"/>
    <cellStyle name="_Worksheet in C: DOCUME~1 NGUYEN~1 LOCALS~1 Temp notes8F0C36 ~6796529" xfId="1923"/>
    <cellStyle name="_x005f_x0001_" xfId="1924"/>
    <cellStyle name="’?‰? [0.00]_currentKC GL" xfId="1925"/>
    <cellStyle name="’?‰?_currentKC GL" xfId="1926"/>
    <cellStyle name="’E]Y [0.00]_Ladder Report" xfId="1927"/>
    <cellStyle name="’E］Y [0.00]_Ladder Report" xfId="1928"/>
    <cellStyle name="’E]Y_Ladder Report" xfId="1929"/>
    <cellStyle name="’E］Y_Ladder Report" xfId="1930"/>
    <cellStyle name="’E・Y [0.00]_currentKC GL" xfId="1931"/>
    <cellStyle name="’E・Y_currentKC GL" xfId="1932"/>
    <cellStyle name="’Ê‰Ý [0.00]_01MY Value Cost Study" xfId="1933"/>
    <cellStyle name="’E‰Y [0.00]_currentKC GLRG" xfId="1934"/>
    <cellStyle name="’Ê‰Ý [0.00]_NNA_serv_fee" xfId="1935"/>
    <cellStyle name="’E‰Y [0.00]_Packages and Options (2)" xfId="1936"/>
    <cellStyle name="’Ê‰Ý [0.00]_Sheet1" xfId="1937"/>
    <cellStyle name="’Ê‰Ý_01MY Value Cost Study" xfId="1938"/>
    <cellStyle name="’E‰Y_currentKC GLnt" xfId="1939"/>
    <cellStyle name="’Ê‰Ý_NNA_serv_fee" xfId="1940"/>
    <cellStyle name="’E‰Y_Read me first" xfId="1941"/>
    <cellStyle name="・・ [0.00]_127・予算・（経営・・）" xfId="1942"/>
    <cellStyle name="・・_127・予算・（経営・・）" xfId="1943"/>
    <cellStyle name="•\Ž¦Ï‚Ý‚ÌƒnƒCƒp[ƒŠƒ“ƒN" xfId="1944"/>
    <cellStyle name="•W€_•ÏX“_—v–ñ" xfId="1945"/>
    <cellStyle name="??_Sheet1" xfId="1946"/>
    <cellStyle name="\¦ÏÝÌnCp[N" xfId="1947"/>
    <cellStyle name="\¦ÏÝÌnCp[N 2" xfId="1948"/>
    <cellStyle name="¢è`" xfId="1949"/>
    <cellStyle name="¢è` 2" xfId="1950"/>
    <cellStyle name="æØè [0.00]_Sheet1" xfId="1951"/>
    <cellStyle name="æØè_Sheet1" xfId="1952"/>
    <cellStyle name="EE [0.00]_127E\ZEiocEEj" xfId="1953"/>
    <cellStyle name="EE_127E\ZEiocEEj" xfId="1954"/>
    <cellStyle name="ÊÝ [0.00]_127ã\ZÄiocéæj" xfId="1955"/>
    <cellStyle name="ÊÝ_127ã\ZÄiocéæj" xfId="1956"/>
    <cellStyle name="fEEY [0.00]_currentKC GL" xfId="1957"/>
    <cellStyle name="fEEY_currentKC GL" xfId="1958"/>
    <cellStyle name="fEñY [0.00]_?`?p?O???Lñ??\" xfId="1959"/>
    <cellStyle name="fEñY_?`?p?O???Lñ??\" xfId="1960"/>
    <cellStyle name="nCp[N" xfId="1961"/>
    <cellStyle name="nCp[N 2" xfId="1962"/>
    <cellStyle name="W_¢P¿" xfId="1963"/>
    <cellStyle name="0,0_x000d__x000a_NA_x000d__x000a_" xfId="1964"/>
    <cellStyle name="0,0_x000d__x000a_NA_x000d__x000a_ 2" xfId="1965"/>
    <cellStyle name="0,0_x000d__x000a_NA_x000d__x000a_ 2 2" xfId="1966"/>
    <cellStyle name="0,0_x000d__x000a_NA_x000d__x000a_ 3" xfId="1967"/>
    <cellStyle name="0,0_x000d__x000a_NA_x000d__x000a__UIO New Logistic" xfId="1968"/>
    <cellStyle name="0,0_x005f_x000d__x005f_x000a_NA_x005f_x000d__x005f_x000a_" xfId="1969"/>
    <cellStyle name="1" xfId="1970"/>
    <cellStyle name="¹éºÐÀ²_±âÅ¸" xfId="1971"/>
    <cellStyle name="2" xfId="1972"/>
    <cellStyle name="20 % - Accent1" xfId="1973"/>
    <cellStyle name="20 % - Accent2" xfId="1974"/>
    <cellStyle name="20 % - Accent3" xfId="1975"/>
    <cellStyle name="20 % - Accent4" xfId="1976"/>
    <cellStyle name="20 % - Accent5" xfId="1977"/>
    <cellStyle name="20 % - Accent6" xfId="1978"/>
    <cellStyle name="20% - Accent1 1" xfId="1979"/>
    <cellStyle name="20% - Accent1 10 2" xfId="1980"/>
    <cellStyle name="20% - Accent1 10 3" xfId="1981"/>
    <cellStyle name="20% - Accent1 10 4" xfId="1982"/>
    <cellStyle name="20% - Accent1 11 2" xfId="1983"/>
    <cellStyle name="20% - Accent1 11 3" xfId="1984"/>
    <cellStyle name="20% - Accent1 11 4" xfId="1985"/>
    <cellStyle name="20% - Accent1 12 2" xfId="1986"/>
    <cellStyle name="20% - Accent1 12 3" xfId="1987"/>
    <cellStyle name="20% - Accent1 12 4" xfId="1988"/>
    <cellStyle name="20% - Accent1 13 2" xfId="1989"/>
    <cellStyle name="20% - Accent1 13 3" xfId="1990"/>
    <cellStyle name="20% - Accent1 13 4" xfId="1991"/>
    <cellStyle name="20% - Accent1 13 5" xfId="1992"/>
    <cellStyle name="20% - Accent1 14 2" xfId="1993"/>
    <cellStyle name="20% - Accent1 14 3" xfId="1994"/>
    <cellStyle name="20% - Accent1 14 4" xfId="1995"/>
    <cellStyle name="20% - Accent1 15 2" xfId="1996"/>
    <cellStyle name="20% - Accent1 15 3" xfId="1997"/>
    <cellStyle name="20% - Accent1 15 4" xfId="1998"/>
    <cellStyle name="20% - Accent1 16 2" xfId="1999"/>
    <cellStyle name="20% - Accent1 16 3" xfId="2000"/>
    <cellStyle name="20% - Accent1 16 4" xfId="2001"/>
    <cellStyle name="20% - Accent1 17 2" xfId="2002"/>
    <cellStyle name="20% - Accent1 17 3" xfId="2003"/>
    <cellStyle name="20% - Accent1 17 4" xfId="2004"/>
    <cellStyle name="20% - Accent1 2" xfId="2005"/>
    <cellStyle name="20% - Accent1 2 2" xfId="2006"/>
    <cellStyle name="20% - Accent1 2 3" xfId="2007"/>
    <cellStyle name="20% - Accent1 2 4" xfId="2008"/>
    <cellStyle name="20% - Accent1 3" xfId="2009"/>
    <cellStyle name="20% - Accent1 3 2" xfId="2010"/>
    <cellStyle name="20% - Accent1 3 3" xfId="2011"/>
    <cellStyle name="20% - Accent1 3 4" xfId="2012"/>
    <cellStyle name="20% - Accent1 4" xfId="2013"/>
    <cellStyle name="20% - Accent1 4 2" xfId="2014"/>
    <cellStyle name="20% - Accent1 4 3" xfId="2015"/>
    <cellStyle name="20% - Accent1 4 4" xfId="2016"/>
    <cellStyle name="20% - Accent1 5" xfId="2017"/>
    <cellStyle name="20% - Accent1 5 2" xfId="2018"/>
    <cellStyle name="20% - Accent1 5 3" xfId="2019"/>
    <cellStyle name="20% - Accent1 5 4" xfId="2020"/>
    <cellStyle name="20% - Accent1 6" xfId="2021"/>
    <cellStyle name="20% - Accent1 6 2" xfId="2022"/>
    <cellStyle name="20% - Accent1 6 3" xfId="2023"/>
    <cellStyle name="20% - Accent1 6 4" xfId="2024"/>
    <cellStyle name="20% - Accent1 7" xfId="2025"/>
    <cellStyle name="20% - Accent1 7 2" xfId="2026"/>
    <cellStyle name="20% - Accent1 7 3" xfId="2027"/>
    <cellStyle name="20% - Accent1 7 4" xfId="2028"/>
    <cellStyle name="20% - Accent1 8 2" xfId="2029"/>
    <cellStyle name="20% - Accent1 8 3" xfId="2030"/>
    <cellStyle name="20% - Accent1 8 4" xfId="2031"/>
    <cellStyle name="20% - Accent1 9 2" xfId="2032"/>
    <cellStyle name="20% - Accent1 9 3" xfId="2033"/>
    <cellStyle name="20% - Accent1 9 4" xfId="2034"/>
    <cellStyle name="20% - Accent2 1" xfId="2035"/>
    <cellStyle name="20% - Accent2 10 2" xfId="2036"/>
    <cellStyle name="20% - Accent2 10 3" xfId="2037"/>
    <cellStyle name="20% - Accent2 10 4" xfId="2038"/>
    <cellStyle name="20% - Accent2 11 2" xfId="2039"/>
    <cellStyle name="20% - Accent2 11 3" xfId="2040"/>
    <cellStyle name="20% - Accent2 11 4" xfId="2041"/>
    <cellStyle name="20% - Accent2 12 2" xfId="2042"/>
    <cellStyle name="20% - Accent2 12 3" xfId="2043"/>
    <cellStyle name="20% - Accent2 12 4" xfId="2044"/>
    <cellStyle name="20% - Accent2 13 2" xfId="2045"/>
    <cellStyle name="20% - Accent2 13 3" xfId="2046"/>
    <cellStyle name="20% - Accent2 13 4" xfId="2047"/>
    <cellStyle name="20% - Accent2 14 2" xfId="2048"/>
    <cellStyle name="20% - Accent2 14 3" xfId="2049"/>
    <cellStyle name="20% - Accent2 14 4" xfId="2050"/>
    <cellStyle name="20% - Accent2 15 2" xfId="2051"/>
    <cellStyle name="20% - Accent2 15 3" xfId="2052"/>
    <cellStyle name="20% - Accent2 15 4" xfId="2053"/>
    <cellStyle name="20% - Accent2 16 2" xfId="2054"/>
    <cellStyle name="20% - Accent2 16 3" xfId="2055"/>
    <cellStyle name="20% - Accent2 16 4" xfId="2056"/>
    <cellStyle name="20% - Accent2 17 2" xfId="2057"/>
    <cellStyle name="20% - Accent2 17 3" xfId="2058"/>
    <cellStyle name="20% - Accent2 17 4" xfId="2059"/>
    <cellStyle name="20% - Accent2 2" xfId="2060"/>
    <cellStyle name="20% - Accent2 2 2" xfId="2061"/>
    <cellStyle name="20% - Accent2 2 3" xfId="2062"/>
    <cellStyle name="20% - Accent2 2 4" xfId="2063"/>
    <cellStyle name="20% - Accent2 3" xfId="2064"/>
    <cellStyle name="20% - Accent2 3 2" xfId="2065"/>
    <cellStyle name="20% - Accent2 3 3" xfId="2066"/>
    <cellStyle name="20% - Accent2 3 4" xfId="2067"/>
    <cellStyle name="20% - Accent2 4" xfId="2068"/>
    <cellStyle name="20% - Accent2 4 2" xfId="2069"/>
    <cellStyle name="20% - Accent2 4 3" xfId="2070"/>
    <cellStyle name="20% - Accent2 4 4" xfId="2071"/>
    <cellStyle name="20% - Accent2 5" xfId="2072"/>
    <cellStyle name="20% - Accent2 5 2" xfId="2073"/>
    <cellStyle name="20% - Accent2 5 3" xfId="2074"/>
    <cellStyle name="20% - Accent2 5 4" xfId="2075"/>
    <cellStyle name="20% - Accent2 6" xfId="2076"/>
    <cellStyle name="20% - Accent2 6 2" xfId="2077"/>
    <cellStyle name="20% - Accent2 6 3" xfId="2078"/>
    <cellStyle name="20% - Accent2 6 4" xfId="2079"/>
    <cellStyle name="20% - Accent2 7 2" xfId="2080"/>
    <cellStyle name="20% - Accent2 7 3" xfId="2081"/>
    <cellStyle name="20% - Accent2 7 4" xfId="2082"/>
    <cellStyle name="20% - Accent2 8 2" xfId="2083"/>
    <cellStyle name="20% - Accent2 8 3" xfId="2084"/>
    <cellStyle name="20% - Accent2 8 4" xfId="2085"/>
    <cellStyle name="20% - Accent2 9 2" xfId="2086"/>
    <cellStyle name="20% - Accent2 9 3" xfId="2087"/>
    <cellStyle name="20% - Accent2 9 4" xfId="2088"/>
    <cellStyle name="20% - Accent3 1" xfId="2089"/>
    <cellStyle name="20% - Accent3 10 2" xfId="2090"/>
    <cellStyle name="20% - Accent3 10 3" xfId="2091"/>
    <cellStyle name="20% - Accent3 10 4" xfId="2092"/>
    <cellStyle name="20% - Accent3 11 2" xfId="2093"/>
    <cellStyle name="20% - Accent3 11 3" xfId="2094"/>
    <cellStyle name="20% - Accent3 11 4" xfId="2095"/>
    <cellStyle name="20% - Accent3 12 2" xfId="2096"/>
    <cellStyle name="20% - Accent3 12 3" xfId="2097"/>
    <cellStyle name="20% - Accent3 12 4" xfId="2098"/>
    <cellStyle name="20% - Accent3 13 2" xfId="2099"/>
    <cellStyle name="20% - Accent3 13 3" xfId="2100"/>
    <cellStyle name="20% - Accent3 13 4" xfId="2101"/>
    <cellStyle name="20% - Accent3 14 2" xfId="2102"/>
    <cellStyle name="20% - Accent3 14 3" xfId="2103"/>
    <cellStyle name="20% - Accent3 14 4" xfId="2104"/>
    <cellStyle name="20% - Accent3 15 2" xfId="2105"/>
    <cellStyle name="20% - Accent3 15 3" xfId="2106"/>
    <cellStyle name="20% - Accent3 15 4" xfId="2107"/>
    <cellStyle name="20% - Accent3 16 2" xfId="2108"/>
    <cellStyle name="20% - Accent3 16 3" xfId="2109"/>
    <cellStyle name="20% - Accent3 16 4" xfId="2110"/>
    <cellStyle name="20% - Accent3 17 2" xfId="2111"/>
    <cellStyle name="20% - Accent3 17 3" xfId="2112"/>
    <cellStyle name="20% - Accent3 17 4" xfId="2113"/>
    <cellStyle name="20% - Accent3 2" xfId="2114"/>
    <cellStyle name="20% - Accent3 2 2" xfId="2115"/>
    <cellStyle name="20% - Accent3 2 3" xfId="2116"/>
    <cellStyle name="20% - Accent3 2 4" xfId="2117"/>
    <cellStyle name="20% - Accent3 3" xfId="2118"/>
    <cellStyle name="20% - Accent3 3 2" xfId="2119"/>
    <cellStyle name="20% - Accent3 3 3" xfId="2120"/>
    <cellStyle name="20% - Accent3 3 4" xfId="2121"/>
    <cellStyle name="20% - Accent3 4" xfId="2122"/>
    <cellStyle name="20% - Accent3 4 2" xfId="2123"/>
    <cellStyle name="20% - Accent3 4 3" xfId="2124"/>
    <cellStyle name="20% - Accent3 4 4" xfId="2125"/>
    <cellStyle name="20% - Accent3 5" xfId="2126"/>
    <cellStyle name="20% - Accent3 5 2" xfId="2127"/>
    <cellStyle name="20% - Accent3 5 3" xfId="2128"/>
    <cellStyle name="20% - Accent3 5 4" xfId="2129"/>
    <cellStyle name="20% - Accent3 6" xfId="2130"/>
    <cellStyle name="20% - Accent3 6 2" xfId="2131"/>
    <cellStyle name="20% - Accent3 6 3" xfId="2132"/>
    <cellStyle name="20% - Accent3 6 4" xfId="2133"/>
    <cellStyle name="20% - Accent3 7 2" xfId="2134"/>
    <cellStyle name="20% - Accent3 7 3" xfId="2135"/>
    <cellStyle name="20% - Accent3 7 4" xfId="2136"/>
    <cellStyle name="20% - Accent3 8 2" xfId="2137"/>
    <cellStyle name="20% - Accent3 8 3" xfId="2138"/>
    <cellStyle name="20% - Accent3 8 4" xfId="2139"/>
    <cellStyle name="20% - Accent3 9 2" xfId="2140"/>
    <cellStyle name="20% - Accent3 9 3" xfId="2141"/>
    <cellStyle name="20% - Accent3 9 4" xfId="2142"/>
    <cellStyle name="20% - Accent4 1" xfId="2143"/>
    <cellStyle name="20% - Accent4 10 2" xfId="2144"/>
    <cellStyle name="20% - Accent4 10 3" xfId="2145"/>
    <cellStyle name="20% - Accent4 10 4" xfId="2146"/>
    <cellStyle name="20% - Accent4 11 2" xfId="2147"/>
    <cellStyle name="20% - Accent4 11 3" xfId="2148"/>
    <cellStyle name="20% - Accent4 11 4" xfId="2149"/>
    <cellStyle name="20% - Accent4 12 2" xfId="2150"/>
    <cellStyle name="20% - Accent4 12 3" xfId="2151"/>
    <cellStyle name="20% - Accent4 12 4" xfId="2152"/>
    <cellStyle name="20% - Accent4 13 2" xfId="2153"/>
    <cellStyle name="20% - Accent4 13 3" xfId="2154"/>
    <cellStyle name="20% - Accent4 13 4" xfId="2155"/>
    <cellStyle name="20% - Accent4 14 2" xfId="2156"/>
    <cellStyle name="20% - Accent4 14 3" xfId="2157"/>
    <cellStyle name="20% - Accent4 14 4" xfId="2158"/>
    <cellStyle name="20% - Accent4 15 2" xfId="2159"/>
    <cellStyle name="20% - Accent4 15 3" xfId="2160"/>
    <cellStyle name="20% - Accent4 15 4" xfId="2161"/>
    <cellStyle name="20% - Accent4 16 2" xfId="2162"/>
    <cellStyle name="20% - Accent4 16 3" xfId="2163"/>
    <cellStyle name="20% - Accent4 16 4" xfId="2164"/>
    <cellStyle name="20% - Accent4 17 2" xfId="2165"/>
    <cellStyle name="20% - Accent4 17 3" xfId="2166"/>
    <cellStyle name="20% - Accent4 17 4" xfId="2167"/>
    <cellStyle name="20% - Accent4 2" xfId="2168"/>
    <cellStyle name="20% - Accent4 2 2" xfId="2169"/>
    <cellStyle name="20% - Accent4 2 3" xfId="2170"/>
    <cellStyle name="20% - Accent4 2 4" xfId="2171"/>
    <cellStyle name="20% - Accent4 3" xfId="2172"/>
    <cellStyle name="20% - Accent4 3 2" xfId="2173"/>
    <cellStyle name="20% - Accent4 3 3" xfId="2174"/>
    <cellStyle name="20% - Accent4 3 4" xfId="2175"/>
    <cellStyle name="20% - Accent4 4" xfId="2176"/>
    <cellStyle name="20% - Accent4 4 2" xfId="2177"/>
    <cellStyle name="20% - Accent4 4 3" xfId="2178"/>
    <cellStyle name="20% - Accent4 4 4" xfId="2179"/>
    <cellStyle name="20% - Accent4 5" xfId="2180"/>
    <cellStyle name="20% - Accent4 5 2" xfId="2181"/>
    <cellStyle name="20% - Accent4 5 3" xfId="2182"/>
    <cellStyle name="20% - Accent4 5 4" xfId="2183"/>
    <cellStyle name="20% - Accent4 6" xfId="2184"/>
    <cellStyle name="20% - Accent4 6 2" xfId="2185"/>
    <cellStyle name="20% - Accent4 6 3" xfId="2186"/>
    <cellStyle name="20% - Accent4 6 4" xfId="2187"/>
    <cellStyle name="20% - Accent4 7 2" xfId="2188"/>
    <cellStyle name="20% - Accent4 7 3" xfId="2189"/>
    <cellStyle name="20% - Accent4 7 4" xfId="2190"/>
    <cellStyle name="20% - Accent4 8 2" xfId="2191"/>
    <cellStyle name="20% - Accent4 8 3" xfId="2192"/>
    <cellStyle name="20% - Accent4 8 4" xfId="2193"/>
    <cellStyle name="20% - Accent4 9 2" xfId="2194"/>
    <cellStyle name="20% - Accent4 9 3" xfId="2195"/>
    <cellStyle name="20% - Accent4 9 4" xfId="2196"/>
    <cellStyle name="20% - Accent5 1" xfId="2197"/>
    <cellStyle name="20% - Accent5 10 2" xfId="2198"/>
    <cellStyle name="20% - Accent5 10 3" xfId="2199"/>
    <cellStyle name="20% - Accent5 10 4" xfId="2200"/>
    <cellStyle name="20% - Accent5 11 2" xfId="2201"/>
    <cellStyle name="20% - Accent5 11 3" xfId="2202"/>
    <cellStyle name="20% - Accent5 11 4" xfId="2203"/>
    <cellStyle name="20% - Accent5 12 2" xfId="2204"/>
    <cellStyle name="20% - Accent5 12 3" xfId="2205"/>
    <cellStyle name="20% - Accent5 12 4" xfId="2206"/>
    <cellStyle name="20% - Accent5 13 2" xfId="2207"/>
    <cellStyle name="20% - Accent5 13 3" xfId="2208"/>
    <cellStyle name="20% - Accent5 13 4" xfId="2209"/>
    <cellStyle name="20% - Accent5 14 2" xfId="2210"/>
    <cellStyle name="20% - Accent5 14 3" xfId="2211"/>
    <cellStyle name="20% - Accent5 14 4" xfId="2212"/>
    <cellStyle name="20% - Accent5 15 2" xfId="2213"/>
    <cellStyle name="20% - Accent5 15 3" xfId="2214"/>
    <cellStyle name="20% - Accent5 15 4" xfId="2215"/>
    <cellStyle name="20% - Accent5 16 2" xfId="2216"/>
    <cellStyle name="20% - Accent5 16 3" xfId="2217"/>
    <cellStyle name="20% - Accent5 16 4" xfId="2218"/>
    <cellStyle name="20% - Accent5 17 2" xfId="2219"/>
    <cellStyle name="20% - Accent5 17 3" xfId="2220"/>
    <cellStyle name="20% - Accent5 17 4" xfId="2221"/>
    <cellStyle name="20% - Accent5 2" xfId="2222"/>
    <cellStyle name="20% - Accent5 2 2" xfId="2223"/>
    <cellStyle name="20% - Accent5 2 3" xfId="2224"/>
    <cellStyle name="20% - Accent5 2 4" xfId="2225"/>
    <cellStyle name="20% - Accent5 3" xfId="2226"/>
    <cellStyle name="20% - Accent5 3 2" xfId="2227"/>
    <cellStyle name="20% - Accent5 3 3" xfId="2228"/>
    <cellStyle name="20% - Accent5 3 4" xfId="2229"/>
    <cellStyle name="20% - Accent5 4" xfId="2230"/>
    <cellStyle name="20% - Accent5 4 2" xfId="2231"/>
    <cellStyle name="20% - Accent5 4 3" xfId="2232"/>
    <cellStyle name="20% - Accent5 4 4" xfId="2233"/>
    <cellStyle name="20% - Accent5 5" xfId="2234"/>
    <cellStyle name="20% - Accent5 5 2" xfId="2235"/>
    <cellStyle name="20% - Accent5 5 3" xfId="2236"/>
    <cellStyle name="20% - Accent5 5 4" xfId="2237"/>
    <cellStyle name="20% - Accent5 6" xfId="2238"/>
    <cellStyle name="20% - Accent5 6 2" xfId="2239"/>
    <cellStyle name="20% - Accent5 6 3" xfId="2240"/>
    <cellStyle name="20% - Accent5 6 4" xfId="2241"/>
    <cellStyle name="20% - Accent5 7 2" xfId="2242"/>
    <cellStyle name="20% - Accent5 7 3" xfId="2243"/>
    <cellStyle name="20% - Accent5 7 4" xfId="2244"/>
    <cellStyle name="20% - Accent5 8 2" xfId="2245"/>
    <cellStyle name="20% - Accent5 8 3" xfId="2246"/>
    <cellStyle name="20% - Accent5 8 4" xfId="2247"/>
    <cellStyle name="20% - Accent5 9 2" xfId="2248"/>
    <cellStyle name="20% - Accent5 9 3" xfId="2249"/>
    <cellStyle name="20% - Accent5 9 3 2" xfId="2250"/>
    <cellStyle name="20% - Accent5 9 4" xfId="2251"/>
    <cellStyle name="20% - Accent6 1" xfId="2252"/>
    <cellStyle name="20% - Accent6 10 2" xfId="2253"/>
    <cellStyle name="20% - Accent6 10 3" xfId="2254"/>
    <cellStyle name="20% - Accent6 10 4" xfId="2255"/>
    <cellStyle name="20% - Accent6 11 2" xfId="2256"/>
    <cellStyle name="20% - Accent6 11 2 2" xfId="2257"/>
    <cellStyle name="20% - Accent6 11 3" xfId="2258"/>
    <cellStyle name="20% - Accent6 11 4" xfId="2259"/>
    <cellStyle name="20% - Accent6 12 2" xfId="2260"/>
    <cellStyle name="20% - Accent6 12 3" xfId="2261"/>
    <cellStyle name="20% - Accent6 12 4" xfId="2262"/>
    <cellStyle name="20% - Accent6 13 2" xfId="2263"/>
    <cellStyle name="20% - Accent6 13 3" xfId="2264"/>
    <cellStyle name="20% - Accent6 13 4" xfId="2265"/>
    <cellStyle name="20% - Accent6 14 2" xfId="2266"/>
    <cellStyle name="20% - Accent6 14 3" xfId="2267"/>
    <cellStyle name="20% - Accent6 14 4" xfId="2268"/>
    <cellStyle name="20% - Accent6 15 2" xfId="2269"/>
    <cellStyle name="20% - Accent6 15 3" xfId="2270"/>
    <cellStyle name="20% - Accent6 15 4" xfId="2271"/>
    <cellStyle name="20% - Accent6 16 2" xfId="2272"/>
    <cellStyle name="20% - Accent6 16 3" xfId="2273"/>
    <cellStyle name="20% - Accent6 16 4" xfId="2274"/>
    <cellStyle name="20% - Accent6 17 2" xfId="2275"/>
    <cellStyle name="20% - Accent6 17 3" xfId="2276"/>
    <cellStyle name="20% - Accent6 17 4" xfId="2277"/>
    <cellStyle name="20% - Accent6 2" xfId="2278"/>
    <cellStyle name="20% - Accent6 2 2" xfId="2279"/>
    <cellStyle name="20% - Accent6 2 3" xfId="2280"/>
    <cellStyle name="20% - Accent6 2 4" xfId="2281"/>
    <cellStyle name="20% - Accent6 3" xfId="2282"/>
    <cellStyle name="20% - Accent6 3 2" xfId="2283"/>
    <cellStyle name="20% - Accent6 3 3" xfId="2284"/>
    <cellStyle name="20% - Accent6 3 3 2" xfId="2285"/>
    <cellStyle name="20% - Accent6 3 3 3" xfId="2286"/>
    <cellStyle name="20% - Accent6 3 4" xfId="2287"/>
    <cellStyle name="20% - Accent6 3 4 2" xfId="2288"/>
    <cellStyle name="20% - Accent6 4" xfId="2289"/>
    <cellStyle name="20% - Accent6 4 2" xfId="2290"/>
    <cellStyle name="20% - Accent6 4 2 2" xfId="2291"/>
    <cellStyle name="20% - Accent6 4 3" xfId="2292"/>
    <cellStyle name="20% - Accent6 4 4" xfId="2293"/>
    <cellStyle name="20% - Accent6 4 5" xfId="2294"/>
    <cellStyle name="20% - Accent6 5" xfId="2295"/>
    <cellStyle name="20% - Accent6 5 2" xfId="2296"/>
    <cellStyle name="20% - Accent6 5 3" xfId="2297"/>
    <cellStyle name="20% - Accent6 5 4" xfId="2298"/>
    <cellStyle name="20% - Accent6 6" xfId="2299"/>
    <cellStyle name="20% - Accent6 6 2" xfId="2300"/>
    <cellStyle name="20% - Accent6 6 2 2" xfId="2301"/>
    <cellStyle name="20% - Accent6 6 3" xfId="2302"/>
    <cellStyle name="20% - Accent6 6 3 2" xfId="2303"/>
    <cellStyle name="20% - Accent6 6 4" xfId="2304"/>
    <cellStyle name="20% - Accent6 6 4 2" xfId="2305"/>
    <cellStyle name="20% - Accent6 7 2" xfId="2306"/>
    <cellStyle name="20% - Accent6 7 3" xfId="2307"/>
    <cellStyle name="20% - Accent6 7 3 2" xfId="2308"/>
    <cellStyle name="20% - Accent6 7 4" xfId="2309"/>
    <cellStyle name="20% - Accent6 8 2" xfId="2310"/>
    <cellStyle name="20% - Accent6 8 3" xfId="2311"/>
    <cellStyle name="20% - Accent6 8 4" xfId="2312"/>
    <cellStyle name="20% - Accent6 9 2" xfId="2313"/>
    <cellStyle name="20% - Accent6 9 2 2" xfId="2314"/>
    <cellStyle name="20% - Accent6 9 3" xfId="2315"/>
    <cellStyle name="20% - Accent6 9 3 2" xfId="2316"/>
    <cellStyle name="20% - Accent6 9 4" xfId="2317"/>
    <cellStyle name="20% - Accent6 9 4 2" xfId="2318"/>
    <cellStyle name="3" xfId="2319"/>
    <cellStyle name="4" xfId="2320"/>
    <cellStyle name="40 % - Accent1" xfId="2321"/>
    <cellStyle name="40 % - Accent2" xfId="2322"/>
    <cellStyle name="40 % - Accent3" xfId="2323"/>
    <cellStyle name="40 % - Accent4" xfId="2324"/>
    <cellStyle name="40 % - Accent5" xfId="2325"/>
    <cellStyle name="40 % - Accent6" xfId="2326"/>
    <cellStyle name="40% - Accent1 1" xfId="2327"/>
    <cellStyle name="40% - Accent1 1 2" xfId="2328"/>
    <cellStyle name="40% - Accent1 10 2" xfId="2329"/>
    <cellStyle name="40% - Accent1 10 3" xfId="2330"/>
    <cellStyle name="40% - Accent1 10 4" xfId="2331"/>
    <cellStyle name="40% - Accent1 11 2" xfId="2332"/>
    <cellStyle name="40% - Accent1 11 3" xfId="2333"/>
    <cellStyle name="40% - Accent1 11 3 2" xfId="2334"/>
    <cellStyle name="40% - Accent1 11 4" xfId="2335"/>
    <cellStyle name="40% - Accent1 12 2" xfId="2336"/>
    <cellStyle name="40% - Accent1 12 3" xfId="2337"/>
    <cellStyle name="40% - Accent1 12 3 2" xfId="2338"/>
    <cellStyle name="40% - Accent1 12 4" xfId="2339"/>
    <cellStyle name="40% - Accent1 12 4 2" xfId="2340"/>
    <cellStyle name="40% - Accent1 13 2" xfId="2341"/>
    <cellStyle name="40% - Accent1 13 3" xfId="2342"/>
    <cellStyle name="40% - Accent1 13 4" xfId="2343"/>
    <cellStyle name="40% - Accent1 13 4 2" xfId="2344"/>
    <cellStyle name="40% - Accent1 14 2" xfId="2345"/>
    <cellStyle name="40% - Accent1 14 2 2" xfId="2346"/>
    <cellStyle name="40% - Accent1 14 3" xfId="2347"/>
    <cellStyle name="40% - Accent1 14 4" xfId="2348"/>
    <cellStyle name="40% - Accent1 14 4 2" xfId="2349"/>
    <cellStyle name="40% - Accent1 15 2" xfId="2350"/>
    <cellStyle name="40% - Accent1 15 3" xfId="2351"/>
    <cellStyle name="40% - Accent1 15 3 2" xfId="2352"/>
    <cellStyle name="40% - Accent1 15 4" xfId="2353"/>
    <cellStyle name="40% - Accent1 15 4 2" xfId="2354"/>
    <cellStyle name="40% - Accent1 16 2" xfId="2355"/>
    <cellStyle name="40% - Accent1 16 2 2" xfId="2356"/>
    <cellStyle name="40% - Accent1 16 3" xfId="2357"/>
    <cellStyle name="40% - Accent1 16 3 2" xfId="2358"/>
    <cellStyle name="40% - Accent1 16 4" xfId="2359"/>
    <cellStyle name="40% - Accent1 16 4 2" xfId="2360"/>
    <cellStyle name="40% - Accent1 17 2" xfId="2361"/>
    <cellStyle name="40% - Accent1 17 3" xfId="2362"/>
    <cellStyle name="40% - Accent1 17 3 2" xfId="2363"/>
    <cellStyle name="40% - Accent1 17 4" xfId="2364"/>
    <cellStyle name="40% - Accent1 2" xfId="2365"/>
    <cellStyle name="40% - Accent1 2 2" xfId="2366"/>
    <cellStyle name="40% - Accent1 2 3" xfId="2367"/>
    <cellStyle name="40% - Accent1 2 3 2" xfId="2368"/>
    <cellStyle name="40% - Accent1 2 4" xfId="2369"/>
    <cellStyle name="40% - Accent1 2 4 2" xfId="2370"/>
    <cellStyle name="40% - Accent1 3" xfId="2371"/>
    <cellStyle name="40% - Accent1 3 2" xfId="2372"/>
    <cellStyle name="40% - Accent1 3 3" xfId="2373"/>
    <cellStyle name="40% - Accent1 3 4" xfId="2374"/>
    <cellStyle name="40% - Accent1 4" xfId="2375"/>
    <cellStyle name="40% - Accent1 4 2" xfId="2376"/>
    <cellStyle name="40% - Accent1 4 3" xfId="2377"/>
    <cellStyle name="40% - Accent1 4 3 2" xfId="2378"/>
    <cellStyle name="40% - Accent1 4 4" xfId="2379"/>
    <cellStyle name="40% - Accent1 4 4 2" xfId="2380"/>
    <cellStyle name="40% - Accent1 5" xfId="2381"/>
    <cellStyle name="40% - Accent1 5 2" xfId="2382"/>
    <cellStyle name="40% - Accent1 5 3" xfId="2383"/>
    <cellStyle name="40% - Accent1 5 3 2" xfId="2384"/>
    <cellStyle name="40% - Accent1 5 4" xfId="2385"/>
    <cellStyle name="40% - Accent1 6" xfId="2386"/>
    <cellStyle name="40% - Accent1 6 2" xfId="2387"/>
    <cellStyle name="40% - Accent1 6 3" xfId="2388"/>
    <cellStyle name="40% - Accent1 6 4" xfId="2389"/>
    <cellStyle name="40% - Accent1 7" xfId="2390"/>
    <cellStyle name="40% - Accent1 7 2" xfId="2391"/>
    <cellStyle name="40% - Accent1 7 3" xfId="2392"/>
    <cellStyle name="40% - Accent1 7 4" xfId="2393"/>
    <cellStyle name="40% - Accent1 8 2" xfId="2394"/>
    <cellStyle name="40% - Accent1 8 3" xfId="2395"/>
    <cellStyle name="40% - Accent1 8 4" xfId="2396"/>
    <cellStyle name="40% - Accent1 9 2" xfId="2397"/>
    <cellStyle name="40% - Accent1 9 3" xfId="2398"/>
    <cellStyle name="40% - Accent1 9 4" xfId="2399"/>
    <cellStyle name="40% - Accent2 1" xfId="2400"/>
    <cellStyle name="40% - Accent2 1 2" xfId="2401"/>
    <cellStyle name="40% - Accent2 10 2" xfId="2402"/>
    <cellStyle name="40% - Accent2 10 3" xfId="2403"/>
    <cellStyle name="40% - Accent2 10 4" xfId="2404"/>
    <cellStyle name="40% - Accent2 11 2" xfId="2405"/>
    <cellStyle name="40% - Accent2 11 3" xfId="2406"/>
    <cellStyle name="40% - Accent2 11 4" xfId="2407"/>
    <cellStyle name="40% - Accent2 12 2" xfId="2408"/>
    <cellStyle name="40% - Accent2 12 3" xfId="2409"/>
    <cellStyle name="40% - Accent2 12 4" xfId="2410"/>
    <cellStyle name="40% - Accent2 13 2" xfId="2411"/>
    <cellStyle name="40% - Accent2 13 3" xfId="2412"/>
    <cellStyle name="40% - Accent2 13 4" xfId="2413"/>
    <cellStyle name="40% - Accent2 14 2" xfId="2414"/>
    <cellStyle name="40% - Accent2 14 2 2" xfId="2415"/>
    <cellStyle name="40% - Accent2 14 3" xfId="2416"/>
    <cellStyle name="40% - Accent2 14 4" xfId="2417"/>
    <cellStyle name="40% - Accent2 15 2" xfId="2418"/>
    <cellStyle name="40% - Accent2 15 2 2" xfId="2419"/>
    <cellStyle name="40% - Accent2 15 3" xfId="2420"/>
    <cellStyle name="40% - Accent2 15 4" xfId="2421"/>
    <cellStyle name="40% - Accent2 16 2" xfId="2422"/>
    <cellStyle name="40% - Accent2 16 3" xfId="2423"/>
    <cellStyle name="40% - Accent2 16 4" xfId="2424"/>
    <cellStyle name="40% - Accent2 17 2" xfId="2425"/>
    <cellStyle name="40% - Accent2 17 2 2" xfId="2426"/>
    <cellStyle name="40% - Accent2 17 3" xfId="2427"/>
    <cellStyle name="40% - Accent2 17 4" xfId="2428"/>
    <cellStyle name="40% - Accent2 2" xfId="2429"/>
    <cellStyle name="40% - Accent2 2 2" xfId="2430"/>
    <cellStyle name="40% - Accent2 2 2 2" xfId="2431"/>
    <cellStyle name="40% - Accent2 2 3" xfId="2432"/>
    <cellStyle name="40% - Accent2 2 3 2" xfId="2433"/>
    <cellStyle name="40% - Accent2 2 4" xfId="2434"/>
    <cellStyle name="40% - Accent2 3" xfId="2435"/>
    <cellStyle name="40% - Accent2 3 2" xfId="2436"/>
    <cellStyle name="40% - Accent2 3 2 2" xfId="2437"/>
    <cellStyle name="40% - Accent2 3 3" xfId="2438"/>
    <cellStyle name="40% - Accent2 3 3 2" xfId="2439"/>
    <cellStyle name="40% - Accent2 3 4" xfId="2440"/>
    <cellStyle name="40% - Accent2 3 4 2" xfId="2441"/>
    <cellStyle name="40% - Accent2 3 5" xfId="2442"/>
    <cellStyle name="40% - Accent2 4" xfId="2443"/>
    <cellStyle name="40% - Accent2 4 2" xfId="2444"/>
    <cellStyle name="40% - Accent2 4 2 2" xfId="2445"/>
    <cellStyle name="40% - Accent2 4 3" xfId="2446"/>
    <cellStyle name="40% - Accent2 4 3 2" xfId="2447"/>
    <cellStyle name="40% - Accent2 4 4" xfId="2448"/>
    <cellStyle name="40% - Accent2 5" xfId="2449"/>
    <cellStyle name="40% - Accent2 5 2" xfId="2450"/>
    <cellStyle name="40% - Accent2 5 2 2" xfId="2451"/>
    <cellStyle name="40% - Accent2 5 3" xfId="2452"/>
    <cellStyle name="40% - Accent2 5 4" xfId="2453"/>
    <cellStyle name="40% - Accent2 6" xfId="2454"/>
    <cellStyle name="40% - Accent2 6 2" xfId="2455"/>
    <cellStyle name="40% - Accent2 6 2 2" xfId="2456"/>
    <cellStyle name="40% - Accent2 6 3" xfId="2457"/>
    <cellStyle name="40% - Accent2 6 3 2" xfId="2458"/>
    <cellStyle name="40% - Accent2 6 4" xfId="2459"/>
    <cellStyle name="40% - Accent2 6 4 2" xfId="2460"/>
    <cellStyle name="40% - Accent2 7 2" xfId="2461"/>
    <cellStyle name="40% - Accent2 7 2 2" xfId="2462"/>
    <cellStyle name="40% - Accent2 7 3" xfId="2463"/>
    <cellStyle name="40% - Accent2 7 4" xfId="2464"/>
    <cellStyle name="40% - Accent2 8 2" xfId="2465"/>
    <cellStyle name="40% - Accent2 8 3" xfId="2466"/>
    <cellStyle name="40% - Accent2 8 4" xfId="2467"/>
    <cellStyle name="40% - Accent2 9 2" xfId="2468"/>
    <cellStyle name="40% - Accent2 9 2 2" xfId="2469"/>
    <cellStyle name="40% - Accent2 9 3" xfId="2470"/>
    <cellStyle name="40% - Accent2 9 4" xfId="2471"/>
    <cellStyle name="40% - Accent3 1" xfId="2472"/>
    <cellStyle name="40% - Accent3 1 2" xfId="2473"/>
    <cellStyle name="40% - Accent3 10 2" xfId="2474"/>
    <cellStyle name="40% - Accent3 10 3" xfId="2475"/>
    <cellStyle name="40% - Accent3 10 3 2" xfId="2476"/>
    <cellStyle name="40% - Accent3 10 4" xfId="2477"/>
    <cellStyle name="40% - Accent3 10 4 2" xfId="2478"/>
    <cellStyle name="40% - Accent3 11 2" xfId="2479"/>
    <cellStyle name="40% - Accent3 11 2 2" xfId="2480"/>
    <cellStyle name="40% - Accent3 11 3" xfId="2481"/>
    <cellStyle name="40% - Accent3 11 4" xfId="2482"/>
    <cellStyle name="40% - Accent3 12 2" xfId="2483"/>
    <cellStyle name="40% - Accent3 12 2 2" xfId="2484"/>
    <cellStyle name="40% - Accent3 12 3" xfId="2485"/>
    <cellStyle name="40% - Accent3 12 4" xfId="2486"/>
    <cellStyle name="40% - Accent3 12 4 2" xfId="2487"/>
    <cellStyle name="40% - Accent3 13 2" xfId="2488"/>
    <cellStyle name="40% - Accent3 13 2 2" xfId="2489"/>
    <cellStyle name="40% - Accent3 13 3" xfId="2490"/>
    <cellStyle name="40% - Accent3 13 3 2" xfId="2491"/>
    <cellStyle name="40% - Accent3 13 4" xfId="2492"/>
    <cellStyle name="40% - Accent3 14 2" xfId="2493"/>
    <cellStyle name="40% - Accent3 14 3" xfId="2494"/>
    <cellStyle name="40% - Accent3 14 4" xfId="2495"/>
    <cellStyle name="40% - Accent3 15 2" xfId="2496"/>
    <cellStyle name="40% - Accent3 15 3" xfId="2497"/>
    <cellStyle name="40% - Accent3 15 3 2" xfId="2498"/>
    <cellStyle name="40% - Accent3 15 4" xfId="2499"/>
    <cellStyle name="40% - Accent3 15 4 2" xfId="2500"/>
    <cellStyle name="40% - Accent3 16 2" xfId="2501"/>
    <cellStyle name="40% - Accent3 16 2 2" xfId="2502"/>
    <cellStyle name="40% - Accent3 16 3" xfId="2503"/>
    <cellStyle name="40% - Accent3 16 4" xfId="2504"/>
    <cellStyle name="40% - Accent3 16 4 2" xfId="2505"/>
    <cellStyle name="40% - Accent3 17 2" xfId="2506"/>
    <cellStyle name="40% - Accent3 17 3" xfId="2507"/>
    <cellStyle name="40% - Accent3 17 4" xfId="2508"/>
    <cellStyle name="40% - Accent3 2" xfId="2509"/>
    <cellStyle name="40% - Accent3 2 2" xfId="2510"/>
    <cellStyle name="40% - Accent3 2 2 2" xfId="2511"/>
    <cellStyle name="40% - Accent3 2 3" xfId="2512"/>
    <cellStyle name="40% - Accent3 2 3 2" xfId="2513"/>
    <cellStyle name="40% - Accent3 2 4" xfId="2514"/>
    <cellStyle name="40% - Accent3 2 5" xfId="2515"/>
    <cellStyle name="40% - Accent3 3" xfId="2516"/>
    <cellStyle name="40% - Accent3 3 2" xfId="2517"/>
    <cellStyle name="40% - Accent3 3 2 2" xfId="2518"/>
    <cellStyle name="40% - Accent3 3 3" xfId="2519"/>
    <cellStyle name="40% - Accent3 3 4" xfId="2520"/>
    <cellStyle name="40% - Accent3 3 5" xfId="2521"/>
    <cellStyle name="40% - Accent3 4" xfId="2522"/>
    <cellStyle name="40% - Accent3 4 2" xfId="2523"/>
    <cellStyle name="40% - Accent3 4 2 2" xfId="2524"/>
    <cellStyle name="40% - Accent3 4 3" xfId="2525"/>
    <cellStyle name="40% - Accent3 4 3 2" xfId="2526"/>
    <cellStyle name="40% - Accent3 4 4" xfId="2527"/>
    <cellStyle name="40% - Accent3 4 4 2" xfId="2528"/>
    <cellStyle name="40% - Accent3 4 5" xfId="2529"/>
    <cellStyle name="40% - Accent3 5" xfId="2530"/>
    <cellStyle name="40% - Accent3 5 2" xfId="2531"/>
    <cellStyle name="40% - Accent3 5 2 2" xfId="2532"/>
    <cellStyle name="40% - Accent3 5 3" xfId="2533"/>
    <cellStyle name="40% - Accent3 5 3 2" xfId="2534"/>
    <cellStyle name="40% - Accent3 5 4" xfId="2535"/>
    <cellStyle name="40% - Accent3 6" xfId="2536"/>
    <cellStyle name="40% - Accent3 6 2" xfId="2537"/>
    <cellStyle name="40% - Accent3 6 3" xfId="2538"/>
    <cellStyle name="40% - Accent3 6 4" xfId="2539"/>
    <cellStyle name="40% - Accent3 7 2" xfId="2540"/>
    <cellStyle name="40% - Accent3 7 3" xfId="2541"/>
    <cellStyle name="40% - Accent3 7 4" xfId="2542"/>
    <cellStyle name="40% - Accent3 8 2" xfId="2543"/>
    <cellStyle name="40% - Accent3 8 2 2" xfId="2544"/>
    <cellStyle name="40% - Accent3 8 3" xfId="2545"/>
    <cellStyle name="40% - Accent3 8 4" xfId="2546"/>
    <cellStyle name="40% - Accent3 9 2" xfId="2547"/>
    <cellStyle name="40% - Accent3 9 2 2" xfId="2548"/>
    <cellStyle name="40% - Accent3 9 3" xfId="2549"/>
    <cellStyle name="40% - Accent3 9 4" xfId="2550"/>
    <cellStyle name="40% - Accent4 1" xfId="2551"/>
    <cellStyle name="40% - Accent4 10 2" xfId="2552"/>
    <cellStyle name="40% - Accent4 10 2 2" xfId="2553"/>
    <cellStyle name="40% - Accent4 10 3" xfId="2554"/>
    <cellStyle name="40% - Accent4 10 3 2" xfId="2555"/>
    <cellStyle name="40% - Accent4 10 4" xfId="2556"/>
    <cellStyle name="40% - Accent4 10 4 2" xfId="2557"/>
    <cellStyle name="40% - Accent4 11 2" xfId="2558"/>
    <cellStyle name="40% - Accent4 11 2 2" xfId="2559"/>
    <cellStyle name="40% - Accent4 11 3" xfId="2560"/>
    <cellStyle name="40% - Accent4 11 3 2" xfId="2561"/>
    <cellStyle name="40% - Accent4 11 4" xfId="2562"/>
    <cellStyle name="40% - Accent4 11 4 2" xfId="2563"/>
    <cellStyle name="40% - Accent4 12 2" xfId="2564"/>
    <cellStyle name="40% - Accent4 12 3" xfId="2565"/>
    <cellStyle name="40% - Accent4 12 3 2" xfId="2566"/>
    <cellStyle name="40% - Accent4 12 4" xfId="2567"/>
    <cellStyle name="40% - Accent4 13 2" xfId="2568"/>
    <cellStyle name="40% - Accent4 13 3" xfId="2569"/>
    <cellStyle name="40% - Accent4 13 3 2" xfId="2570"/>
    <cellStyle name="40% - Accent4 13 4" xfId="2571"/>
    <cellStyle name="40% - Accent4 13 4 2" xfId="2572"/>
    <cellStyle name="40% - Accent4 14 2" xfId="2573"/>
    <cellStyle name="40% - Accent4 14 3" xfId="2574"/>
    <cellStyle name="40% - Accent4 14 4" xfId="2575"/>
    <cellStyle name="40% - Accent4 15 2" xfId="2576"/>
    <cellStyle name="40% - Accent4 15 2 2" xfId="2577"/>
    <cellStyle name="40% - Accent4 15 3" xfId="2578"/>
    <cellStyle name="40% - Accent4 15 3 2" xfId="2579"/>
    <cellStyle name="40% - Accent4 15 4" xfId="2580"/>
    <cellStyle name="40% - Accent4 15 4 2" xfId="2581"/>
    <cellStyle name="40% - Accent4 16 2" xfId="2582"/>
    <cellStyle name="40% - Accent4 16 2 2" xfId="2583"/>
    <cellStyle name="40% - Accent4 16 3" xfId="2584"/>
    <cellStyle name="40% - Accent4 16 3 2" xfId="2585"/>
    <cellStyle name="40% - Accent4 16 4" xfId="2586"/>
    <cellStyle name="40% - Accent4 17 2" xfId="2587"/>
    <cellStyle name="40% - Accent4 17 2 2" xfId="2588"/>
    <cellStyle name="40% - Accent4 17 3" xfId="2589"/>
    <cellStyle name="40% - Accent4 17 4" xfId="2590"/>
    <cellStyle name="40% - Accent4 17 4 2" xfId="2591"/>
    <cellStyle name="40% - Accent4 2" xfId="2592"/>
    <cellStyle name="40% - Accent4 2 2" xfId="2593"/>
    <cellStyle name="40% - Accent4 2 2 2" xfId="2594"/>
    <cellStyle name="40% - Accent4 2 3" xfId="2595"/>
    <cellStyle name="40% - Accent4 2 4" xfId="2596"/>
    <cellStyle name="40% - Accent4 3" xfId="2597"/>
    <cellStyle name="40% - Accent4 3 2" xfId="2598"/>
    <cellStyle name="40% - Accent4 3 2 2" xfId="2599"/>
    <cellStyle name="40% - Accent4 3 3" xfId="2600"/>
    <cellStyle name="40% - Accent4 3 3 2" xfId="2601"/>
    <cellStyle name="40% - Accent4 3 4" xfId="2602"/>
    <cellStyle name="40% - Accent4 3 5" xfId="2603"/>
    <cellStyle name="40% - Accent4 4" xfId="2604"/>
    <cellStyle name="40% - Accent4 4 2" xfId="2605"/>
    <cellStyle name="40% - Accent4 4 2 2" xfId="2606"/>
    <cellStyle name="40% - Accent4 4 3" xfId="2607"/>
    <cellStyle name="40% - Accent4 4 3 2" xfId="2608"/>
    <cellStyle name="40% - Accent4 4 4" xfId="2609"/>
    <cellStyle name="40% - Accent4 5" xfId="2610"/>
    <cellStyle name="40% - Accent4 5 2" xfId="2611"/>
    <cellStyle name="40% - Accent4 5 3" xfId="2612"/>
    <cellStyle name="40% - Accent4 5 3 2" xfId="2613"/>
    <cellStyle name="40% - Accent4 5 4" xfId="2614"/>
    <cellStyle name="40% - Accent4 5 4 2" xfId="2615"/>
    <cellStyle name="40% - Accent4 6" xfId="2616"/>
    <cellStyle name="40% - Accent4 6 2" xfId="2617"/>
    <cellStyle name="40% - Accent4 6 2 2" xfId="2618"/>
    <cellStyle name="40% - Accent4 6 3" xfId="2619"/>
    <cellStyle name="40% - Accent4 6 3 2" xfId="2620"/>
    <cellStyle name="40% - Accent4 6 4" xfId="2621"/>
    <cellStyle name="40% - Accent4 7 2" xfId="2622"/>
    <cellStyle name="40% - Accent4 7 2 2" xfId="2623"/>
    <cellStyle name="40% - Accent4 7 3" xfId="2624"/>
    <cellStyle name="40% - Accent4 7 4" xfId="2625"/>
    <cellStyle name="40% - Accent4 8 2" xfId="2626"/>
    <cellStyle name="40% - Accent4 8 2 2" xfId="2627"/>
    <cellStyle name="40% - Accent4 8 3" xfId="2628"/>
    <cellStyle name="40% - Accent4 8 4" xfId="2629"/>
    <cellStyle name="40% - Accent4 9 2" xfId="2630"/>
    <cellStyle name="40% - Accent4 9 2 2" xfId="2631"/>
    <cellStyle name="40% - Accent4 9 3" xfId="2632"/>
    <cellStyle name="40% - Accent4 9 4" xfId="2633"/>
    <cellStyle name="40% - Accent5 1" xfId="2634"/>
    <cellStyle name="40% - Accent5 1 2" xfId="2635"/>
    <cellStyle name="40% - Accent5 10 2" xfId="2636"/>
    <cellStyle name="40% - Accent5 10 2 2" xfId="2637"/>
    <cellStyle name="40% - Accent5 10 3" xfId="2638"/>
    <cellStyle name="40% - Accent5 10 3 2" xfId="2639"/>
    <cellStyle name="40% - Accent5 10 4" xfId="2640"/>
    <cellStyle name="40% - Accent5 10 4 2" xfId="2641"/>
    <cellStyle name="40% - Accent5 11 2" xfId="2642"/>
    <cellStyle name="40% - Accent5 11 3" xfId="2643"/>
    <cellStyle name="40% - Accent5 11 3 2" xfId="2644"/>
    <cellStyle name="40% - Accent5 11 4" xfId="2645"/>
    <cellStyle name="40% - Accent5 11 4 2" xfId="2646"/>
    <cellStyle name="40% - Accent5 12 2" xfId="2647"/>
    <cellStyle name="40% - Accent5 12 2 2" xfId="2648"/>
    <cellStyle name="40% - Accent5 12 3" xfId="2649"/>
    <cellStyle name="40% - Accent5 12 3 2" xfId="2650"/>
    <cellStyle name="40% - Accent5 12 4" xfId="2651"/>
    <cellStyle name="40% - Accent5 12 4 2" xfId="2652"/>
    <cellStyle name="40% - Accent5 13 2" xfId="2653"/>
    <cellStyle name="40% - Accent5 13 2 2" xfId="2654"/>
    <cellStyle name="40% - Accent5 13 3" xfId="2655"/>
    <cellStyle name="40% - Accent5 13 4" xfId="2656"/>
    <cellStyle name="40% - Accent5 14 2" xfId="2657"/>
    <cellStyle name="40% - Accent5 14 3" xfId="2658"/>
    <cellStyle name="40% - Accent5 14 3 2" xfId="2659"/>
    <cellStyle name="40% - Accent5 14 4" xfId="2660"/>
    <cellStyle name="40% - Accent5 14 4 2" xfId="2661"/>
    <cellStyle name="40% - Accent5 15 2" xfId="2662"/>
    <cellStyle name="40% - Accent5 15 2 2" xfId="2663"/>
    <cellStyle name="40% - Accent5 15 3" xfId="2664"/>
    <cellStyle name="40% - Accent5 15 3 2" xfId="2665"/>
    <cellStyle name="40% - Accent5 15 4" xfId="2666"/>
    <cellStyle name="40% - Accent5 16 2" xfId="2667"/>
    <cellStyle name="40% - Accent5 16 2 2" xfId="2668"/>
    <cellStyle name="40% - Accent5 16 3" xfId="2669"/>
    <cellStyle name="40% - Accent5 16 3 2" xfId="2670"/>
    <cellStyle name="40% - Accent5 16 4" xfId="2671"/>
    <cellStyle name="40% - Accent5 17 2" xfId="2672"/>
    <cellStyle name="40% - Accent5 17 3" xfId="2673"/>
    <cellStyle name="40% - Accent5 17 3 2" xfId="2674"/>
    <cellStyle name="40% - Accent5 17 4" xfId="2675"/>
    <cellStyle name="40% - Accent5 2" xfId="2676"/>
    <cellStyle name="40% - Accent5 2 2" xfId="2677"/>
    <cellStyle name="40% - Accent5 2 2 2" xfId="2678"/>
    <cellStyle name="40% - Accent5 2 3" xfId="2679"/>
    <cellStyle name="40% - Accent5 2 4" xfId="2680"/>
    <cellStyle name="40% - Accent5 2 4 2" xfId="2681"/>
    <cellStyle name="40% - Accent5 2 5" xfId="2682"/>
    <cellStyle name="40% - Accent5 3" xfId="2683"/>
    <cellStyle name="40% - Accent5 3 2" xfId="2684"/>
    <cellStyle name="40% - Accent5 3 2 2" xfId="2685"/>
    <cellStyle name="40% - Accent5 3 3" xfId="2686"/>
    <cellStyle name="40% - Accent5 3 3 2" xfId="2687"/>
    <cellStyle name="40% - Accent5 3 4" xfId="2688"/>
    <cellStyle name="40% - Accent5 3 4 2" xfId="2689"/>
    <cellStyle name="40% - Accent5 4" xfId="2690"/>
    <cellStyle name="40% - Accent5 4 2" xfId="2691"/>
    <cellStyle name="40% - Accent5 4 3" xfId="2692"/>
    <cellStyle name="40% - Accent5 4 3 2" xfId="2693"/>
    <cellStyle name="40% - Accent5 4 4" xfId="2694"/>
    <cellStyle name="40% - Accent5 4 4 2" xfId="2695"/>
    <cellStyle name="40% - Accent5 5" xfId="2696"/>
    <cellStyle name="40% - Accent5 5 2" xfId="2697"/>
    <cellStyle name="40% - Accent5 5 3" xfId="2698"/>
    <cellStyle name="40% - Accent5 5 3 2" xfId="2699"/>
    <cellStyle name="40% - Accent5 5 4" xfId="2700"/>
    <cellStyle name="40% - Accent5 5 4 2" xfId="2701"/>
    <cellStyle name="40% - Accent5 6" xfId="2702"/>
    <cellStyle name="40% - Accent5 6 2" xfId="2703"/>
    <cellStyle name="40% - Accent5 6 2 2" xfId="2704"/>
    <cellStyle name="40% - Accent5 6 3" xfId="2705"/>
    <cellStyle name="40% - Accent5 6 3 2" xfId="2706"/>
    <cellStyle name="40% - Accent5 6 4" xfId="2707"/>
    <cellStyle name="40% - Accent5 6 4 2" xfId="2708"/>
    <cellStyle name="40% - Accent5 7 2" xfId="2709"/>
    <cellStyle name="40% - Accent5 7 2 2" xfId="2710"/>
    <cellStyle name="40% - Accent5 7 3" xfId="2711"/>
    <cellStyle name="40% - Accent5 7 4" xfId="2712"/>
    <cellStyle name="40% - Accent5 8 2" xfId="2713"/>
    <cellStyle name="40% - Accent5 8 3" xfId="2714"/>
    <cellStyle name="40% - Accent5 8 4" xfId="2715"/>
    <cellStyle name="40% - Accent5 9 2" xfId="2716"/>
    <cellStyle name="40% - Accent5 9 2 2" xfId="2717"/>
    <cellStyle name="40% - Accent5 9 3" xfId="2718"/>
    <cellStyle name="40% - Accent5 9 4" xfId="2719"/>
    <cellStyle name="40% - Accent6 1" xfId="2720"/>
    <cellStyle name="40% - Accent6 1 2" xfId="2721"/>
    <cellStyle name="40% - Accent6 10 2" xfId="2722"/>
    <cellStyle name="40% - Accent6 10 2 2" xfId="2723"/>
    <cellStyle name="40% - Accent6 10 3" xfId="2724"/>
    <cellStyle name="40% - Accent6 10 3 2" xfId="2725"/>
    <cellStyle name="40% - Accent6 10 4" xfId="2726"/>
    <cellStyle name="40% - Accent6 10 4 2" xfId="2727"/>
    <cellStyle name="40% - Accent6 11 2" xfId="2728"/>
    <cellStyle name="40% - Accent6 11 3" xfId="2729"/>
    <cellStyle name="40% - Accent6 11 3 2" xfId="2730"/>
    <cellStyle name="40% - Accent6 11 4" xfId="2731"/>
    <cellStyle name="40% - Accent6 12 2" xfId="2732"/>
    <cellStyle name="40% - Accent6 12 2 2" xfId="2733"/>
    <cellStyle name="40% - Accent6 12 3" xfId="2734"/>
    <cellStyle name="40% - Accent6 12 4" xfId="2735"/>
    <cellStyle name="40% - Accent6 12 4 2" xfId="2736"/>
    <cellStyle name="40% - Accent6 13 2" xfId="2737"/>
    <cellStyle name="40% - Accent6 13 3" xfId="2738"/>
    <cellStyle name="40% - Accent6 13 4" xfId="2739"/>
    <cellStyle name="40% - Accent6 14 2" xfId="2740"/>
    <cellStyle name="40% - Accent6 14 2 2" xfId="2741"/>
    <cellStyle name="40% - Accent6 14 3" xfId="2742"/>
    <cellStyle name="40% - Accent6 14 4" xfId="2743"/>
    <cellStyle name="40% - Accent6 14 4 2" xfId="2744"/>
    <cellStyle name="40% - Accent6 15 2" xfId="2745"/>
    <cellStyle name="40% - Accent6 15 2 2" xfId="2746"/>
    <cellStyle name="40% - Accent6 15 3" xfId="2747"/>
    <cellStyle name="40% - Accent6 15 4" xfId="2748"/>
    <cellStyle name="40% - Accent6 15 4 2" xfId="2749"/>
    <cellStyle name="40% - Accent6 16 2" xfId="2750"/>
    <cellStyle name="40% - Accent6 16 2 2" xfId="2751"/>
    <cellStyle name="40% - Accent6 16 3" xfId="2752"/>
    <cellStyle name="40% - Accent6 16 3 2" xfId="2753"/>
    <cellStyle name="40% - Accent6 16 4" xfId="2754"/>
    <cellStyle name="40% - Accent6 16 4 2" xfId="2755"/>
    <cellStyle name="40% - Accent6 17 2" xfId="2756"/>
    <cellStyle name="40% - Accent6 17 3" xfId="2757"/>
    <cellStyle name="40% - Accent6 17 3 2" xfId="2758"/>
    <cellStyle name="40% - Accent6 17 4" xfId="2759"/>
    <cellStyle name="40% - Accent6 2" xfId="2760"/>
    <cellStyle name="40% - Accent6 2 2" xfId="2761"/>
    <cellStyle name="40% - Accent6 2 3" xfId="2762"/>
    <cellStyle name="40% - Accent6 2 3 2" xfId="2763"/>
    <cellStyle name="40% - Accent6 2 4" xfId="2764"/>
    <cellStyle name="40% - Accent6 2 5" xfId="2765"/>
    <cellStyle name="40% - Accent6 3" xfId="2766"/>
    <cellStyle name="40% - Accent6 3 2" xfId="2767"/>
    <cellStyle name="40% - Accent6 3 3" xfId="2768"/>
    <cellStyle name="40% - Accent6 3 4" xfId="2769"/>
    <cellStyle name="40% - Accent6 4" xfId="2770"/>
    <cellStyle name="40% - Accent6 4 2" xfId="2771"/>
    <cellStyle name="40% - Accent6 4 2 2" xfId="2772"/>
    <cellStyle name="40% - Accent6 4 3" xfId="2773"/>
    <cellStyle name="40% - Accent6 4 3 2" xfId="2774"/>
    <cellStyle name="40% - Accent6 4 4" xfId="2775"/>
    <cellStyle name="40% - Accent6 4 4 2" xfId="2776"/>
    <cellStyle name="40% - Accent6 5" xfId="2777"/>
    <cellStyle name="40% - Accent6 5 2" xfId="2778"/>
    <cellStyle name="40% - Accent6 5 3" xfId="2779"/>
    <cellStyle name="40% - Accent6 5 3 2" xfId="2780"/>
    <cellStyle name="40% - Accent6 5 4" xfId="2781"/>
    <cellStyle name="40% - Accent6 5 4 2" xfId="2782"/>
    <cellStyle name="40% - Accent6 6" xfId="2783"/>
    <cellStyle name="40% - Accent6 6 2" xfId="2784"/>
    <cellStyle name="40% - Accent6 6 3" xfId="2785"/>
    <cellStyle name="40% - Accent6 6 3 2" xfId="2786"/>
    <cellStyle name="40% - Accent6 6 4" xfId="2787"/>
    <cellStyle name="40% - Accent6 6 4 2" xfId="2788"/>
    <cellStyle name="40% - Accent6 7 2" xfId="2789"/>
    <cellStyle name="40% - Accent6 7 2 2" xfId="2790"/>
    <cellStyle name="40% - Accent6 7 3" xfId="2791"/>
    <cellStyle name="40% - Accent6 7 4" xfId="2792"/>
    <cellStyle name="40% - Accent6 8 2" xfId="2793"/>
    <cellStyle name="40% - Accent6 8 2 2" xfId="2794"/>
    <cellStyle name="40% - Accent6 8 3" xfId="2795"/>
    <cellStyle name="40% - Accent6 8 4" xfId="2796"/>
    <cellStyle name="40% - Accent6 8 4 2" xfId="2797"/>
    <cellStyle name="40% - Accent6 9 2" xfId="2798"/>
    <cellStyle name="40% - Accent6 9 2 2" xfId="2799"/>
    <cellStyle name="40% - Accent6 9 3" xfId="2800"/>
    <cellStyle name="40% - Accent6 9 3 2" xfId="2801"/>
    <cellStyle name="40% - Accent6 9 4" xfId="2802"/>
    <cellStyle name="60 % - Accent1" xfId="2803"/>
    <cellStyle name="60 % - Accent2" xfId="2804"/>
    <cellStyle name="60 % - Accent3" xfId="2805"/>
    <cellStyle name="60 % - Accent4" xfId="2806"/>
    <cellStyle name="60 % - Accent5" xfId="2807"/>
    <cellStyle name="60 % - Accent6" xfId="2808"/>
    <cellStyle name="60% - Accent1 1" xfId="2809"/>
    <cellStyle name="60% - Accent1 10 2" xfId="2810"/>
    <cellStyle name="60% - Accent1 10 2 2" xfId="2811"/>
    <cellStyle name="60% - Accent1 10 3" xfId="2812"/>
    <cellStyle name="60% - Accent1 10 4" xfId="2813"/>
    <cellStyle name="60% - Accent1 11 2" xfId="2814"/>
    <cellStyle name="60% - Accent1 11 2 2" xfId="2815"/>
    <cellStyle name="60% - Accent1 11 3" xfId="2816"/>
    <cellStyle name="60% - Accent1 11 4" xfId="2817"/>
    <cellStyle name="60% - Accent1 11 4 2" xfId="2818"/>
    <cellStyle name="60% - Accent1 12 2" xfId="2819"/>
    <cellStyle name="60% - Accent1 12 2 2" xfId="2820"/>
    <cellStyle name="60% - Accent1 12 3" xfId="2821"/>
    <cellStyle name="60% - Accent1 12 3 2" xfId="2822"/>
    <cellStyle name="60% - Accent1 12 4" xfId="2823"/>
    <cellStyle name="60% - Accent1 12 4 2" xfId="2824"/>
    <cellStyle name="60% - Accent1 13 2" xfId="2825"/>
    <cellStyle name="60% - Accent1 13 2 2" xfId="2826"/>
    <cellStyle name="60% - Accent1 13 3" xfId="2827"/>
    <cellStyle name="60% - Accent1 13 3 2" xfId="2828"/>
    <cellStyle name="60% - Accent1 13 4" xfId="2829"/>
    <cellStyle name="60% - Accent1 13 4 2" xfId="2830"/>
    <cellStyle name="60% - Accent1 14 2" xfId="2831"/>
    <cellStyle name="60% - Accent1 14 3" xfId="2832"/>
    <cellStyle name="60% - Accent1 14 4" xfId="2833"/>
    <cellStyle name="60% - Accent1 15 2" xfId="2834"/>
    <cellStyle name="60% - Accent1 15 2 2" xfId="2835"/>
    <cellStyle name="60% - Accent1 15 3" xfId="2836"/>
    <cellStyle name="60% - Accent1 15 3 2" xfId="2837"/>
    <cellStyle name="60% - Accent1 15 4" xfId="2838"/>
    <cellStyle name="60% - Accent1 15 4 2" xfId="2839"/>
    <cellStyle name="60% - Accent1 16 2" xfId="2840"/>
    <cellStyle name="60% - Accent1 16 2 2" xfId="2841"/>
    <cellStyle name="60% - Accent1 16 3" xfId="2842"/>
    <cellStyle name="60% - Accent1 16 3 2" xfId="2843"/>
    <cellStyle name="60% - Accent1 16 4" xfId="2844"/>
    <cellStyle name="60% - Accent1 16 4 2" xfId="2845"/>
    <cellStyle name="60% - Accent1 17 2" xfId="2846"/>
    <cellStyle name="60% - Accent1 17 2 2" xfId="2847"/>
    <cellStyle name="60% - Accent1 17 3" xfId="2848"/>
    <cellStyle name="60% - Accent1 17 3 2" xfId="2849"/>
    <cellStyle name="60% - Accent1 17 4" xfId="2850"/>
    <cellStyle name="60% - Accent1 2" xfId="2851"/>
    <cellStyle name="60% - Accent1 2 2" xfId="2852"/>
    <cellStyle name="60% - Accent1 2 3" xfId="2853"/>
    <cellStyle name="60% - Accent1 2 4" xfId="2854"/>
    <cellStyle name="60% - Accent1 2 4 2" xfId="2855"/>
    <cellStyle name="60% - Accent1 3" xfId="2856"/>
    <cellStyle name="60% - Accent1 3 2" xfId="2857"/>
    <cellStyle name="60% - Accent1 3 3" xfId="2858"/>
    <cellStyle name="60% - Accent1 3 4" xfId="2859"/>
    <cellStyle name="60% - Accent1 4" xfId="2860"/>
    <cellStyle name="60% - Accent1 4 2" xfId="2861"/>
    <cellStyle name="60% - Accent1 4 3" xfId="2862"/>
    <cellStyle name="60% - Accent1 4 4" xfId="2863"/>
    <cellStyle name="60% - Accent1 4 4 2" xfId="2864"/>
    <cellStyle name="60% - Accent1 5" xfId="2865"/>
    <cellStyle name="60% - Accent1 5 2" xfId="2866"/>
    <cellStyle name="60% - Accent1 5 3" xfId="2867"/>
    <cellStyle name="60% - Accent1 5 3 2" xfId="2868"/>
    <cellStyle name="60% - Accent1 5 4" xfId="2869"/>
    <cellStyle name="60% - Accent1 5 5" xfId="2870"/>
    <cellStyle name="60% - Accent1 6" xfId="2871"/>
    <cellStyle name="60% - Accent1 6 2" xfId="2872"/>
    <cellStyle name="60% - Accent1 6 2 2" xfId="2873"/>
    <cellStyle name="60% - Accent1 6 3" xfId="2874"/>
    <cellStyle name="60% - Accent1 6 3 2" xfId="2875"/>
    <cellStyle name="60% - Accent1 6 4" xfId="2876"/>
    <cellStyle name="60% - Accent1 6 4 2" xfId="2877"/>
    <cellStyle name="60% - Accent1 7" xfId="2878"/>
    <cellStyle name="60% - Accent1 7 2" xfId="2879"/>
    <cellStyle name="60% - Accent1 7 2 2" xfId="2880"/>
    <cellStyle name="60% - Accent1 7 3" xfId="2881"/>
    <cellStyle name="60% - Accent1 7 4" xfId="2882"/>
    <cellStyle name="60% - Accent1 7 4 2" xfId="2883"/>
    <cellStyle name="60% - Accent1 8 2" xfId="2884"/>
    <cellStyle name="60% - Accent1 8 2 2" xfId="2885"/>
    <cellStyle name="60% - Accent1 8 3" xfId="2886"/>
    <cellStyle name="60% - Accent1 8 4" xfId="2887"/>
    <cellStyle name="60% - Accent1 9 2" xfId="2888"/>
    <cellStyle name="60% - Accent1 9 3" xfId="2889"/>
    <cellStyle name="60% - Accent1 9 4" xfId="2890"/>
    <cellStyle name="60% - Accent1 9 4 2" xfId="2891"/>
    <cellStyle name="60% - Accent2 1" xfId="2892"/>
    <cellStyle name="60% - Accent2 10 2" xfId="2893"/>
    <cellStyle name="60% - Accent2 10 2 2" xfId="2894"/>
    <cellStyle name="60% - Accent2 10 3" xfId="2895"/>
    <cellStyle name="60% - Accent2 10 4" xfId="2896"/>
    <cellStyle name="60% - Accent2 10 4 2" xfId="2897"/>
    <cellStyle name="60% - Accent2 11 2" xfId="2898"/>
    <cellStyle name="60% - Accent2 11 2 2" xfId="2899"/>
    <cellStyle name="60% - Accent2 11 3" xfId="2900"/>
    <cellStyle name="60% - Accent2 11 4" xfId="2901"/>
    <cellStyle name="60% - Accent2 12 2" xfId="2902"/>
    <cellStyle name="60% - Accent2 12 2 2" xfId="2903"/>
    <cellStyle name="60% - Accent2 12 3" xfId="2904"/>
    <cellStyle name="60% - Accent2 12 3 2" xfId="2905"/>
    <cellStyle name="60% - Accent2 12 4" xfId="2906"/>
    <cellStyle name="60% - Accent2 12 4 2" xfId="2907"/>
    <cellStyle name="60% - Accent2 13 2" xfId="2908"/>
    <cellStyle name="60% - Accent2 13 3" xfId="2909"/>
    <cellStyle name="60% - Accent2 13 4" xfId="2910"/>
    <cellStyle name="60% - Accent2 13 4 2" xfId="2911"/>
    <cellStyle name="60% - Accent2 14 2" xfId="2912"/>
    <cellStyle name="60% - Accent2 14 3" xfId="2913"/>
    <cellStyle name="60% - Accent2 14 4" xfId="2914"/>
    <cellStyle name="60% - Accent2 15 2" xfId="2915"/>
    <cellStyle name="60% - Accent2 15 2 2" xfId="2916"/>
    <cellStyle name="60% - Accent2 15 3" xfId="2917"/>
    <cellStyle name="60% - Accent2 15 3 2" xfId="2918"/>
    <cellStyle name="60% - Accent2 15 4" xfId="2919"/>
    <cellStyle name="60% - Accent2 16 2" xfId="2920"/>
    <cellStyle name="60% - Accent2 16 2 2" xfId="2921"/>
    <cellStyle name="60% - Accent2 16 3" xfId="2922"/>
    <cellStyle name="60% - Accent2 16 4" xfId="2923"/>
    <cellStyle name="60% - Accent2 16 4 2" xfId="2924"/>
    <cellStyle name="60% - Accent2 17 2" xfId="2925"/>
    <cellStyle name="60% - Accent2 17 2 2" xfId="2926"/>
    <cellStyle name="60% - Accent2 17 3" xfId="2927"/>
    <cellStyle name="60% - Accent2 17 3 2" xfId="2928"/>
    <cellStyle name="60% - Accent2 17 4" xfId="2929"/>
    <cellStyle name="60% - Accent2 2" xfId="2930"/>
    <cellStyle name="60% - Accent2 2 2" xfId="2931"/>
    <cellStyle name="60% - Accent2 2 2 2" xfId="2932"/>
    <cellStyle name="60% - Accent2 2 3" xfId="2933"/>
    <cellStyle name="60% - Accent2 2 3 2" xfId="2934"/>
    <cellStyle name="60% - Accent2 2 4" xfId="2935"/>
    <cellStyle name="60% - Accent2 2 4 2" xfId="2936"/>
    <cellStyle name="60% - Accent2 3" xfId="2937"/>
    <cellStyle name="60% - Accent2 3 2" xfId="2938"/>
    <cellStyle name="60% - Accent2 3 3" xfId="2939"/>
    <cellStyle name="60% - Accent2 3 4" xfId="2940"/>
    <cellStyle name="60% - Accent2 4" xfId="2941"/>
    <cellStyle name="60% - Accent2 4 2" xfId="2942"/>
    <cellStyle name="60% - Accent2 4 3" xfId="2943"/>
    <cellStyle name="60% - Accent2 4 4" xfId="2944"/>
    <cellStyle name="60% - Accent2 4 5" xfId="2945"/>
    <cellStyle name="60% - Accent2 5" xfId="2946"/>
    <cellStyle name="60% - Accent2 5 2" xfId="2947"/>
    <cellStyle name="60% - Accent2 5 2 2" xfId="2948"/>
    <cellStyle name="60% - Accent2 5 3" xfId="2949"/>
    <cellStyle name="60% - Accent2 5 3 2" xfId="2950"/>
    <cellStyle name="60% - Accent2 5 4" xfId="2951"/>
    <cellStyle name="60% - Accent2 5 4 2" xfId="2952"/>
    <cellStyle name="60% - Accent2 6" xfId="2953"/>
    <cellStyle name="60% - Accent2 6 2" xfId="2954"/>
    <cellStyle name="60% - Accent2 6 3" xfId="2955"/>
    <cellStyle name="60% - Accent2 6 3 2" xfId="2956"/>
    <cellStyle name="60% - Accent2 6 4" xfId="2957"/>
    <cellStyle name="60% - Accent2 7 2" xfId="2958"/>
    <cellStyle name="60% - Accent2 7 2 2" xfId="2959"/>
    <cellStyle name="60% - Accent2 7 3" xfId="2960"/>
    <cellStyle name="60% - Accent2 7 3 2" xfId="2961"/>
    <cellStyle name="60% - Accent2 7 4" xfId="2962"/>
    <cellStyle name="60% - Accent2 7 4 2" xfId="2963"/>
    <cellStyle name="60% - Accent2 8 2" xfId="2964"/>
    <cellStyle name="60% - Accent2 8 3" xfId="2965"/>
    <cellStyle name="60% - Accent2 8 3 2" xfId="2966"/>
    <cellStyle name="60% - Accent2 8 4" xfId="2967"/>
    <cellStyle name="60% - Accent2 8 4 2" xfId="2968"/>
    <cellStyle name="60% - Accent2 9 2" xfId="2969"/>
    <cellStyle name="60% - Accent2 9 2 2" xfId="2970"/>
    <cellStyle name="60% - Accent2 9 3" xfId="2971"/>
    <cellStyle name="60% - Accent2 9 3 2" xfId="2972"/>
    <cellStyle name="60% - Accent2 9 4" xfId="2973"/>
    <cellStyle name="60% - Accent2 9 4 2" xfId="2974"/>
    <cellStyle name="60% - Accent3 1" xfId="2975"/>
    <cellStyle name="60% - Accent3 10 2" xfId="2976"/>
    <cellStyle name="60% - Accent3 10 2 2" xfId="2977"/>
    <cellStyle name="60% - Accent3 10 3" xfId="2978"/>
    <cellStyle name="60% - Accent3 10 3 2" xfId="2979"/>
    <cellStyle name="60% - Accent3 10 4" xfId="2980"/>
    <cellStyle name="60% - Accent3 10 4 2" xfId="2981"/>
    <cellStyle name="60% - Accent3 11 2" xfId="2982"/>
    <cellStyle name="60% - Accent3 11 2 2" xfId="2983"/>
    <cellStyle name="60% - Accent3 11 3" xfId="2984"/>
    <cellStyle name="60% - Accent3 11 3 2" xfId="2985"/>
    <cellStyle name="60% - Accent3 11 4" xfId="2986"/>
    <cellStyle name="60% - Accent3 11 4 2" xfId="2987"/>
    <cellStyle name="60% - Accent3 12 2" xfId="2988"/>
    <cellStyle name="60% - Accent3 12 2 2" xfId="2989"/>
    <cellStyle name="60% - Accent3 12 3" xfId="2990"/>
    <cellStyle name="60% - Accent3 12 3 2" xfId="2991"/>
    <cellStyle name="60% - Accent3 12 4" xfId="2992"/>
    <cellStyle name="60% - Accent3 13 2" xfId="2993"/>
    <cellStyle name="60% - Accent3 13 3" xfId="2994"/>
    <cellStyle name="60% - Accent3 13 3 2" xfId="2995"/>
    <cellStyle name="60% - Accent3 13 4" xfId="2996"/>
    <cellStyle name="60% - Accent3 14 2" xfId="2997"/>
    <cellStyle name="60% - Accent3 14 3" xfId="2998"/>
    <cellStyle name="60% - Accent3 14 3 2" xfId="2999"/>
    <cellStyle name="60% - Accent3 14 4" xfId="3000"/>
    <cellStyle name="60% - Accent3 14 4 2" xfId="3001"/>
    <cellStyle name="60% - Accent3 15 2" xfId="3002"/>
    <cellStyle name="60% - Accent3 15 3" xfId="3003"/>
    <cellStyle name="60% - Accent3 15 3 2" xfId="3004"/>
    <cellStyle name="60% - Accent3 15 4" xfId="3005"/>
    <cellStyle name="60% - Accent3 15 4 2" xfId="3006"/>
    <cellStyle name="60% - Accent3 16 2" xfId="3007"/>
    <cellStyle name="60% - Accent3 16 2 2" xfId="3008"/>
    <cellStyle name="60% - Accent3 16 3" xfId="3009"/>
    <cellStyle name="60% - Accent3 16 3 2" xfId="3010"/>
    <cellStyle name="60% - Accent3 16 4" xfId="3011"/>
    <cellStyle name="60% - Accent3 16 4 2" xfId="3012"/>
    <cellStyle name="60% - Accent3 17 2" xfId="3013"/>
    <cellStyle name="60% - Accent3 17 3" xfId="3014"/>
    <cellStyle name="60% - Accent3 17 4" xfId="3015"/>
    <cellStyle name="60% - Accent3 2" xfId="3016"/>
    <cellStyle name="60% - Accent3 2 2" xfId="3017"/>
    <cellStyle name="60% - Accent3 2 2 2" xfId="3018"/>
    <cellStyle name="60% - Accent3 2 3" xfId="3019"/>
    <cellStyle name="60% - Accent3 2 3 2" xfId="3020"/>
    <cellStyle name="60% - Accent3 2 4" xfId="3021"/>
    <cellStyle name="60% - Accent3 2 4 2" xfId="3022"/>
    <cellStyle name="60% - Accent3 3" xfId="3023"/>
    <cellStyle name="60% - Accent3 3 2" xfId="3024"/>
    <cellStyle name="60% - Accent3 3 2 2" xfId="3025"/>
    <cellStyle name="60% - Accent3 3 3" xfId="3026"/>
    <cellStyle name="60% - Accent3 3 3 2" xfId="3027"/>
    <cellStyle name="60% - Accent3 3 4" xfId="3028"/>
    <cellStyle name="60% - Accent3 4" xfId="3029"/>
    <cellStyle name="60% - Accent3 4 2" xfId="3030"/>
    <cellStyle name="60% - Accent3 4 2 2" xfId="3031"/>
    <cellStyle name="60% - Accent3 4 3" xfId="3032"/>
    <cellStyle name="60% - Accent3 4 3 2" xfId="3033"/>
    <cellStyle name="60% - Accent3 4 4" xfId="3034"/>
    <cellStyle name="60% - Accent3 4 4 2" xfId="3035"/>
    <cellStyle name="60% - Accent3 5" xfId="3036"/>
    <cellStyle name="60% - Accent3 5 2" xfId="3037"/>
    <cellStyle name="60% - Accent3 5 2 2" xfId="3038"/>
    <cellStyle name="60% - Accent3 5 3" xfId="3039"/>
    <cellStyle name="60% - Accent3 5 3 2" xfId="3040"/>
    <cellStyle name="60% - Accent3 5 4" xfId="3041"/>
    <cellStyle name="60% - Accent3 5 4 2" xfId="3042"/>
    <cellStyle name="60% - Accent3 6" xfId="3043"/>
    <cellStyle name="60% - Accent3 6 2" xfId="3044"/>
    <cellStyle name="60% - Accent3 6 2 2" xfId="3045"/>
    <cellStyle name="60% - Accent3 6 3" xfId="3046"/>
    <cellStyle name="60% - Accent3 6 3 2" xfId="3047"/>
    <cellStyle name="60% - Accent3 6 4" xfId="3048"/>
    <cellStyle name="60% - Accent3 6 4 2" xfId="3049"/>
    <cellStyle name="60% - Accent3 7 2" xfId="3050"/>
    <cellStyle name="60% - Accent3 7 3" xfId="3051"/>
    <cellStyle name="60% - Accent3 7 3 2" xfId="3052"/>
    <cellStyle name="60% - Accent3 7 4" xfId="3053"/>
    <cellStyle name="60% - Accent3 7 4 2" xfId="3054"/>
    <cellStyle name="60% - Accent3 8 2" xfId="3055"/>
    <cellStyle name="60% - Accent3 8 2 2" xfId="3056"/>
    <cellStyle name="60% - Accent3 8 3" xfId="3057"/>
    <cellStyle name="60% - Accent3 8 3 2" xfId="3058"/>
    <cellStyle name="60% - Accent3 8 4" xfId="3059"/>
    <cellStyle name="60% - Accent3 9 2" xfId="3060"/>
    <cellStyle name="60% - Accent3 9 3" xfId="3061"/>
    <cellStyle name="60% - Accent3 9 3 2" xfId="3062"/>
    <cellStyle name="60% - Accent3 9 4" xfId="3063"/>
    <cellStyle name="60% - Accent3 9 4 2" xfId="3064"/>
    <cellStyle name="60% - Accent4 1" xfId="3065"/>
    <cellStyle name="60% - Accent4 10 2" xfId="3066"/>
    <cellStyle name="60% - Accent4 10 2 2" xfId="3067"/>
    <cellStyle name="60% - Accent4 10 3" xfId="3068"/>
    <cellStyle name="60% - Accent4 10 3 2" xfId="3069"/>
    <cellStyle name="60% - Accent4 10 4" xfId="3070"/>
    <cellStyle name="60% - Accent4 11 2" xfId="3071"/>
    <cellStyle name="60% - Accent4 11 2 2" xfId="3072"/>
    <cellStyle name="60% - Accent4 11 3" xfId="3073"/>
    <cellStyle name="60% - Accent4 11 3 2" xfId="3074"/>
    <cellStyle name="60% - Accent4 11 4" xfId="3075"/>
    <cellStyle name="60% - Accent4 12 2" xfId="3076"/>
    <cellStyle name="60% - Accent4 12 2 2" xfId="3077"/>
    <cellStyle name="60% - Accent4 12 3" xfId="3078"/>
    <cellStyle name="60% - Accent4 12 3 2" xfId="3079"/>
    <cellStyle name="60% - Accent4 12 4" xfId="3080"/>
    <cellStyle name="60% - Accent4 13 2" xfId="3081"/>
    <cellStyle name="60% - Accent4 13 2 2" xfId="3082"/>
    <cellStyle name="60% - Accent4 13 3" xfId="3083"/>
    <cellStyle name="60% - Accent4 13 3 2" xfId="3084"/>
    <cellStyle name="60% - Accent4 13 4" xfId="3085"/>
    <cellStyle name="60% - Accent4 14 2" xfId="3086"/>
    <cellStyle name="60% - Accent4 14 3" xfId="3087"/>
    <cellStyle name="60% - Accent4 14 3 2" xfId="3088"/>
    <cellStyle name="60% - Accent4 14 4" xfId="3089"/>
    <cellStyle name="60% - Accent4 15 2" xfId="3090"/>
    <cellStyle name="60% - Accent4 15 2 2" xfId="3091"/>
    <cellStyle name="60% - Accent4 15 3" xfId="3092"/>
    <cellStyle name="60% - Accent4 15 4" xfId="3093"/>
    <cellStyle name="60% - Accent4 16 2" xfId="3094"/>
    <cellStyle name="60% - Accent4 16 2 2" xfId="3095"/>
    <cellStyle name="60% - Accent4 16 3" xfId="3096"/>
    <cellStyle name="60% - Accent4 16 3 2" xfId="3097"/>
    <cellStyle name="60% - Accent4 16 4" xfId="3098"/>
    <cellStyle name="60% - Accent4 17 2" xfId="3099"/>
    <cellStyle name="60% - Accent4 17 3" xfId="3100"/>
    <cellStyle name="60% - Accent4 17 3 2" xfId="3101"/>
    <cellStyle name="60% - Accent4 17 4" xfId="3102"/>
    <cellStyle name="60% - Accent4 2" xfId="3103"/>
    <cellStyle name="60% - Accent4 2 2" xfId="3104"/>
    <cellStyle name="60% - Accent4 2 2 2" xfId="3105"/>
    <cellStyle name="60% - Accent4 2 3" xfId="3106"/>
    <cellStyle name="60% - Accent4 2 4" xfId="3107"/>
    <cellStyle name="60% - Accent4 3" xfId="3108"/>
    <cellStyle name="60% - Accent4 3 2" xfId="3109"/>
    <cellStyle name="60% - Accent4 3 2 2" xfId="3110"/>
    <cellStyle name="60% - Accent4 3 3" xfId="3111"/>
    <cellStyle name="60% - Accent4 3 3 2" xfId="3112"/>
    <cellStyle name="60% - Accent4 3 4" xfId="3113"/>
    <cellStyle name="60% - Accent4 4" xfId="3114"/>
    <cellStyle name="60% - Accent4 4 2" xfId="3115"/>
    <cellStyle name="60% - Accent4 4 3" xfId="3116"/>
    <cellStyle name="60% - Accent4 4 3 2" xfId="3117"/>
    <cellStyle name="60% - Accent4 4 4" xfId="3118"/>
    <cellStyle name="60% - Accent4 4 5" xfId="3119"/>
    <cellStyle name="60% - Accent4 5" xfId="3120"/>
    <cellStyle name="60% - Accent4 5 2" xfId="3121"/>
    <cellStyle name="60% - Accent4 5 2 2" xfId="3122"/>
    <cellStyle name="60% - Accent4 5 3" xfId="3123"/>
    <cellStyle name="60% - Accent4 5 3 2" xfId="3124"/>
    <cellStyle name="60% - Accent4 5 4" xfId="3125"/>
    <cellStyle name="60% - Accent4 6" xfId="3126"/>
    <cellStyle name="60% - Accent4 6 2" xfId="3127"/>
    <cellStyle name="60% - Accent4 6 2 2" xfId="3128"/>
    <cellStyle name="60% - Accent4 6 3" xfId="3129"/>
    <cellStyle name="60% - Accent4 6 3 2" xfId="3130"/>
    <cellStyle name="60% - Accent4 6 4" xfId="3131"/>
    <cellStyle name="60% - Accent4 7 2" xfId="3132"/>
    <cellStyle name="60% - Accent4 7 2 2" xfId="3133"/>
    <cellStyle name="60% - Accent4 7 3" xfId="3134"/>
    <cellStyle name="60% - Accent4 7 3 2" xfId="3135"/>
    <cellStyle name="60% - Accent4 7 4" xfId="3136"/>
    <cellStyle name="60% - Accent4 8 2" xfId="3137"/>
    <cellStyle name="60% - Accent4 8 3" xfId="3138"/>
    <cellStyle name="60% - Accent4 8 3 2" xfId="3139"/>
    <cellStyle name="60% - Accent4 8 4" xfId="3140"/>
    <cellStyle name="60% - Accent4 8 4 2" xfId="3141"/>
    <cellStyle name="60% - Accent4 9 2" xfId="3142"/>
    <cellStyle name="60% - Accent4 9 2 2" xfId="3143"/>
    <cellStyle name="60% - Accent4 9 3" xfId="3144"/>
    <cellStyle name="60% - Accent4 9 3 2" xfId="3145"/>
    <cellStyle name="60% - Accent4 9 4" xfId="3146"/>
    <cellStyle name="60% - Accent4 9 4 2" xfId="3147"/>
    <cellStyle name="60% - Accent5 1" xfId="3148"/>
    <cellStyle name="60% - Accent5 10 2" xfId="3149"/>
    <cellStyle name="60% - Accent5 10 2 2" xfId="3150"/>
    <cellStyle name="60% - Accent5 10 3" xfId="3151"/>
    <cellStyle name="60% - Accent5 10 4" xfId="3152"/>
    <cellStyle name="60% - Accent5 11 2" xfId="3153"/>
    <cellStyle name="60% - Accent5 11 2 2" xfId="3154"/>
    <cellStyle name="60% - Accent5 11 3" xfId="3155"/>
    <cellStyle name="60% - Accent5 11 3 2" xfId="3156"/>
    <cellStyle name="60% - Accent5 11 4" xfId="3157"/>
    <cellStyle name="60% - Accent5 11 4 2" xfId="3158"/>
    <cellStyle name="60% - Accent5 12 2" xfId="3159"/>
    <cellStyle name="60% - Accent5 12 3" xfId="3160"/>
    <cellStyle name="60% - Accent5 12 4" xfId="3161"/>
    <cellStyle name="60% - Accent5 13 2" xfId="3162"/>
    <cellStyle name="60% - Accent5 13 3" xfId="3163"/>
    <cellStyle name="60% - Accent5 13 3 2" xfId="3164"/>
    <cellStyle name="60% - Accent5 13 4" xfId="3165"/>
    <cellStyle name="60% - Accent5 14 2" xfId="3166"/>
    <cellStyle name="60% - Accent5 14 3" xfId="3167"/>
    <cellStyle name="60% - Accent5 14 3 2" xfId="3168"/>
    <cellStyle name="60% - Accent5 14 4" xfId="3169"/>
    <cellStyle name="60% - Accent5 15 2" xfId="3170"/>
    <cellStyle name="60% - Accent5 15 3" xfId="3171"/>
    <cellStyle name="60% - Accent5 15 4" xfId="3172"/>
    <cellStyle name="60% - Accent5 16 2" xfId="3173"/>
    <cellStyle name="60% - Accent5 16 3" xfId="3174"/>
    <cellStyle name="60% - Accent5 16 4" xfId="3175"/>
    <cellStyle name="60% - Accent5 17 2" xfId="3176"/>
    <cellStyle name="60% - Accent5 17 3" xfId="3177"/>
    <cellStyle name="60% - Accent5 17 3 2" xfId="3178"/>
    <cellStyle name="60% - Accent5 17 4" xfId="3179"/>
    <cellStyle name="60% - Accent5 2" xfId="3180"/>
    <cellStyle name="60% - Accent5 2 2" xfId="3181"/>
    <cellStyle name="60% - Accent5 2 2 2" xfId="3182"/>
    <cellStyle name="60% - Accent5 2 3" xfId="3183"/>
    <cellStyle name="60% - Accent5 2 3 2" xfId="3184"/>
    <cellStyle name="60% - Accent5 2 4" xfId="3185"/>
    <cellStyle name="60% - Accent5 2 4 2" xfId="3186"/>
    <cellStyle name="60% - Accent5 3" xfId="3187"/>
    <cellStyle name="60% - Accent5 3 2" xfId="3188"/>
    <cellStyle name="60% - Accent5 3 2 2" xfId="3189"/>
    <cellStyle name="60% - Accent5 3 3" xfId="3190"/>
    <cellStyle name="60% - Accent5 3 4" xfId="3191"/>
    <cellStyle name="60% - Accent5 4" xfId="3192"/>
    <cellStyle name="60% - Accent5 4 2" xfId="3193"/>
    <cellStyle name="60% - Accent5 4 2 2" xfId="3194"/>
    <cellStyle name="60% - Accent5 4 3" xfId="3195"/>
    <cellStyle name="60% - Accent5 4 3 2" xfId="3196"/>
    <cellStyle name="60% - Accent5 4 4" xfId="3197"/>
    <cellStyle name="60% - Accent5 4 4 2" xfId="3198"/>
    <cellStyle name="60% - Accent5 4 5" xfId="3199"/>
    <cellStyle name="60% - Accent5 5" xfId="3200"/>
    <cellStyle name="60% - Accent5 5 2" xfId="3201"/>
    <cellStyle name="60% - Accent5 5 3" xfId="3202"/>
    <cellStyle name="60% - Accent5 5 4" xfId="3203"/>
    <cellStyle name="60% - Accent5 6" xfId="3204"/>
    <cellStyle name="60% - Accent5 6 2" xfId="3205"/>
    <cellStyle name="60% - Accent5 6 3" xfId="3206"/>
    <cellStyle name="60% - Accent5 6 4" xfId="3207"/>
    <cellStyle name="60% - Accent5 6 4 2" xfId="3208"/>
    <cellStyle name="60% - Accent5 7 2" xfId="3209"/>
    <cellStyle name="60% - Accent5 7 2 2" xfId="3210"/>
    <cellStyle name="60% - Accent5 7 3" xfId="3211"/>
    <cellStyle name="60% - Accent5 7 3 2" xfId="3212"/>
    <cellStyle name="60% - Accent5 7 4" xfId="3213"/>
    <cellStyle name="60% - Accent5 8 2" xfId="3214"/>
    <cellStyle name="60% - Accent5 8 2 2" xfId="3215"/>
    <cellStyle name="60% - Accent5 8 3" xfId="3216"/>
    <cellStyle name="60% - Accent5 8 3 2" xfId="3217"/>
    <cellStyle name="60% - Accent5 8 4" xfId="3218"/>
    <cellStyle name="60% - Accent5 8 4 2" xfId="3219"/>
    <cellStyle name="60% - Accent5 9 2" xfId="3220"/>
    <cellStyle name="60% - Accent5 9 2 2" xfId="3221"/>
    <cellStyle name="60% - Accent5 9 3" xfId="3222"/>
    <cellStyle name="60% - Accent5 9 4" xfId="3223"/>
    <cellStyle name="60% - Accent5 9 4 2" xfId="3224"/>
    <cellStyle name="60% - Accent6 1" xfId="3225"/>
    <cellStyle name="60% - Accent6 10 2" xfId="3226"/>
    <cellStyle name="60% - Accent6 10 2 2" xfId="3227"/>
    <cellStyle name="60% - Accent6 10 3" xfId="3228"/>
    <cellStyle name="60% - Accent6 10 4" xfId="3229"/>
    <cellStyle name="60% - Accent6 11 2" xfId="3230"/>
    <cellStyle name="60% - Accent6 11 2 2" xfId="3231"/>
    <cellStyle name="60% - Accent6 11 3" xfId="3232"/>
    <cellStyle name="60% - Accent6 11 4" xfId="3233"/>
    <cellStyle name="60% - Accent6 11 4 2" xfId="3234"/>
    <cellStyle name="60% - Accent6 12 2" xfId="3235"/>
    <cellStyle name="60% - Accent6 12 2 2" xfId="3236"/>
    <cellStyle name="60% - Accent6 12 3" xfId="3237"/>
    <cellStyle name="60% - Accent6 12 3 2" xfId="3238"/>
    <cellStyle name="60% - Accent6 12 4" xfId="3239"/>
    <cellStyle name="60% - Accent6 12 4 2" xfId="3240"/>
    <cellStyle name="60% - Accent6 13 2" xfId="3241"/>
    <cellStyle name="60% - Accent6 13 2 2" xfId="3242"/>
    <cellStyle name="60% - Accent6 13 3" xfId="3243"/>
    <cellStyle name="60% - Accent6 13 4" xfId="3244"/>
    <cellStyle name="60% - Accent6 14 2" xfId="3245"/>
    <cellStyle name="60% - Accent6 14 3" xfId="3246"/>
    <cellStyle name="60% - Accent6 14 4" xfId="3247"/>
    <cellStyle name="60% - Accent6 15 2" xfId="3248"/>
    <cellStyle name="60% - Accent6 15 2 2" xfId="3249"/>
    <cellStyle name="60% - Accent6 15 3" xfId="3250"/>
    <cellStyle name="60% - Accent6 15 4" xfId="3251"/>
    <cellStyle name="60% - Accent6 16 2" xfId="3252"/>
    <cellStyle name="60% - Accent6 16 2 2" xfId="3253"/>
    <cellStyle name="60% - Accent6 16 3" xfId="3254"/>
    <cellStyle name="60% - Accent6 16 3 2" xfId="3255"/>
    <cellStyle name="60% - Accent6 16 4" xfId="3256"/>
    <cellStyle name="60% - Accent6 17 2" xfId="3257"/>
    <cellStyle name="60% - Accent6 17 3" xfId="3258"/>
    <cellStyle name="60% - Accent6 17 3 2" xfId="3259"/>
    <cellStyle name="60% - Accent6 17 4" xfId="3260"/>
    <cellStyle name="60% - Accent6 2" xfId="3261"/>
    <cellStyle name="60% - Accent6 2 2" xfId="3262"/>
    <cellStyle name="60% - Accent6 2 2 2" xfId="3263"/>
    <cellStyle name="60% - Accent6 2 3" xfId="3264"/>
    <cellStyle name="60% - Accent6 2 3 2" xfId="3265"/>
    <cellStyle name="60% - Accent6 2 4" xfId="3266"/>
    <cellStyle name="60% - Accent6 2 4 2" xfId="3267"/>
    <cellStyle name="60% - Accent6 3" xfId="3268"/>
    <cellStyle name="60% - Accent6 3 2" xfId="3269"/>
    <cellStyle name="60% - Accent6 3 3" xfId="3270"/>
    <cellStyle name="60% - Accent6 3 3 2" xfId="3271"/>
    <cellStyle name="60% - Accent6 3 4" xfId="3272"/>
    <cellStyle name="60% - Accent6 3 4 2" xfId="3273"/>
    <cellStyle name="60% - Accent6 4" xfId="3274"/>
    <cellStyle name="60% - Accent6 4 2" xfId="3275"/>
    <cellStyle name="60% - Accent6 4 2 2" xfId="3276"/>
    <cellStyle name="60% - Accent6 4 3" xfId="3277"/>
    <cellStyle name="60% - Accent6 4 3 2" xfId="3278"/>
    <cellStyle name="60% - Accent6 4 4" xfId="3279"/>
    <cellStyle name="60% - Accent6 4 4 2" xfId="3280"/>
    <cellStyle name="60% - Accent6 5" xfId="3281"/>
    <cellStyle name="60% - Accent6 5 2" xfId="3282"/>
    <cellStyle name="60% - Accent6 5 3" xfId="3283"/>
    <cellStyle name="60% - Accent6 5 4" xfId="3284"/>
    <cellStyle name="60% - Accent6 6" xfId="3285"/>
    <cellStyle name="60% - Accent6 6 2" xfId="3286"/>
    <cellStyle name="60% - Accent6 6 2 2" xfId="3287"/>
    <cellStyle name="60% - Accent6 6 3" xfId="3288"/>
    <cellStyle name="60% - Accent6 6 3 2" xfId="3289"/>
    <cellStyle name="60% - Accent6 6 4" xfId="3290"/>
    <cellStyle name="60% - Accent6 6 4 2" xfId="3291"/>
    <cellStyle name="60% - Accent6 7 2" xfId="3292"/>
    <cellStyle name="60% - Accent6 7 2 2" xfId="3293"/>
    <cellStyle name="60% - Accent6 7 3" xfId="3294"/>
    <cellStyle name="60% - Accent6 7 4" xfId="3295"/>
    <cellStyle name="60% - Accent6 7 4 2" xfId="3296"/>
    <cellStyle name="60% - Accent6 8 2" xfId="3297"/>
    <cellStyle name="60% - Accent6 8 3" xfId="3298"/>
    <cellStyle name="60% - Accent6 8 4" xfId="3299"/>
    <cellStyle name="60% - Accent6 9 2" xfId="3300"/>
    <cellStyle name="60% - Accent6 9 2 2" xfId="3301"/>
    <cellStyle name="60% - Accent6 9 3" xfId="3302"/>
    <cellStyle name="60% - Accent6 9 3 2" xfId="3303"/>
    <cellStyle name="60% - Accent6 9 4" xfId="3304"/>
    <cellStyle name="60% - Accent6 9 4 2" xfId="3305"/>
    <cellStyle name="75" xfId="3306"/>
    <cellStyle name="75 2" xfId="3307"/>
    <cellStyle name="75 3" xfId="3308"/>
    <cellStyle name="75 3 2" xfId="3309"/>
    <cellStyle name="75 4" xfId="3310"/>
    <cellStyle name="75 5" xfId="3311"/>
    <cellStyle name="75 5 2" xfId="3312"/>
    <cellStyle name="75 6" xfId="3313"/>
    <cellStyle name="75 6 2" xfId="3314"/>
    <cellStyle name="75 7" xfId="3315"/>
    <cellStyle name="75 7 2" xfId="3316"/>
    <cellStyle name="75 8" xfId="3317"/>
    <cellStyle name="75 8 2" xfId="3318"/>
    <cellStyle name="9" xfId="3319"/>
    <cellStyle name="ÅE­ [0]_°èÈ¹" xfId="3320"/>
    <cellStyle name="ÅE­_°èÈ¹" xfId="3321"/>
    <cellStyle name="Accent1 1" xfId="3322"/>
    <cellStyle name="Accent1 1 2" xfId="3323"/>
    <cellStyle name="Accent1 10 2" xfId="3324"/>
    <cellStyle name="Accent1 10 2 2" xfId="3325"/>
    <cellStyle name="Accent1 10 3" xfId="3326"/>
    <cellStyle name="Accent1 10 3 2" xfId="3327"/>
    <cellStyle name="Accent1 10 4" xfId="3328"/>
    <cellStyle name="Accent1 10 4 2" xfId="3329"/>
    <cellStyle name="Accent1 11 2" xfId="3330"/>
    <cellStyle name="Accent1 11 2 2" xfId="3331"/>
    <cellStyle name="Accent1 11 3" xfId="3332"/>
    <cellStyle name="Accent1 11 4" xfId="3333"/>
    <cellStyle name="Accent1 12 2" xfId="3334"/>
    <cellStyle name="Accent1 12 2 2" xfId="3335"/>
    <cellStyle name="Accent1 12 3" xfId="3336"/>
    <cellStyle name="Accent1 12 3 2" xfId="3337"/>
    <cellStyle name="Accent1 12 4" xfId="3338"/>
    <cellStyle name="Accent1 13 2" xfId="3339"/>
    <cellStyle name="Accent1 13 2 2" xfId="3340"/>
    <cellStyle name="Accent1 13 3" xfId="3341"/>
    <cellStyle name="Accent1 13 4" xfId="3342"/>
    <cellStyle name="Accent1 13 4 2" xfId="3343"/>
    <cellStyle name="Accent1 14 2" xfId="3344"/>
    <cellStyle name="Accent1 14 2 2" xfId="3345"/>
    <cellStyle name="Accent1 14 3" xfId="3346"/>
    <cellStyle name="Accent1 14 3 2" xfId="3347"/>
    <cellStyle name="Accent1 14 4" xfId="3348"/>
    <cellStyle name="Accent1 15 2" xfId="3349"/>
    <cellStyle name="Accent1 15 3" xfId="3350"/>
    <cellStyle name="Accent1 15 4" xfId="3351"/>
    <cellStyle name="Accent1 16 2" xfId="3352"/>
    <cellStyle name="Accent1 16 3" xfId="3353"/>
    <cellStyle name="Accent1 16 4" xfId="3354"/>
    <cellStyle name="Accent1 17 2" xfId="3355"/>
    <cellStyle name="Accent1 17 3" xfId="3356"/>
    <cellStyle name="Accent1 17 4" xfId="3357"/>
    <cellStyle name="Accent1 2" xfId="3358"/>
    <cellStyle name="Accent1 2 2" xfId="3359"/>
    <cellStyle name="Accent1 2 3" xfId="3360"/>
    <cellStyle name="Accent1 2 3 2" xfId="3361"/>
    <cellStyle name="Accent1 2 4" xfId="3362"/>
    <cellStyle name="Accent1 2 4 2" xfId="3363"/>
    <cellStyle name="Accent1 2 5" xfId="3364"/>
    <cellStyle name="Accent1 3" xfId="3365"/>
    <cellStyle name="Accent1 3 2" xfId="3366"/>
    <cellStyle name="Accent1 3 3" xfId="3367"/>
    <cellStyle name="Accent1 3 4" xfId="3368"/>
    <cellStyle name="Accent1 4" xfId="3369"/>
    <cellStyle name="Accent1 4 2" xfId="3370"/>
    <cellStyle name="Accent1 4 2 2" xfId="3371"/>
    <cellStyle name="Accent1 4 3" xfId="3372"/>
    <cellStyle name="Accent1 4 3 2" xfId="3373"/>
    <cellStyle name="Accent1 4 4" xfId="3374"/>
    <cellStyle name="Accent1 4 4 2" xfId="3375"/>
    <cellStyle name="Accent1 5" xfId="3376"/>
    <cellStyle name="Accent1 5 2" xfId="3377"/>
    <cellStyle name="Accent1 5 2 2" xfId="3378"/>
    <cellStyle name="Accent1 5 3" xfId="3379"/>
    <cellStyle name="Accent1 5 4" xfId="3380"/>
    <cellStyle name="Accent1 5 4 2" xfId="3381"/>
    <cellStyle name="Accent1 6" xfId="3382"/>
    <cellStyle name="Accent1 6 2" xfId="3383"/>
    <cellStyle name="Accent1 6 2 2" xfId="3384"/>
    <cellStyle name="Accent1 6 3" xfId="3385"/>
    <cellStyle name="Accent1 6 3 2" xfId="3386"/>
    <cellStyle name="Accent1 6 4" xfId="3387"/>
    <cellStyle name="Accent1 6 4 2" xfId="3388"/>
    <cellStyle name="Accent1 7 2" xfId="3389"/>
    <cellStyle name="Accent1 7 2 2" xfId="3390"/>
    <cellStyle name="Accent1 7 3" xfId="3391"/>
    <cellStyle name="Accent1 7 4" xfId="3392"/>
    <cellStyle name="Accent1 7 4 2" xfId="3393"/>
    <cellStyle name="Accent1 8 2" xfId="3394"/>
    <cellStyle name="Accent1 8 2 2" xfId="3395"/>
    <cellStyle name="Accent1 8 3" xfId="3396"/>
    <cellStyle name="Accent1 8 3 2" xfId="3397"/>
    <cellStyle name="Accent1 8 4" xfId="3398"/>
    <cellStyle name="Accent1 9 2" xfId="3399"/>
    <cellStyle name="Accent1 9 2 2" xfId="3400"/>
    <cellStyle name="Accent1 9 3" xfId="3401"/>
    <cellStyle name="Accent1 9 4" xfId="3402"/>
    <cellStyle name="Accent1 9 4 2" xfId="3403"/>
    <cellStyle name="Accent2 1" xfId="3404"/>
    <cellStyle name="Accent2 1 2" xfId="3405"/>
    <cellStyle name="Accent2 10 2" xfId="3406"/>
    <cellStyle name="Accent2 10 3" xfId="3407"/>
    <cellStyle name="Accent2 10 4" xfId="3408"/>
    <cellStyle name="Accent2 11 2" xfId="3409"/>
    <cellStyle name="Accent2 11 3" xfId="3410"/>
    <cellStyle name="Accent2 11 4" xfId="3411"/>
    <cellStyle name="Accent2 12 2" xfId="3412"/>
    <cellStyle name="Accent2 12 2 2" xfId="3413"/>
    <cellStyle name="Accent2 12 3" xfId="3414"/>
    <cellStyle name="Accent2 12 3 2" xfId="3415"/>
    <cellStyle name="Accent2 12 4" xfId="3416"/>
    <cellStyle name="Accent2 13 2" xfId="3417"/>
    <cellStyle name="Accent2 13 2 2" xfId="3418"/>
    <cellStyle name="Accent2 13 3" xfId="3419"/>
    <cellStyle name="Accent2 13 3 2" xfId="3420"/>
    <cellStyle name="Accent2 13 4" xfId="3421"/>
    <cellStyle name="Accent2 13 4 2" xfId="3422"/>
    <cellStyle name="Accent2 14 2" xfId="3423"/>
    <cellStyle name="Accent2 14 2 2" xfId="3424"/>
    <cellStyle name="Accent2 14 3" xfId="3425"/>
    <cellStyle name="Accent2 14 4" xfId="3426"/>
    <cellStyle name="Accent2 15 2" xfId="3427"/>
    <cellStyle name="Accent2 15 3" xfId="3428"/>
    <cellStyle name="Accent2 15 4" xfId="3429"/>
    <cellStyle name="Accent2 15 4 2" xfId="3430"/>
    <cellStyle name="Accent2 16 2" xfId="3431"/>
    <cellStyle name="Accent2 16 3" xfId="3432"/>
    <cellStyle name="Accent2 16 4" xfId="3433"/>
    <cellStyle name="Accent2 16 4 2" xfId="3434"/>
    <cellStyle name="Accent2 17 2" xfId="3435"/>
    <cellStyle name="Accent2 17 3" xfId="3436"/>
    <cellStyle name="Accent2 17 4" xfId="3437"/>
    <cellStyle name="Accent2 17 4 2" xfId="3438"/>
    <cellStyle name="Accent2 2" xfId="3439"/>
    <cellStyle name="Accent2 2 2" xfId="3440"/>
    <cellStyle name="Accent2 2 3" xfId="3441"/>
    <cellStyle name="Accent2 2 3 2" xfId="3442"/>
    <cellStyle name="Accent2 2 4" xfId="3443"/>
    <cellStyle name="Accent2 2 5" xfId="3444"/>
    <cellStyle name="Accent2 3" xfId="3445"/>
    <cellStyle name="Accent2 3 2" xfId="3446"/>
    <cellStyle name="Accent2 3 2 2" xfId="3447"/>
    <cellStyle name="Accent2 3 3" xfId="3448"/>
    <cellStyle name="Accent2 3 3 2" xfId="3449"/>
    <cellStyle name="Accent2 3 4" xfId="3450"/>
    <cellStyle name="Accent2 3 5" xfId="3451"/>
    <cellStyle name="Accent2 4" xfId="3452"/>
    <cellStyle name="Accent2 4 2" xfId="3453"/>
    <cellStyle name="Accent2 4 2 2" xfId="3454"/>
    <cellStyle name="Accent2 4 3" xfId="3455"/>
    <cellStyle name="Accent2 4 4" xfId="3456"/>
    <cellStyle name="Accent2 4 4 2" xfId="3457"/>
    <cellStyle name="Accent2 5" xfId="3458"/>
    <cellStyle name="Accent2 5 2" xfId="3459"/>
    <cellStyle name="Accent2 5 3" xfId="3460"/>
    <cellStyle name="Accent2 5 3 2" xfId="3461"/>
    <cellStyle name="Accent2 5 4" xfId="3462"/>
    <cellStyle name="Accent2 5 4 2" xfId="3463"/>
    <cellStyle name="Accent2 6" xfId="3464"/>
    <cellStyle name="Accent2 6 2" xfId="3465"/>
    <cellStyle name="Accent2 6 2 2" xfId="3466"/>
    <cellStyle name="Accent2 6 3" xfId="3467"/>
    <cellStyle name="Accent2 6 3 2" xfId="3468"/>
    <cellStyle name="Accent2 6 4" xfId="3469"/>
    <cellStyle name="Accent2 7 2" xfId="3470"/>
    <cellStyle name="Accent2 7 3" xfId="3471"/>
    <cellStyle name="Accent2 7 3 2" xfId="3472"/>
    <cellStyle name="Accent2 7 4" xfId="3473"/>
    <cellStyle name="Accent2 8 2" xfId="3474"/>
    <cellStyle name="Accent2 8 2 2" xfId="3475"/>
    <cellStyle name="Accent2 8 3" xfId="3476"/>
    <cellStyle name="Accent2 8 3 2" xfId="3477"/>
    <cellStyle name="Accent2 8 4" xfId="3478"/>
    <cellStyle name="Accent2 8 4 2" xfId="3479"/>
    <cellStyle name="Accent2 9 2" xfId="3480"/>
    <cellStyle name="Accent2 9 3" xfId="3481"/>
    <cellStyle name="Accent2 9 3 2" xfId="3482"/>
    <cellStyle name="Accent2 9 4" xfId="3483"/>
    <cellStyle name="Accent2 9 4 2" xfId="3484"/>
    <cellStyle name="Accent3 1" xfId="3485"/>
    <cellStyle name="Accent3 1 2" xfId="3486"/>
    <cellStyle name="Accent3 10 2" xfId="3487"/>
    <cellStyle name="Accent3 10 2 2" xfId="3488"/>
    <cellStyle name="Accent3 10 3" xfId="3489"/>
    <cellStyle name="Accent3 10 4" xfId="3490"/>
    <cellStyle name="Accent3 10 4 2" xfId="3491"/>
    <cellStyle name="Accent3 11 2" xfId="3492"/>
    <cellStyle name="Accent3 11 3" xfId="3493"/>
    <cellStyle name="Accent3 11 3 2" xfId="3494"/>
    <cellStyle name="Accent3 11 4" xfId="3495"/>
    <cellStyle name="Accent3 11 4 2" xfId="3496"/>
    <cellStyle name="Accent3 12 2" xfId="3497"/>
    <cellStyle name="Accent3 12 3" xfId="3498"/>
    <cellStyle name="Accent3 12 4" xfId="3499"/>
    <cellStyle name="Accent3 13 2" xfId="3500"/>
    <cellStyle name="Accent3 13 3" xfId="3501"/>
    <cellStyle name="Accent3 13 3 2" xfId="3502"/>
    <cellStyle name="Accent3 13 4" xfId="3503"/>
    <cellStyle name="Accent3 13 4 2" xfId="3504"/>
    <cellStyle name="Accent3 14 2" xfId="3505"/>
    <cellStyle name="Accent3 14 2 2" xfId="3506"/>
    <cellStyle name="Accent3 14 3" xfId="3507"/>
    <cellStyle name="Accent3 14 3 2" xfId="3508"/>
    <cellStyle name="Accent3 14 4" xfId="3509"/>
    <cellStyle name="Accent3 14 4 2" xfId="3510"/>
    <cellStyle name="Accent3 15 2" xfId="3511"/>
    <cellStyle name="Accent3 15 3" xfId="3512"/>
    <cellStyle name="Accent3 15 4" xfId="3513"/>
    <cellStyle name="Accent3 15 4 2" xfId="3514"/>
    <cellStyle name="Accent3 16 2" xfId="3515"/>
    <cellStyle name="Accent3 16 3" xfId="3516"/>
    <cellStyle name="Accent3 16 4" xfId="3517"/>
    <cellStyle name="Accent3 16 4 2" xfId="3518"/>
    <cellStyle name="Accent3 17 2" xfId="3519"/>
    <cellStyle name="Accent3 17 3" xfId="3520"/>
    <cellStyle name="Accent3 17 4" xfId="3521"/>
    <cellStyle name="Accent3 17 4 2" xfId="3522"/>
    <cellStyle name="Accent3 2" xfId="3523"/>
    <cellStyle name="Accent3 2 2" xfId="3524"/>
    <cellStyle name="Accent3 2 3" xfId="3525"/>
    <cellStyle name="Accent3 2 3 2" xfId="3526"/>
    <cellStyle name="Accent3 2 4" xfId="3527"/>
    <cellStyle name="Accent3 2 4 2" xfId="3528"/>
    <cellStyle name="Accent3 3" xfId="3529"/>
    <cellStyle name="Accent3 3 2" xfId="3530"/>
    <cellStyle name="Accent3 3 3" xfId="3531"/>
    <cellStyle name="Accent3 3 3 2" xfId="3532"/>
    <cellStyle name="Accent3 3 4" xfId="3533"/>
    <cellStyle name="Accent3 3 4 2" xfId="3534"/>
    <cellStyle name="Accent3 3 5" xfId="3535"/>
    <cellStyle name="Accent3 4" xfId="3536"/>
    <cellStyle name="Accent3 4 2" xfId="3537"/>
    <cellStyle name="Accent3 4 3" xfId="3538"/>
    <cellStyle name="Accent3 4 3 2" xfId="3539"/>
    <cellStyle name="Accent3 4 4" xfId="3540"/>
    <cellStyle name="Accent3 4 4 2" xfId="3541"/>
    <cellStyle name="Accent3 5" xfId="3542"/>
    <cellStyle name="Accent3 5 2" xfId="3543"/>
    <cellStyle name="Accent3 5 3" xfId="3544"/>
    <cellStyle name="Accent3 5 4" xfId="3545"/>
    <cellStyle name="Accent3 5 4 2" xfId="3546"/>
    <cellStyle name="Accent3 6" xfId="3547"/>
    <cellStyle name="Accent3 6 2" xfId="3548"/>
    <cellStyle name="Accent3 6 3" xfId="3549"/>
    <cellStyle name="Accent3 6 4" xfId="3550"/>
    <cellStyle name="Accent3 7 2" xfId="3551"/>
    <cellStyle name="Accent3 7 2 2" xfId="3552"/>
    <cellStyle name="Accent3 7 3" xfId="3553"/>
    <cellStyle name="Accent3 7 4" xfId="3554"/>
    <cellStyle name="Accent3 7 4 2" xfId="3555"/>
    <cellStyle name="Accent3 8 2" xfId="3556"/>
    <cellStyle name="Accent3 8 2 2" xfId="3557"/>
    <cellStyle name="Accent3 8 3" xfId="3558"/>
    <cellStyle name="Accent3 8 3 2" xfId="3559"/>
    <cellStyle name="Accent3 8 4" xfId="3560"/>
    <cellStyle name="Accent3 8 4 2" xfId="3561"/>
    <cellStyle name="Accent3 9 2" xfId="3562"/>
    <cellStyle name="Accent3 9 3" xfId="3563"/>
    <cellStyle name="Accent3 9 4" xfId="3564"/>
    <cellStyle name="Accent4 1" xfId="3565"/>
    <cellStyle name="Accent4 1 2" xfId="3566"/>
    <cellStyle name="Accent4 10 2" xfId="3567"/>
    <cellStyle name="Accent4 10 3" xfId="3568"/>
    <cellStyle name="Accent4 10 4" xfId="3569"/>
    <cellStyle name="Accent4 10 4 2" xfId="3570"/>
    <cellStyle name="Accent4 11 2" xfId="3571"/>
    <cellStyle name="Accent4 11 3" xfId="3572"/>
    <cellStyle name="Accent4 11 3 2" xfId="3573"/>
    <cellStyle name="Accent4 11 4" xfId="3574"/>
    <cellStyle name="Accent4 11 4 2" xfId="3575"/>
    <cellStyle name="Accent4 12 2" xfId="3576"/>
    <cellStyle name="Accent4 12 3" xfId="3577"/>
    <cellStyle name="Accent4 12 3 2" xfId="3578"/>
    <cellStyle name="Accent4 12 4" xfId="3579"/>
    <cellStyle name="Accent4 12 4 2" xfId="3580"/>
    <cellStyle name="Accent4 13 2" xfId="3581"/>
    <cellStyle name="Accent4 13 2 2" xfId="3582"/>
    <cellStyle name="Accent4 13 3" xfId="3583"/>
    <cellStyle name="Accent4 13 3 2" xfId="3584"/>
    <cellStyle name="Accent4 13 4" xfId="3585"/>
    <cellStyle name="Accent4 14 2" xfId="3586"/>
    <cellStyle name="Accent4 14 2 2" xfId="3587"/>
    <cellStyle name="Accent4 14 3" xfId="3588"/>
    <cellStyle name="Accent4 14 3 2" xfId="3589"/>
    <cellStyle name="Accent4 14 4" xfId="3590"/>
    <cellStyle name="Accent4 14 4 2" xfId="3591"/>
    <cellStyle name="Accent4 15 2" xfId="3592"/>
    <cellStyle name="Accent4 15 3" xfId="3593"/>
    <cellStyle name="Accent4 15 4" xfId="3594"/>
    <cellStyle name="Accent4 15 4 2" xfId="3595"/>
    <cellStyle name="Accent4 16 2" xfId="3596"/>
    <cellStyle name="Accent4 16 3" xfId="3597"/>
    <cellStyle name="Accent4 16 4" xfId="3598"/>
    <cellStyle name="Accent4 16 4 2" xfId="3599"/>
    <cellStyle name="Accent4 17 2" xfId="3600"/>
    <cellStyle name="Accent4 17 3" xfId="3601"/>
    <cellStyle name="Accent4 17 4" xfId="3602"/>
    <cellStyle name="Accent4 17 4 2" xfId="3603"/>
    <cellStyle name="Accent4 2" xfId="3604"/>
    <cellStyle name="Accent4 2 2" xfId="3605"/>
    <cellStyle name="Accent4 2 2 2" xfId="3606"/>
    <cellStyle name="Accent4 2 3" xfId="3607"/>
    <cellStyle name="Accent4 2 3 2" xfId="3608"/>
    <cellStyle name="Accent4 2 4" xfId="3609"/>
    <cellStyle name="Accent4 2 4 2" xfId="3610"/>
    <cellStyle name="Accent4 2 5" xfId="3611"/>
    <cellStyle name="Accent4 3" xfId="3612"/>
    <cellStyle name="Accent4 3 2" xfId="3613"/>
    <cellStyle name="Accent4 3 2 2" xfId="3614"/>
    <cellStyle name="Accent4 3 3" xfId="3615"/>
    <cellStyle name="Accent4 3 4" xfId="3616"/>
    <cellStyle name="Accent4 3 5" xfId="3617"/>
    <cellStyle name="Accent4 4" xfId="3618"/>
    <cellStyle name="Accent4 4 2" xfId="3619"/>
    <cellStyle name="Accent4 4 3" xfId="3620"/>
    <cellStyle name="Accent4 4 4" xfId="3621"/>
    <cellStyle name="Accent4 4 5" xfId="3622"/>
    <cellStyle name="Accent4 5" xfId="3623"/>
    <cellStyle name="Accent4 5 2" xfId="3624"/>
    <cellStyle name="Accent4 5 3" xfId="3625"/>
    <cellStyle name="Accent4 5 3 2" xfId="3626"/>
    <cellStyle name="Accent4 5 4" xfId="3627"/>
    <cellStyle name="Accent4 5 4 2" xfId="3628"/>
    <cellStyle name="Accent4 6" xfId="3629"/>
    <cellStyle name="Accent4 6 2" xfId="3630"/>
    <cellStyle name="Accent4 6 2 2" xfId="3631"/>
    <cellStyle name="Accent4 6 3" xfId="3632"/>
    <cellStyle name="Accent4 6 3 2" xfId="3633"/>
    <cellStyle name="Accent4 6 4" xfId="3634"/>
    <cellStyle name="Accent4 6 4 2" xfId="3635"/>
    <cellStyle name="Accent4 7 2" xfId="3636"/>
    <cellStyle name="Accent4 7 3" xfId="3637"/>
    <cellStyle name="Accent4 7 3 2" xfId="3638"/>
    <cellStyle name="Accent4 7 4" xfId="3639"/>
    <cellStyle name="Accent4 7 4 2" xfId="3640"/>
    <cellStyle name="Accent4 8 2" xfId="3641"/>
    <cellStyle name="Accent4 8 3" xfId="3642"/>
    <cellStyle name="Accent4 8 4" xfId="3643"/>
    <cellStyle name="Accent4 8 4 2" xfId="3644"/>
    <cellStyle name="Accent4 9 2" xfId="3645"/>
    <cellStyle name="Accent4 9 2 2" xfId="3646"/>
    <cellStyle name="Accent4 9 3" xfId="3647"/>
    <cellStyle name="Accent4 9 3 2" xfId="3648"/>
    <cellStyle name="Accent4 9 4" xfId="3649"/>
    <cellStyle name="Accent4 9 4 2" xfId="3650"/>
    <cellStyle name="Accent5 1" xfId="3651"/>
    <cellStyle name="Accent5 1 2" xfId="3652"/>
    <cellStyle name="Accent5 10 2" xfId="3653"/>
    <cellStyle name="Accent5 10 3" xfId="3654"/>
    <cellStyle name="Accent5 10 4" xfId="3655"/>
    <cellStyle name="Accent5 11 2" xfId="3656"/>
    <cellStyle name="Accent5 11 2 2" xfId="3657"/>
    <cellStyle name="Accent5 11 3" xfId="3658"/>
    <cellStyle name="Accent5 11 3 2" xfId="3659"/>
    <cellStyle name="Accent5 11 4" xfId="3660"/>
    <cellStyle name="Accent5 12 2" xfId="3661"/>
    <cellStyle name="Accent5 12 3" xfId="3662"/>
    <cellStyle name="Accent5 12 4" xfId="3663"/>
    <cellStyle name="Accent5 13 2" xfId="3664"/>
    <cellStyle name="Accent5 13 3" xfId="3665"/>
    <cellStyle name="Accent5 13 3 2" xfId="3666"/>
    <cellStyle name="Accent5 13 4" xfId="3667"/>
    <cellStyle name="Accent5 13 4 2" xfId="3668"/>
    <cellStyle name="Accent5 14 2" xfId="3669"/>
    <cellStyle name="Accent5 14 2 2" xfId="3670"/>
    <cellStyle name="Accent5 14 3" xfId="3671"/>
    <cellStyle name="Accent5 14 3 2" xfId="3672"/>
    <cellStyle name="Accent5 14 4" xfId="3673"/>
    <cellStyle name="Accent5 15 2" xfId="3674"/>
    <cellStyle name="Accent5 15 3" xfId="3675"/>
    <cellStyle name="Accent5 15 4" xfId="3676"/>
    <cellStyle name="Accent5 16 2" xfId="3677"/>
    <cellStyle name="Accent5 16 3" xfId="3678"/>
    <cellStyle name="Accent5 16 4" xfId="3679"/>
    <cellStyle name="Accent5 16 4 2" xfId="3680"/>
    <cellStyle name="Accent5 17 2" xfId="3681"/>
    <cellStyle name="Accent5 17 3" xfId="3682"/>
    <cellStyle name="Accent5 17 4" xfId="3683"/>
    <cellStyle name="Accent5 2" xfId="3684"/>
    <cellStyle name="Accent5 2 2" xfId="3685"/>
    <cellStyle name="Accent5 2 2 2" xfId="3686"/>
    <cellStyle name="Accent5 2 3" xfId="3687"/>
    <cellStyle name="Accent5 2 3 2" xfId="3688"/>
    <cellStyle name="Accent5 2 4" xfId="3689"/>
    <cellStyle name="Accent5 2 4 2" xfId="3690"/>
    <cellStyle name="Accent5 2 5" xfId="3691"/>
    <cellStyle name="Accent5 3" xfId="3692"/>
    <cellStyle name="Accent5 3 2" xfId="3693"/>
    <cellStyle name="Accent5 3 2 2" xfId="3694"/>
    <cellStyle name="Accent5 3 3" xfId="3695"/>
    <cellStyle name="Accent5 3 3 2" xfId="3696"/>
    <cellStyle name="Accent5 3 4" xfId="3697"/>
    <cellStyle name="Accent5 3 4 2" xfId="3698"/>
    <cellStyle name="Accent5 3 5" xfId="3699"/>
    <cellStyle name="Accent5 4" xfId="3700"/>
    <cellStyle name="Accent5 4 2" xfId="3701"/>
    <cellStyle name="Accent5 4 2 2" xfId="3702"/>
    <cellStyle name="Accent5 4 3" xfId="3703"/>
    <cellStyle name="Accent5 4 4" xfId="3704"/>
    <cellStyle name="Accent5 5" xfId="3705"/>
    <cellStyle name="Accent5 5 2" xfId="3706"/>
    <cellStyle name="Accent5 5 2 2" xfId="3707"/>
    <cellStyle name="Accent5 5 3" xfId="3708"/>
    <cellStyle name="Accent5 5 3 2" xfId="3709"/>
    <cellStyle name="Accent5 5 4" xfId="3710"/>
    <cellStyle name="Accent5 5 4 2" xfId="3711"/>
    <cellStyle name="Accent5 6" xfId="3712"/>
    <cellStyle name="Accent5 6 2" xfId="3713"/>
    <cellStyle name="Accent5 6 3" xfId="3714"/>
    <cellStyle name="Accent5 6 4" xfId="3715"/>
    <cellStyle name="Accent5 7 2" xfId="3716"/>
    <cellStyle name="Accent5 7 3" xfId="3717"/>
    <cellStyle name="Accent5 7 4" xfId="3718"/>
    <cellStyle name="Accent5 8 2" xfId="3719"/>
    <cellStyle name="Accent5 8 3" xfId="3720"/>
    <cellStyle name="Accent5 8 3 2" xfId="3721"/>
    <cellStyle name="Accent5 8 4" xfId="3722"/>
    <cellStyle name="Accent5 8 4 2" xfId="3723"/>
    <cellStyle name="Accent5 9 2" xfId="3724"/>
    <cellStyle name="Accent5 9 2 2" xfId="3725"/>
    <cellStyle name="Accent5 9 3" xfId="3726"/>
    <cellStyle name="Accent5 9 3 2" xfId="3727"/>
    <cellStyle name="Accent5 9 4" xfId="3728"/>
    <cellStyle name="Accent5 9 4 2" xfId="3729"/>
    <cellStyle name="Accent6 1" xfId="3730"/>
    <cellStyle name="Accent6 10 2" xfId="3731"/>
    <cellStyle name="Accent6 10 2 2" xfId="3732"/>
    <cellStyle name="Accent6 10 3" xfId="3733"/>
    <cellStyle name="Accent6 10 3 2" xfId="3734"/>
    <cellStyle name="Accent6 10 4" xfId="3735"/>
    <cellStyle name="Accent6 10 4 2" xfId="3736"/>
    <cellStyle name="Accent6 11 2" xfId="3737"/>
    <cellStyle name="Accent6 11 3" xfId="3738"/>
    <cellStyle name="Accent6 11 4" xfId="3739"/>
    <cellStyle name="Accent6 12 2" xfId="3740"/>
    <cellStyle name="Accent6 12 3" xfId="3741"/>
    <cellStyle name="Accent6 12 4" xfId="3742"/>
    <cellStyle name="Accent6 13 2" xfId="3743"/>
    <cellStyle name="Accent6 13 2 2" xfId="3744"/>
    <cellStyle name="Accent6 13 3" xfId="3745"/>
    <cellStyle name="Accent6 13 3 2" xfId="3746"/>
    <cellStyle name="Accent6 13 4" xfId="3747"/>
    <cellStyle name="Accent6 14 2" xfId="3748"/>
    <cellStyle name="Accent6 14 2 2" xfId="3749"/>
    <cellStyle name="Accent6 14 3" xfId="3750"/>
    <cellStyle name="Accent6 14 3 2" xfId="3751"/>
    <cellStyle name="Accent6 14 4" xfId="3752"/>
    <cellStyle name="Accent6 14 4 2" xfId="3753"/>
    <cellStyle name="Accent6 15 2" xfId="3754"/>
    <cellStyle name="Accent6 15 3" xfId="3755"/>
    <cellStyle name="Accent6 15 4" xfId="3756"/>
    <cellStyle name="Accent6 16 2" xfId="3757"/>
    <cellStyle name="Accent6 16 3" xfId="3758"/>
    <cellStyle name="Accent6 16 4" xfId="3759"/>
    <cellStyle name="Accent6 17 2" xfId="3760"/>
    <cellStyle name="Accent6 17 3" xfId="3761"/>
    <cellStyle name="Accent6 17 4" xfId="3762"/>
    <cellStyle name="Accent6 2" xfId="3763"/>
    <cellStyle name="Accent6 2 2" xfId="3764"/>
    <cellStyle name="Accent6 2 3" xfId="3765"/>
    <cellStyle name="Accent6 2 4" xfId="3766"/>
    <cellStyle name="Accent6 2 5" xfId="3767"/>
    <cellStyle name="Accent6 3" xfId="3768"/>
    <cellStyle name="Accent6 3 2" xfId="3769"/>
    <cellStyle name="Accent6 3 2 2" xfId="3770"/>
    <cellStyle name="Accent6 3 3" xfId="3771"/>
    <cellStyle name="Accent6 3 3 2" xfId="3772"/>
    <cellStyle name="Accent6 3 4" xfId="3773"/>
    <cellStyle name="Accent6 3 5" xfId="3774"/>
    <cellStyle name="Accent6 4" xfId="3775"/>
    <cellStyle name="Accent6 4 2" xfId="3776"/>
    <cellStyle name="Accent6 4 2 2" xfId="3777"/>
    <cellStyle name="Accent6 4 3" xfId="3778"/>
    <cellStyle name="Accent6 4 4" xfId="3779"/>
    <cellStyle name="Accent6 4 4 2" xfId="3780"/>
    <cellStyle name="Accent6 5" xfId="3781"/>
    <cellStyle name="Accent6 5 2" xfId="3782"/>
    <cellStyle name="Accent6 5 3" xfId="3783"/>
    <cellStyle name="Accent6 5 4" xfId="3784"/>
    <cellStyle name="Accent6 5 4 2" xfId="3785"/>
    <cellStyle name="Accent6 6" xfId="3786"/>
    <cellStyle name="Accent6 6 2" xfId="3787"/>
    <cellStyle name="Accent6 6 3" xfId="3788"/>
    <cellStyle name="Accent6 6 3 2" xfId="3789"/>
    <cellStyle name="Accent6 6 4" xfId="3790"/>
    <cellStyle name="Accent6 6 4 2" xfId="3791"/>
    <cellStyle name="Accent6 7 2" xfId="3792"/>
    <cellStyle name="Accent6 7 2 2" xfId="3793"/>
    <cellStyle name="Accent6 7 3" xfId="3794"/>
    <cellStyle name="Accent6 7 3 2" xfId="3795"/>
    <cellStyle name="Accent6 7 4" xfId="3796"/>
    <cellStyle name="Accent6 8 2" xfId="3797"/>
    <cellStyle name="Accent6 8 2 2" xfId="3798"/>
    <cellStyle name="Accent6 8 3" xfId="3799"/>
    <cellStyle name="Accent6 8 4" xfId="3800"/>
    <cellStyle name="Accent6 9 2" xfId="3801"/>
    <cellStyle name="Accent6 9 2 2" xfId="3802"/>
    <cellStyle name="Accent6 9 3" xfId="3803"/>
    <cellStyle name="Accent6 9 3 2" xfId="3804"/>
    <cellStyle name="Accent6 9 4" xfId="3805"/>
    <cellStyle name="ÅëÈ­ [0]_¿ì¹°Åë" xfId="3806"/>
    <cellStyle name="AeE­ [0]_INQUIRY ¿?¾÷AßAø " xfId="3807"/>
    <cellStyle name="ÅëÈ­ [0]_L601CPT" xfId="3808"/>
    <cellStyle name="ÅëÈ­_¿ì¹°Åë" xfId="3809"/>
    <cellStyle name="AeE­_INQUIRY ¿?¾÷AßAø " xfId="3810"/>
    <cellStyle name="ÅëÈ­_L601CPT" xfId="3811"/>
    <cellStyle name="args.style" xfId="3812"/>
    <cellStyle name="ÄÞ¸¶ [0]_¿ì¹°Åë" xfId="3813"/>
    <cellStyle name="AÞ¸¶ [0]_INQUIRY ¿?¾÷AßAø " xfId="3814"/>
    <cellStyle name="ÄÞ¸¶ [0]_L601CPT" xfId="3815"/>
    <cellStyle name="ÄÞ¸¶_¿ì¹°Åë" xfId="3816"/>
    <cellStyle name="AÞ¸¶_INQUIRY ¿?¾÷AßAø " xfId="3817"/>
    <cellStyle name="ÄÞ¸¶_L601CPT" xfId="3818"/>
    <cellStyle name="AutoFormat Options" xfId="3819"/>
    <cellStyle name="AutoFormat Options 2" xfId="3820"/>
    <cellStyle name="AutoFormat Options 2 2" xfId="3821"/>
    <cellStyle name="AutoFormat Options 3" xfId="3822"/>
    <cellStyle name="AutoFormat Options 3 2" xfId="3823"/>
    <cellStyle name="AutoFormat Options 4" xfId="3824"/>
    <cellStyle name="AutoFormat Options 5" xfId="3825"/>
    <cellStyle name="AutoFormat Options 6" xfId="3826"/>
    <cellStyle name="AutoFormat Options 6 2" xfId="3827"/>
    <cellStyle name="AutoFormat Options 7" xfId="3828"/>
    <cellStyle name="AutoFormat Options 7 2" xfId="3829"/>
    <cellStyle name="AutoFormat Options 8" xfId="3830"/>
    <cellStyle name="AutoFormat Options 8 2" xfId="3831"/>
    <cellStyle name="AutoFormat Options_ALLIANZ AGUSTUS 09" xfId="3832"/>
    <cellStyle name="Avertissement" xfId="3833"/>
    <cellStyle name="Bad 1" xfId="3834"/>
    <cellStyle name="Bad 10 2" xfId="3835"/>
    <cellStyle name="Bad 10 2 2" xfId="3836"/>
    <cellStyle name="Bad 10 3" xfId="3837"/>
    <cellStyle name="Bad 10 3 2" xfId="3838"/>
    <cellStyle name="Bad 10 4" xfId="3839"/>
    <cellStyle name="Bad 10 4 2" xfId="3840"/>
    <cellStyle name="Bad 11 2" xfId="3841"/>
    <cellStyle name="Bad 11 3" xfId="3842"/>
    <cellStyle name="Bad 11 4" xfId="3843"/>
    <cellStyle name="Bad 12 2" xfId="3844"/>
    <cellStyle name="Bad 12 2 2" xfId="3845"/>
    <cellStyle name="Bad 12 3" xfId="3846"/>
    <cellStyle name="Bad 12 4" xfId="3847"/>
    <cellStyle name="Bad 12 4 2" xfId="3848"/>
    <cellStyle name="Bad 13 2" xfId="3849"/>
    <cellStyle name="Bad 13 2 2" xfId="3850"/>
    <cellStyle name="Bad 13 3" xfId="3851"/>
    <cellStyle name="Bad 13 3 2" xfId="3852"/>
    <cellStyle name="Bad 13 4" xfId="3853"/>
    <cellStyle name="Bad 13 4 2" xfId="3854"/>
    <cellStyle name="Bad 14 2" xfId="3855"/>
    <cellStyle name="Bad 14 3" xfId="3856"/>
    <cellStyle name="Bad 14 4" xfId="3857"/>
    <cellStyle name="Bad 15 2" xfId="3858"/>
    <cellStyle name="Bad 15 3" xfId="3859"/>
    <cellStyle name="Bad 15 4" xfId="3860"/>
    <cellStyle name="Bad 16 2" xfId="3861"/>
    <cellStyle name="Bad 16 3" xfId="3862"/>
    <cellStyle name="Bad 16 4" xfId="3863"/>
    <cellStyle name="Bad 17 2" xfId="3864"/>
    <cellStyle name="Bad 17 3" xfId="3865"/>
    <cellStyle name="Bad 17 4" xfId="3866"/>
    <cellStyle name="Bad 2" xfId="3867"/>
    <cellStyle name="Bad 2 2" xfId="3868"/>
    <cellStyle name="Bad 2 2 2" xfId="3869"/>
    <cellStyle name="Bad 2 3" xfId="3870"/>
    <cellStyle name="Bad 2 3 2" xfId="3871"/>
    <cellStyle name="Bad 2 4" xfId="3872"/>
    <cellStyle name="Bad 2 5" xfId="3873"/>
    <cellStyle name="Bad 3" xfId="3874"/>
    <cellStyle name="Bad 3 2" xfId="3875"/>
    <cellStyle name="Bad 3 3" xfId="3876"/>
    <cellStyle name="Bad 3 4" xfId="3877"/>
    <cellStyle name="Bad 3 5" xfId="3878"/>
    <cellStyle name="Bad 4" xfId="3879"/>
    <cellStyle name="Bad 4 2" xfId="3880"/>
    <cellStyle name="Bad 4 2 2" xfId="3881"/>
    <cellStyle name="Bad 4 3" xfId="3882"/>
    <cellStyle name="Bad 4 3 2" xfId="3883"/>
    <cellStyle name="Bad 4 4" xfId="3884"/>
    <cellStyle name="Bad 4 4 2" xfId="3885"/>
    <cellStyle name="Bad 4 5" xfId="3886"/>
    <cellStyle name="Bad 5" xfId="3887"/>
    <cellStyle name="Bad 5 2" xfId="3888"/>
    <cellStyle name="Bad 5 2 2" xfId="3889"/>
    <cellStyle name="Bad 5 3" xfId="3890"/>
    <cellStyle name="Bad 5 3 2" xfId="3891"/>
    <cellStyle name="Bad 5 4" xfId="3892"/>
    <cellStyle name="Bad 6" xfId="3893"/>
    <cellStyle name="Bad 6 2" xfId="3894"/>
    <cellStyle name="Bad 6 2 2" xfId="3895"/>
    <cellStyle name="Bad 6 3" xfId="3896"/>
    <cellStyle name="Bad 6 3 2" xfId="3897"/>
    <cellStyle name="Bad 6 4" xfId="3898"/>
    <cellStyle name="Bad 6 4 2" xfId="3899"/>
    <cellStyle name="Bad 7 2" xfId="3900"/>
    <cellStyle name="Bad 7 3" xfId="3901"/>
    <cellStyle name="Bad 7 3 2" xfId="3902"/>
    <cellStyle name="Bad 7 4" xfId="3903"/>
    <cellStyle name="Bad 7 4 2" xfId="3904"/>
    <cellStyle name="Bad 8 2" xfId="3905"/>
    <cellStyle name="Bad 8 2 2" xfId="3906"/>
    <cellStyle name="Bad 8 3" xfId="3907"/>
    <cellStyle name="Bad 8 4" xfId="3908"/>
    <cellStyle name="Bad 8 4 2" xfId="3909"/>
    <cellStyle name="Bad 9 2" xfId="3910"/>
    <cellStyle name="Bad 9 2 2" xfId="3911"/>
    <cellStyle name="Bad 9 3" xfId="3912"/>
    <cellStyle name="Bad 9 4" xfId="3913"/>
    <cellStyle name="Bad 9 4 2" xfId="3914"/>
    <cellStyle name="Body" xfId="3915"/>
    <cellStyle name="Body 2" xfId="3916"/>
    <cellStyle name="Body 2 2" xfId="3917"/>
    <cellStyle name="Body 3" xfId="3918"/>
    <cellStyle name="Body 4" xfId="3919"/>
    <cellStyle name="Body 4 2" xfId="3920"/>
    <cellStyle name="Body 5" xfId="3921"/>
    <cellStyle name="Body 5 2" xfId="3922"/>
    <cellStyle name="Body 6" xfId="3923"/>
    <cellStyle name="Body 7" xfId="3924"/>
    <cellStyle name="Body 8" xfId="3925"/>
    <cellStyle name="Border" xfId="3926"/>
    <cellStyle name="Border 2" xfId="3927"/>
    <cellStyle name="Border1" xfId="3928"/>
    <cellStyle name="Border1 2" xfId="3929"/>
    <cellStyle name="Border1 2 2" xfId="3930"/>
    <cellStyle name="Border1 2 3" xfId="3931"/>
    <cellStyle name="Border1 3" xfId="3932"/>
    <cellStyle name="Border1 4" xfId="3933"/>
    <cellStyle name="Border1 5" xfId="3934"/>
    <cellStyle name="Border1 6" xfId="3935"/>
    <cellStyle name="Border1 7" xfId="3936"/>
    <cellStyle name="Border2" xfId="3937"/>
    <cellStyle name="Border2 2" xfId="3938"/>
    <cellStyle name="Border2 2 2" xfId="3939"/>
    <cellStyle name="Border2 2 3" xfId="3940"/>
    <cellStyle name="Border2 3" xfId="3941"/>
    <cellStyle name="Border2 4" xfId="3942"/>
    <cellStyle name="Border2 5" xfId="3943"/>
    <cellStyle name="Border2 6" xfId="3944"/>
    <cellStyle name="Border2 7" xfId="3945"/>
    <cellStyle name="Border3" xfId="3946"/>
    <cellStyle name="Border3 2" xfId="3947"/>
    <cellStyle name="Border3 2 2" xfId="3948"/>
    <cellStyle name="Border3 2 3" xfId="3949"/>
    <cellStyle name="Border3 3" xfId="3950"/>
    <cellStyle name="Border3 4" xfId="3951"/>
    <cellStyle name="Border3 5" xfId="3952"/>
    <cellStyle name="Border3 6" xfId="3953"/>
    <cellStyle name="Border3 7" xfId="3954"/>
    <cellStyle name="BuiltOpt_Content" xfId="3955"/>
    <cellStyle name="C?AØ_¿?¾÷CoE² " xfId="3956"/>
    <cellStyle name="Ç¥ÁØ_#2(M17)_1" xfId="3957"/>
    <cellStyle name="C￥AØ_¿μ¾÷CoE² " xfId="3958"/>
    <cellStyle name="Ç¥ÁØ_±¸¹Ì´ëÃ¥" xfId="3959"/>
    <cellStyle name="Calc Currency (0)" xfId="3960"/>
    <cellStyle name="Calc Currency (0) 2" xfId="3961"/>
    <cellStyle name="Calc Currency (0) 3" xfId="3962"/>
    <cellStyle name="Calc Currency (0) 3 2" xfId="3963"/>
    <cellStyle name="Calc Currency (0) 4" xfId="3964"/>
    <cellStyle name="Calc Currency (0) 5" xfId="3965"/>
    <cellStyle name="Calc Currency (0) 5 2" xfId="3966"/>
    <cellStyle name="Calc Currency (0) 6" xfId="3967"/>
    <cellStyle name="Calc Currency (0) 7" xfId="3968"/>
    <cellStyle name="Calc Currency (0) 7 2" xfId="3969"/>
    <cellStyle name="Calc Currency (0) 8" xfId="3970"/>
    <cellStyle name="Calc Currency (0) 8 2" xfId="3971"/>
    <cellStyle name="Calc Currency (2)" xfId="3972"/>
    <cellStyle name="Calc Currency (2) 2" xfId="3973"/>
    <cellStyle name="Calc Currency (2) 2 2" xfId="3974"/>
    <cellStyle name="Calc Currency (2) 3" xfId="3975"/>
    <cellStyle name="Calc Currency (2) 3 2" xfId="3976"/>
    <cellStyle name="Calc Currency (2) 4" xfId="3977"/>
    <cellStyle name="Calc Currency (2) 4 2" xfId="3978"/>
    <cellStyle name="Calc Currency (2) 5" xfId="3979"/>
    <cellStyle name="Calc Currency (2) 5 2" xfId="3980"/>
    <cellStyle name="Calc Currency (2) 6" xfId="3981"/>
    <cellStyle name="Calc Currency (2) 6 2" xfId="3982"/>
    <cellStyle name="Calc Currency (2) 7" xfId="3983"/>
    <cellStyle name="Calc Currency (2) 7 2" xfId="3984"/>
    <cellStyle name="Calc Currency (2) 8" xfId="3985"/>
    <cellStyle name="Calc Currency (2) 8 2" xfId="3986"/>
    <cellStyle name="Calc Currency (2) 9" xfId="3987"/>
    <cellStyle name="Calc Percent (0)" xfId="3988"/>
    <cellStyle name="Calc Percent (0) 2" xfId="3989"/>
    <cellStyle name="Calc Percent (0) 2 2" xfId="3990"/>
    <cellStyle name="Calc Percent (0) 3" xfId="3991"/>
    <cellStyle name="Calc Percent (0) 3 2" xfId="3992"/>
    <cellStyle name="Calc Percent (0) 4" xfId="3993"/>
    <cellStyle name="Calc Percent (0) 5" xfId="3994"/>
    <cellStyle name="Calc Percent (0) 5 2" xfId="3995"/>
    <cellStyle name="Calc Percent (0) 6" xfId="3996"/>
    <cellStyle name="Calc Percent (0) 6 2" xfId="3997"/>
    <cellStyle name="Calc Percent (0) 7" xfId="3998"/>
    <cellStyle name="Calc Percent (0) 7 2" xfId="3999"/>
    <cellStyle name="Calc Percent (0) 8" xfId="4000"/>
    <cellStyle name="Calc Percent (1)" xfId="4001"/>
    <cellStyle name="Calc Percent (1) 2" xfId="4002"/>
    <cellStyle name="Calc Percent (1) 2 2" xfId="4003"/>
    <cellStyle name="Calc Percent (1) 3" xfId="4004"/>
    <cellStyle name="Calc Percent (1) 3 2" xfId="4005"/>
    <cellStyle name="Calc Percent (1) 4" xfId="4006"/>
    <cellStyle name="Calc Percent (1) 4 2" xfId="4007"/>
    <cellStyle name="Calc Percent (1) 5" xfId="4008"/>
    <cellStyle name="Calc Percent (1) 5 2" xfId="4009"/>
    <cellStyle name="Calc Percent (1) 6" xfId="4010"/>
    <cellStyle name="Calc Percent (1) 6 2" xfId="4011"/>
    <cellStyle name="Calc Percent (1) 7" xfId="4012"/>
    <cellStyle name="Calc Percent (1) 7 2" xfId="4013"/>
    <cellStyle name="Calc Percent (1) 8" xfId="4014"/>
    <cellStyle name="Calc Percent (2)" xfId="4015"/>
    <cellStyle name="Calc Percent (2) 2" xfId="4016"/>
    <cellStyle name="Calc Percent (2) 2 2" xfId="4017"/>
    <cellStyle name="Calc Percent (2) 3" xfId="4018"/>
    <cellStyle name="Calc Percent (2) 4" xfId="4019"/>
    <cellStyle name="Calc Percent (2) 5" xfId="4020"/>
    <cellStyle name="Calc Percent (2) 6" xfId="4021"/>
    <cellStyle name="Calc Percent (2) 6 2" xfId="4022"/>
    <cellStyle name="Calc Percent (2) 7" xfId="4023"/>
    <cellStyle name="Calc Percent (2) 7 2" xfId="4024"/>
    <cellStyle name="Calc Percent (2) 8" xfId="4025"/>
    <cellStyle name="Calc Units (0)" xfId="4026"/>
    <cellStyle name="Calc Units (0) 2" xfId="4027"/>
    <cellStyle name="Calc Units (0) 3" xfId="4028"/>
    <cellStyle name="Calc Units (0) 3 2" xfId="4029"/>
    <cellStyle name="Calc Units (0) 4" xfId="4030"/>
    <cellStyle name="Calc Units (0) 5" xfId="4031"/>
    <cellStyle name="Calc Units (0) 5 2" xfId="4032"/>
    <cellStyle name="Calc Units (0) 6" xfId="4033"/>
    <cellStyle name="Calc Units (0) 6 2" xfId="4034"/>
    <cellStyle name="Calc Units (0) 7" xfId="4035"/>
    <cellStyle name="Calc Units (0) 7 2" xfId="4036"/>
    <cellStyle name="Calc Units (0) 8" xfId="4037"/>
    <cellStyle name="Calc Units (1)" xfId="4038"/>
    <cellStyle name="Calc Units (1) 2" xfId="4039"/>
    <cellStyle name="Calc Units (1) 3" xfId="4040"/>
    <cellStyle name="Calc Units (1) 4" xfId="4041"/>
    <cellStyle name="Calc Units (1) 4 2" xfId="4042"/>
    <cellStyle name="Calc Units (1) 5" xfId="4043"/>
    <cellStyle name="Calc Units (1) 6" xfId="4044"/>
    <cellStyle name="Calc Units (1) 6 2" xfId="4045"/>
    <cellStyle name="Calc Units (1) 7" xfId="4046"/>
    <cellStyle name="Calc Units (1) 7 2" xfId="4047"/>
    <cellStyle name="Calc Units (1) 8" xfId="4048"/>
    <cellStyle name="Calc Units (1) 8 2" xfId="4049"/>
    <cellStyle name="Calc Units (2)" xfId="4050"/>
    <cellStyle name="Calc Units (2) 2" xfId="4051"/>
    <cellStyle name="Calc Units (2) 2 2" xfId="4052"/>
    <cellStyle name="Calc Units (2) 3" xfId="4053"/>
    <cellStyle name="Calc Units (2) 3 2" xfId="4054"/>
    <cellStyle name="Calc Units (2) 4" xfId="4055"/>
    <cellStyle name="Calc Units (2) 4 2" xfId="4056"/>
    <cellStyle name="Calc Units (2) 5" xfId="4057"/>
    <cellStyle name="Calc Units (2) 5 2" xfId="4058"/>
    <cellStyle name="Calc Units (2) 6" xfId="4059"/>
    <cellStyle name="Calc Units (2) 6 2" xfId="4060"/>
    <cellStyle name="Calc Units (2) 7" xfId="4061"/>
    <cellStyle name="Calc Units (2) 7 2" xfId="4062"/>
    <cellStyle name="Calc Units (2) 8" xfId="4063"/>
    <cellStyle name="Calc Units (2) 8 2" xfId="4064"/>
    <cellStyle name="Calc Units (2) 9" xfId="4065"/>
    <cellStyle name="Calcul" xfId="4066"/>
    <cellStyle name="Calcul 10" xfId="4067"/>
    <cellStyle name="Calcul 11" xfId="4068"/>
    <cellStyle name="Calcul 12" xfId="4069"/>
    <cellStyle name="Calcul 13" xfId="4070"/>
    <cellStyle name="Calcul 14" xfId="4071"/>
    <cellStyle name="Calcul 15" xfId="4072"/>
    <cellStyle name="Calcul 16" xfId="4073"/>
    <cellStyle name="Calcul 2" xfId="4074"/>
    <cellStyle name="Calcul 2 2" xfId="4075"/>
    <cellStyle name="Calcul 2 3" xfId="4076"/>
    <cellStyle name="Calcul 2 4" xfId="4077"/>
    <cellStyle name="Calcul 3" xfId="4078"/>
    <cellStyle name="Calcul 4" xfId="4079"/>
    <cellStyle name="Calcul 5" xfId="4080"/>
    <cellStyle name="Calcul 6" xfId="4081"/>
    <cellStyle name="Calcul 7" xfId="4082"/>
    <cellStyle name="Calcul 8" xfId="4083"/>
    <cellStyle name="Calcul 9" xfId="4084"/>
    <cellStyle name="Calculation 1" xfId="4085"/>
    <cellStyle name="Calculation 1 10" xfId="4086"/>
    <cellStyle name="Calculation 1 11" xfId="4087"/>
    <cellStyle name="Calculation 1 12" xfId="4088"/>
    <cellStyle name="Calculation 1 13" xfId="4089"/>
    <cellStyle name="Calculation 1 14" xfId="4090"/>
    <cellStyle name="Calculation 1 15" xfId="4091"/>
    <cellStyle name="Calculation 1 16" xfId="4092"/>
    <cellStyle name="Calculation 1 2" xfId="4093"/>
    <cellStyle name="Calculation 1 2 2" xfId="4094"/>
    <cellStyle name="Calculation 1 2 3" xfId="4095"/>
    <cellStyle name="Calculation 1 2 4" xfId="4096"/>
    <cellStyle name="Calculation 1 3" xfId="4097"/>
    <cellStyle name="Calculation 1 4" xfId="4098"/>
    <cellStyle name="Calculation 1 5" xfId="4099"/>
    <cellStyle name="Calculation 1 6" xfId="4100"/>
    <cellStyle name="Calculation 1 7" xfId="4101"/>
    <cellStyle name="Calculation 1 8" xfId="4102"/>
    <cellStyle name="Calculation 1 9" xfId="4103"/>
    <cellStyle name="Calculation 10 2" xfId="4104"/>
    <cellStyle name="Calculation 10 2 10" xfId="4105"/>
    <cellStyle name="Calculation 10 2 11" xfId="4106"/>
    <cellStyle name="Calculation 10 2 12" xfId="4107"/>
    <cellStyle name="Calculation 10 2 13" xfId="4108"/>
    <cellStyle name="Calculation 10 2 14" xfId="4109"/>
    <cellStyle name="Calculation 10 2 15" xfId="4110"/>
    <cellStyle name="Calculation 10 2 16" xfId="4111"/>
    <cellStyle name="Calculation 10 2 17" xfId="4112"/>
    <cellStyle name="Calculation 10 2 18" xfId="4113"/>
    <cellStyle name="Calculation 10 2 2" xfId="4114"/>
    <cellStyle name="Calculation 10 2 2 10" xfId="4115"/>
    <cellStyle name="Calculation 10 2 2 11" xfId="4116"/>
    <cellStyle name="Calculation 10 2 2 12" xfId="4117"/>
    <cellStyle name="Calculation 10 2 2 13" xfId="4118"/>
    <cellStyle name="Calculation 10 2 2 14" xfId="4119"/>
    <cellStyle name="Calculation 10 2 2 15" xfId="4120"/>
    <cellStyle name="Calculation 10 2 2 16" xfId="4121"/>
    <cellStyle name="Calculation 10 2 2 2" xfId="4122"/>
    <cellStyle name="Calculation 10 2 2 2 2" xfId="4123"/>
    <cellStyle name="Calculation 10 2 2 2 3" xfId="4124"/>
    <cellStyle name="Calculation 10 2 2 2 4" xfId="4125"/>
    <cellStyle name="Calculation 10 2 2 3" xfId="4126"/>
    <cellStyle name="Calculation 10 2 2 4" xfId="4127"/>
    <cellStyle name="Calculation 10 2 2 5" xfId="4128"/>
    <cellStyle name="Calculation 10 2 2 6" xfId="4129"/>
    <cellStyle name="Calculation 10 2 2 7" xfId="4130"/>
    <cellStyle name="Calculation 10 2 2 8" xfId="4131"/>
    <cellStyle name="Calculation 10 2 2 9" xfId="4132"/>
    <cellStyle name="Calculation 10 2 3" xfId="4133"/>
    <cellStyle name="Calculation 10 2 3 10" xfId="4134"/>
    <cellStyle name="Calculation 10 2 3 11" xfId="4135"/>
    <cellStyle name="Calculation 10 2 3 12" xfId="4136"/>
    <cellStyle name="Calculation 10 2 3 13" xfId="4137"/>
    <cellStyle name="Calculation 10 2 3 14" xfId="4138"/>
    <cellStyle name="Calculation 10 2 3 15" xfId="4139"/>
    <cellStyle name="Calculation 10 2 3 16" xfId="4140"/>
    <cellStyle name="Calculation 10 2 3 2" xfId="4141"/>
    <cellStyle name="Calculation 10 2 3 2 2" xfId="4142"/>
    <cellStyle name="Calculation 10 2 3 2 3" xfId="4143"/>
    <cellStyle name="Calculation 10 2 3 2 4" xfId="4144"/>
    <cellStyle name="Calculation 10 2 3 3" xfId="4145"/>
    <cellStyle name="Calculation 10 2 3 4" xfId="4146"/>
    <cellStyle name="Calculation 10 2 3 5" xfId="4147"/>
    <cellStyle name="Calculation 10 2 3 6" xfId="4148"/>
    <cellStyle name="Calculation 10 2 3 7" xfId="4149"/>
    <cellStyle name="Calculation 10 2 3 8" xfId="4150"/>
    <cellStyle name="Calculation 10 2 3 9" xfId="4151"/>
    <cellStyle name="Calculation 10 2 4" xfId="4152"/>
    <cellStyle name="Calculation 10 2 4 2" xfId="4153"/>
    <cellStyle name="Calculation 10 2 4 3" xfId="4154"/>
    <cellStyle name="Calculation 10 2 4 4" xfId="4155"/>
    <cellStyle name="Calculation 10 2 5" xfId="4156"/>
    <cellStyle name="Calculation 10 2 6" xfId="4157"/>
    <cellStyle name="Calculation 10 2 7" xfId="4158"/>
    <cellStyle name="Calculation 10 2 8" xfId="4159"/>
    <cellStyle name="Calculation 10 2 9" xfId="4160"/>
    <cellStyle name="Calculation 10 3" xfId="4161"/>
    <cellStyle name="Calculation 10 3 10" xfId="4162"/>
    <cellStyle name="Calculation 10 3 11" xfId="4163"/>
    <cellStyle name="Calculation 10 3 12" xfId="4164"/>
    <cellStyle name="Calculation 10 3 13" xfId="4165"/>
    <cellStyle name="Calculation 10 3 14" xfId="4166"/>
    <cellStyle name="Calculation 10 3 15" xfId="4167"/>
    <cellStyle name="Calculation 10 3 16" xfId="4168"/>
    <cellStyle name="Calculation 10 3 17" xfId="4169"/>
    <cellStyle name="Calculation 10 3 18" xfId="4170"/>
    <cellStyle name="Calculation 10 3 2" xfId="4171"/>
    <cellStyle name="Calculation 10 3 2 10" xfId="4172"/>
    <cellStyle name="Calculation 10 3 2 11" xfId="4173"/>
    <cellStyle name="Calculation 10 3 2 12" xfId="4174"/>
    <cellStyle name="Calculation 10 3 2 13" xfId="4175"/>
    <cellStyle name="Calculation 10 3 2 14" xfId="4176"/>
    <cellStyle name="Calculation 10 3 2 15" xfId="4177"/>
    <cellStyle name="Calculation 10 3 2 16" xfId="4178"/>
    <cellStyle name="Calculation 10 3 2 2" xfId="4179"/>
    <cellStyle name="Calculation 10 3 2 2 2" xfId="4180"/>
    <cellStyle name="Calculation 10 3 2 2 3" xfId="4181"/>
    <cellStyle name="Calculation 10 3 2 2 4" xfId="4182"/>
    <cellStyle name="Calculation 10 3 2 3" xfId="4183"/>
    <cellStyle name="Calculation 10 3 2 4" xfId="4184"/>
    <cellStyle name="Calculation 10 3 2 5" xfId="4185"/>
    <cellStyle name="Calculation 10 3 2 6" xfId="4186"/>
    <cellStyle name="Calculation 10 3 2 7" xfId="4187"/>
    <cellStyle name="Calculation 10 3 2 8" xfId="4188"/>
    <cellStyle name="Calculation 10 3 2 9" xfId="4189"/>
    <cellStyle name="Calculation 10 3 3" xfId="4190"/>
    <cellStyle name="Calculation 10 3 3 10" xfId="4191"/>
    <cellStyle name="Calculation 10 3 3 11" xfId="4192"/>
    <cellStyle name="Calculation 10 3 3 12" xfId="4193"/>
    <cellStyle name="Calculation 10 3 3 13" xfId="4194"/>
    <cellStyle name="Calculation 10 3 3 14" xfId="4195"/>
    <cellStyle name="Calculation 10 3 3 15" xfId="4196"/>
    <cellStyle name="Calculation 10 3 3 16" xfId="4197"/>
    <cellStyle name="Calculation 10 3 3 2" xfId="4198"/>
    <cellStyle name="Calculation 10 3 3 2 2" xfId="4199"/>
    <cellStyle name="Calculation 10 3 3 2 3" xfId="4200"/>
    <cellStyle name="Calculation 10 3 3 2 4" xfId="4201"/>
    <cellStyle name="Calculation 10 3 3 3" xfId="4202"/>
    <cellStyle name="Calculation 10 3 3 4" xfId="4203"/>
    <cellStyle name="Calculation 10 3 3 5" xfId="4204"/>
    <cellStyle name="Calculation 10 3 3 6" xfId="4205"/>
    <cellStyle name="Calculation 10 3 3 7" xfId="4206"/>
    <cellStyle name="Calculation 10 3 3 8" xfId="4207"/>
    <cellStyle name="Calculation 10 3 3 9" xfId="4208"/>
    <cellStyle name="Calculation 10 3 4" xfId="4209"/>
    <cellStyle name="Calculation 10 3 4 2" xfId="4210"/>
    <cellStyle name="Calculation 10 3 4 3" xfId="4211"/>
    <cellStyle name="Calculation 10 3 4 4" xfId="4212"/>
    <cellStyle name="Calculation 10 3 5" xfId="4213"/>
    <cellStyle name="Calculation 10 3 6" xfId="4214"/>
    <cellStyle name="Calculation 10 3 7" xfId="4215"/>
    <cellStyle name="Calculation 10 3 8" xfId="4216"/>
    <cellStyle name="Calculation 10 3 9" xfId="4217"/>
    <cellStyle name="Calculation 10 4" xfId="4218"/>
    <cellStyle name="Calculation 10 4 10" xfId="4219"/>
    <cellStyle name="Calculation 10 4 11" xfId="4220"/>
    <cellStyle name="Calculation 10 4 12" xfId="4221"/>
    <cellStyle name="Calculation 10 4 13" xfId="4222"/>
    <cellStyle name="Calculation 10 4 14" xfId="4223"/>
    <cellStyle name="Calculation 10 4 15" xfId="4224"/>
    <cellStyle name="Calculation 10 4 16" xfId="4225"/>
    <cellStyle name="Calculation 10 4 17" xfId="4226"/>
    <cellStyle name="Calculation 10 4 18" xfId="4227"/>
    <cellStyle name="Calculation 10 4 2" xfId="4228"/>
    <cellStyle name="Calculation 10 4 2 10" xfId="4229"/>
    <cellStyle name="Calculation 10 4 2 11" xfId="4230"/>
    <cellStyle name="Calculation 10 4 2 12" xfId="4231"/>
    <cellStyle name="Calculation 10 4 2 13" xfId="4232"/>
    <cellStyle name="Calculation 10 4 2 14" xfId="4233"/>
    <cellStyle name="Calculation 10 4 2 15" xfId="4234"/>
    <cellStyle name="Calculation 10 4 2 16" xfId="4235"/>
    <cellStyle name="Calculation 10 4 2 2" xfId="4236"/>
    <cellStyle name="Calculation 10 4 2 2 2" xfId="4237"/>
    <cellStyle name="Calculation 10 4 2 2 3" xfId="4238"/>
    <cellStyle name="Calculation 10 4 2 2 4" xfId="4239"/>
    <cellStyle name="Calculation 10 4 2 3" xfId="4240"/>
    <cellStyle name="Calculation 10 4 2 4" xfId="4241"/>
    <cellStyle name="Calculation 10 4 2 5" xfId="4242"/>
    <cellStyle name="Calculation 10 4 2 6" xfId="4243"/>
    <cellStyle name="Calculation 10 4 2 7" xfId="4244"/>
    <cellStyle name="Calculation 10 4 2 8" xfId="4245"/>
    <cellStyle name="Calculation 10 4 2 9" xfId="4246"/>
    <cellStyle name="Calculation 10 4 3" xfId="4247"/>
    <cellStyle name="Calculation 10 4 3 10" xfId="4248"/>
    <cellStyle name="Calculation 10 4 3 11" xfId="4249"/>
    <cellStyle name="Calculation 10 4 3 12" xfId="4250"/>
    <cellStyle name="Calculation 10 4 3 13" xfId="4251"/>
    <cellStyle name="Calculation 10 4 3 14" xfId="4252"/>
    <cellStyle name="Calculation 10 4 3 15" xfId="4253"/>
    <cellStyle name="Calculation 10 4 3 16" xfId="4254"/>
    <cellStyle name="Calculation 10 4 3 2" xfId="4255"/>
    <cellStyle name="Calculation 10 4 3 2 2" xfId="4256"/>
    <cellStyle name="Calculation 10 4 3 2 3" xfId="4257"/>
    <cellStyle name="Calculation 10 4 3 2 4" xfId="4258"/>
    <cellStyle name="Calculation 10 4 3 3" xfId="4259"/>
    <cellStyle name="Calculation 10 4 3 4" xfId="4260"/>
    <cellStyle name="Calculation 10 4 3 5" xfId="4261"/>
    <cellStyle name="Calculation 10 4 3 6" xfId="4262"/>
    <cellStyle name="Calculation 10 4 3 7" xfId="4263"/>
    <cellStyle name="Calculation 10 4 3 8" xfId="4264"/>
    <cellStyle name="Calculation 10 4 3 9" xfId="4265"/>
    <cellStyle name="Calculation 10 4 4" xfId="4266"/>
    <cellStyle name="Calculation 10 4 4 2" xfId="4267"/>
    <cellStyle name="Calculation 10 4 4 3" xfId="4268"/>
    <cellStyle name="Calculation 10 4 4 4" xfId="4269"/>
    <cellStyle name="Calculation 10 4 5" xfId="4270"/>
    <cellStyle name="Calculation 10 4 6" xfId="4271"/>
    <cellStyle name="Calculation 10 4 7" xfId="4272"/>
    <cellStyle name="Calculation 10 4 8" xfId="4273"/>
    <cellStyle name="Calculation 10 4 9" xfId="4274"/>
    <cellStyle name="Calculation 11 2" xfId="4275"/>
    <cellStyle name="Calculation 11 2 10" xfId="4276"/>
    <cellStyle name="Calculation 11 2 11" xfId="4277"/>
    <cellStyle name="Calculation 11 2 12" xfId="4278"/>
    <cellStyle name="Calculation 11 2 13" xfId="4279"/>
    <cellStyle name="Calculation 11 2 14" xfId="4280"/>
    <cellStyle name="Calculation 11 2 15" xfId="4281"/>
    <cellStyle name="Calculation 11 2 16" xfId="4282"/>
    <cellStyle name="Calculation 11 2 17" xfId="4283"/>
    <cellStyle name="Calculation 11 2 18" xfId="4284"/>
    <cellStyle name="Calculation 11 2 2" xfId="4285"/>
    <cellStyle name="Calculation 11 2 2 10" xfId="4286"/>
    <cellStyle name="Calculation 11 2 2 11" xfId="4287"/>
    <cellStyle name="Calculation 11 2 2 12" xfId="4288"/>
    <cellStyle name="Calculation 11 2 2 13" xfId="4289"/>
    <cellStyle name="Calculation 11 2 2 14" xfId="4290"/>
    <cellStyle name="Calculation 11 2 2 15" xfId="4291"/>
    <cellStyle name="Calculation 11 2 2 16" xfId="4292"/>
    <cellStyle name="Calculation 11 2 2 2" xfId="4293"/>
    <cellStyle name="Calculation 11 2 2 2 2" xfId="4294"/>
    <cellStyle name="Calculation 11 2 2 2 3" xfId="4295"/>
    <cellStyle name="Calculation 11 2 2 2 4" xfId="4296"/>
    <cellStyle name="Calculation 11 2 2 3" xfId="4297"/>
    <cellStyle name="Calculation 11 2 2 4" xfId="4298"/>
    <cellStyle name="Calculation 11 2 2 5" xfId="4299"/>
    <cellStyle name="Calculation 11 2 2 6" xfId="4300"/>
    <cellStyle name="Calculation 11 2 2 7" xfId="4301"/>
    <cellStyle name="Calculation 11 2 2 8" xfId="4302"/>
    <cellStyle name="Calculation 11 2 2 9" xfId="4303"/>
    <cellStyle name="Calculation 11 2 3" xfId="4304"/>
    <cellStyle name="Calculation 11 2 3 10" xfId="4305"/>
    <cellStyle name="Calculation 11 2 3 11" xfId="4306"/>
    <cellStyle name="Calculation 11 2 3 12" xfId="4307"/>
    <cellStyle name="Calculation 11 2 3 13" xfId="4308"/>
    <cellStyle name="Calculation 11 2 3 14" xfId="4309"/>
    <cellStyle name="Calculation 11 2 3 15" xfId="4310"/>
    <cellStyle name="Calculation 11 2 3 16" xfId="4311"/>
    <cellStyle name="Calculation 11 2 3 2" xfId="4312"/>
    <cellStyle name="Calculation 11 2 3 2 2" xfId="4313"/>
    <cellStyle name="Calculation 11 2 3 2 3" xfId="4314"/>
    <cellStyle name="Calculation 11 2 3 2 4" xfId="4315"/>
    <cellStyle name="Calculation 11 2 3 3" xfId="4316"/>
    <cellStyle name="Calculation 11 2 3 4" xfId="4317"/>
    <cellStyle name="Calculation 11 2 3 5" xfId="4318"/>
    <cellStyle name="Calculation 11 2 3 6" xfId="4319"/>
    <cellStyle name="Calculation 11 2 3 7" xfId="4320"/>
    <cellStyle name="Calculation 11 2 3 8" xfId="4321"/>
    <cellStyle name="Calculation 11 2 3 9" xfId="4322"/>
    <cellStyle name="Calculation 11 2 4" xfId="4323"/>
    <cellStyle name="Calculation 11 2 4 2" xfId="4324"/>
    <cellStyle name="Calculation 11 2 4 3" xfId="4325"/>
    <cellStyle name="Calculation 11 2 4 4" xfId="4326"/>
    <cellStyle name="Calculation 11 2 5" xfId="4327"/>
    <cellStyle name="Calculation 11 2 6" xfId="4328"/>
    <cellStyle name="Calculation 11 2 7" xfId="4329"/>
    <cellStyle name="Calculation 11 2 8" xfId="4330"/>
    <cellStyle name="Calculation 11 2 9" xfId="4331"/>
    <cellStyle name="Calculation 11 3" xfId="4332"/>
    <cellStyle name="Calculation 11 3 10" xfId="4333"/>
    <cellStyle name="Calculation 11 3 11" xfId="4334"/>
    <cellStyle name="Calculation 11 3 12" xfId="4335"/>
    <cellStyle name="Calculation 11 3 13" xfId="4336"/>
    <cellStyle name="Calculation 11 3 14" xfId="4337"/>
    <cellStyle name="Calculation 11 3 15" xfId="4338"/>
    <cellStyle name="Calculation 11 3 16" xfId="4339"/>
    <cellStyle name="Calculation 11 3 17" xfId="4340"/>
    <cellStyle name="Calculation 11 3 18" xfId="4341"/>
    <cellStyle name="Calculation 11 3 2" xfId="4342"/>
    <cellStyle name="Calculation 11 3 2 10" xfId="4343"/>
    <cellStyle name="Calculation 11 3 2 11" xfId="4344"/>
    <cellStyle name="Calculation 11 3 2 12" xfId="4345"/>
    <cellStyle name="Calculation 11 3 2 13" xfId="4346"/>
    <cellStyle name="Calculation 11 3 2 14" xfId="4347"/>
    <cellStyle name="Calculation 11 3 2 15" xfId="4348"/>
    <cellStyle name="Calculation 11 3 2 16" xfId="4349"/>
    <cellStyle name="Calculation 11 3 2 2" xfId="4350"/>
    <cellStyle name="Calculation 11 3 2 2 2" xfId="4351"/>
    <cellStyle name="Calculation 11 3 2 2 3" xfId="4352"/>
    <cellStyle name="Calculation 11 3 2 2 4" xfId="4353"/>
    <cellStyle name="Calculation 11 3 2 3" xfId="4354"/>
    <cellStyle name="Calculation 11 3 2 4" xfId="4355"/>
    <cellStyle name="Calculation 11 3 2 5" xfId="4356"/>
    <cellStyle name="Calculation 11 3 2 6" xfId="4357"/>
    <cellStyle name="Calculation 11 3 2 7" xfId="4358"/>
    <cellStyle name="Calculation 11 3 2 8" xfId="4359"/>
    <cellStyle name="Calculation 11 3 2 9" xfId="4360"/>
    <cellStyle name="Calculation 11 3 3" xfId="4361"/>
    <cellStyle name="Calculation 11 3 3 10" xfId="4362"/>
    <cellStyle name="Calculation 11 3 3 11" xfId="4363"/>
    <cellStyle name="Calculation 11 3 3 12" xfId="4364"/>
    <cellStyle name="Calculation 11 3 3 13" xfId="4365"/>
    <cellStyle name="Calculation 11 3 3 14" xfId="4366"/>
    <cellStyle name="Calculation 11 3 3 15" xfId="4367"/>
    <cellStyle name="Calculation 11 3 3 16" xfId="4368"/>
    <cellStyle name="Calculation 11 3 3 2" xfId="4369"/>
    <cellStyle name="Calculation 11 3 3 2 2" xfId="4370"/>
    <cellStyle name="Calculation 11 3 3 2 3" xfId="4371"/>
    <cellStyle name="Calculation 11 3 3 2 4" xfId="4372"/>
    <cellStyle name="Calculation 11 3 3 3" xfId="4373"/>
    <cellStyle name="Calculation 11 3 3 4" xfId="4374"/>
    <cellStyle name="Calculation 11 3 3 5" xfId="4375"/>
    <cellStyle name="Calculation 11 3 3 6" xfId="4376"/>
    <cellStyle name="Calculation 11 3 3 7" xfId="4377"/>
    <cellStyle name="Calculation 11 3 3 8" xfId="4378"/>
    <cellStyle name="Calculation 11 3 3 9" xfId="4379"/>
    <cellStyle name="Calculation 11 3 4" xfId="4380"/>
    <cellStyle name="Calculation 11 3 4 2" xfId="4381"/>
    <cellStyle name="Calculation 11 3 4 3" xfId="4382"/>
    <cellStyle name="Calculation 11 3 4 4" xfId="4383"/>
    <cellStyle name="Calculation 11 3 5" xfId="4384"/>
    <cellStyle name="Calculation 11 3 6" xfId="4385"/>
    <cellStyle name="Calculation 11 3 7" xfId="4386"/>
    <cellStyle name="Calculation 11 3 8" xfId="4387"/>
    <cellStyle name="Calculation 11 3 9" xfId="4388"/>
    <cellStyle name="Calculation 11 4" xfId="4389"/>
    <cellStyle name="Calculation 11 4 10" xfId="4390"/>
    <cellStyle name="Calculation 11 4 11" xfId="4391"/>
    <cellStyle name="Calculation 11 4 12" xfId="4392"/>
    <cellStyle name="Calculation 11 4 13" xfId="4393"/>
    <cellStyle name="Calculation 11 4 14" xfId="4394"/>
    <cellStyle name="Calculation 11 4 15" xfId="4395"/>
    <cellStyle name="Calculation 11 4 16" xfId="4396"/>
    <cellStyle name="Calculation 11 4 17" xfId="4397"/>
    <cellStyle name="Calculation 11 4 18" xfId="4398"/>
    <cellStyle name="Calculation 11 4 2" xfId="4399"/>
    <cellStyle name="Calculation 11 4 2 10" xfId="4400"/>
    <cellStyle name="Calculation 11 4 2 11" xfId="4401"/>
    <cellStyle name="Calculation 11 4 2 12" xfId="4402"/>
    <cellStyle name="Calculation 11 4 2 13" xfId="4403"/>
    <cellStyle name="Calculation 11 4 2 14" xfId="4404"/>
    <cellStyle name="Calculation 11 4 2 15" xfId="4405"/>
    <cellStyle name="Calculation 11 4 2 16" xfId="4406"/>
    <cellStyle name="Calculation 11 4 2 2" xfId="4407"/>
    <cellStyle name="Calculation 11 4 2 2 2" xfId="4408"/>
    <cellStyle name="Calculation 11 4 2 2 3" xfId="4409"/>
    <cellStyle name="Calculation 11 4 2 2 4" xfId="4410"/>
    <cellStyle name="Calculation 11 4 2 3" xfId="4411"/>
    <cellStyle name="Calculation 11 4 2 4" xfId="4412"/>
    <cellStyle name="Calculation 11 4 2 5" xfId="4413"/>
    <cellStyle name="Calculation 11 4 2 6" xfId="4414"/>
    <cellStyle name="Calculation 11 4 2 7" xfId="4415"/>
    <cellStyle name="Calculation 11 4 2 8" xfId="4416"/>
    <cellStyle name="Calculation 11 4 2 9" xfId="4417"/>
    <cellStyle name="Calculation 11 4 3" xfId="4418"/>
    <cellStyle name="Calculation 11 4 3 10" xfId="4419"/>
    <cellStyle name="Calculation 11 4 3 11" xfId="4420"/>
    <cellStyle name="Calculation 11 4 3 12" xfId="4421"/>
    <cellStyle name="Calculation 11 4 3 13" xfId="4422"/>
    <cellStyle name="Calculation 11 4 3 14" xfId="4423"/>
    <cellStyle name="Calculation 11 4 3 15" xfId="4424"/>
    <cellStyle name="Calculation 11 4 3 16" xfId="4425"/>
    <cellStyle name="Calculation 11 4 3 2" xfId="4426"/>
    <cellStyle name="Calculation 11 4 3 2 2" xfId="4427"/>
    <cellStyle name="Calculation 11 4 3 2 3" xfId="4428"/>
    <cellStyle name="Calculation 11 4 3 2 4" xfId="4429"/>
    <cellStyle name="Calculation 11 4 3 3" xfId="4430"/>
    <cellStyle name="Calculation 11 4 3 4" xfId="4431"/>
    <cellStyle name="Calculation 11 4 3 5" xfId="4432"/>
    <cellStyle name="Calculation 11 4 3 6" xfId="4433"/>
    <cellStyle name="Calculation 11 4 3 7" xfId="4434"/>
    <cellStyle name="Calculation 11 4 3 8" xfId="4435"/>
    <cellStyle name="Calculation 11 4 3 9" xfId="4436"/>
    <cellStyle name="Calculation 11 4 4" xfId="4437"/>
    <cellStyle name="Calculation 11 4 4 2" xfId="4438"/>
    <cellStyle name="Calculation 11 4 4 3" xfId="4439"/>
    <cellStyle name="Calculation 11 4 4 4" xfId="4440"/>
    <cellStyle name="Calculation 11 4 5" xfId="4441"/>
    <cellStyle name="Calculation 11 4 6" xfId="4442"/>
    <cellStyle name="Calculation 11 4 7" xfId="4443"/>
    <cellStyle name="Calculation 11 4 8" xfId="4444"/>
    <cellStyle name="Calculation 11 4 9" xfId="4445"/>
    <cellStyle name="Calculation 12 2" xfId="4446"/>
    <cellStyle name="Calculation 12 2 10" xfId="4447"/>
    <cellStyle name="Calculation 12 2 11" xfId="4448"/>
    <cellStyle name="Calculation 12 2 12" xfId="4449"/>
    <cellStyle name="Calculation 12 2 13" xfId="4450"/>
    <cellStyle name="Calculation 12 2 14" xfId="4451"/>
    <cellStyle name="Calculation 12 2 15" xfId="4452"/>
    <cellStyle name="Calculation 12 2 16" xfId="4453"/>
    <cellStyle name="Calculation 12 2 17" xfId="4454"/>
    <cellStyle name="Calculation 12 2 18" xfId="4455"/>
    <cellStyle name="Calculation 12 2 2" xfId="4456"/>
    <cellStyle name="Calculation 12 2 2 10" xfId="4457"/>
    <cellStyle name="Calculation 12 2 2 11" xfId="4458"/>
    <cellStyle name="Calculation 12 2 2 12" xfId="4459"/>
    <cellStyle name="Calculation 12 2 2 13" xfId="4460"/>
    <cellStyle name="Calculation 12 2 2 14" xfId="4461"/>
    <cellStyle name="Calculation 12 2 2 15" xfId="4462"/>
    <cellStyle name="Calculation 12 2 2 16" xfId="4463"/>
    <cellStyle name="Calculation 12 2 2 2" xfId="4464"/>
    <cellStyle name="Calculation 12 2 2 2 2" xfId="4465"/>
    <cellStyle name="Calculation 12 2 2 2 3" xfId="4466"/>
    <cellStyle name="Calculation 12 2 2 2 4" xfId="4467"/>
    <cellStyle name="Calculation 12 2 2 3" xfId="4468"/>
    <cellStyle name="Calculation 12 2 2 4" xfId="4469"/>
    <cellStyle name="Calculation 12 2 2 5" xfId="4470"/>
    <cellStyle name="Calculation 12 2 2 6" xfId="4471"/>
    <cellStyle name="Calculation 12 2 2 7" xfId="4472"/>
    <cellStyle name="Calculation 12 2 2 8" xfId="4473"/>
    <cellStyle name="Calculation 12 2 2 9" xfId="4474"/>
    <cellStyle name="Calculation 12 2 3" xfId="4475"/>
    <cellStyle name="Calculation 12 2 3 10" xfId="4476"/>
    <cellStyle name="Calculation 12 2 3 11" xfId="4477"/>
    <cellStyle name="Calculation 12 2 3 12" xfId="4478"/>
    <cellStyle name="Calculation 12 2 3 13" xfId="4479"/>
    <cellStyle name="Calculation 12 2 3 14" xfId="4480"/>
    <cellStyle name="Calculation 12 2 3 15" xfId="4481"/>
    <cellStyle name="Calculation 12 2 3 16" xfId="4482"/>
    <cellStyle name="Calculation 12 2 3 2" xfId="4483"/>
    <cellStyle name="Calculation 12 2 3 2 2" xfId="4484"/>
    <cellStyle name="Calculation 12 2 3 2 3" xfId="4485"/>
    <cellStyle name="Calculation 12 2 3 2 4" xfId="4486"/>
    <cellStyle name="Calculation 12 2 3 3" xfId="4487"/>
    <cellStyle name="Calculation 12 2 3 4" xfId="4488"/>
    <cellStyle name="Calculation 12 2 3 5" xfId="4489"/>
    <cellStyle name="Calculation 12 2 3 6" xfId="4490"/>
    <cellStyle name="Calculation 12 2 3 7" xfId="4491"/>
    <cellStyle name="Calculation 12 2 3 8" xfId="4492"/>
    <cellStyle name="Calculation 12 2 3 9" xfId="4493"/>
    <cellStyle name="Calculation 12 2 4" xfId="4494"/>
    <cellStyle name="Calculation 12 2 4 2" xfId="4495"/>
    <cellStyle name="Calculation 12 2 4 3" xfId="4496"/>
    <cellStyle name="Calculation 12 2 4 4" xfId="4497"/>
    <cellStyle name="Calculation 12 2 5" xfId="4498"/>
    <cellStyle name="Calculation 12 2 6" xfId="4499"/>
    <cellStyle name="Calculation 12 2 7" xfId="4500"/>
    <cellStyle name="Calculation 12 2 8" xfId="4501"/>
    <cellStyle name="Calculation 12 2 9" xfId="4502"/>
    <cellStyle name="Calculation 12 3" xfId="4503"/>
    <cellStyle name="Calculation 12 3 10" xfId="4504"/>
    <cellStyle name="Calculation 12 3 11" xfId="4505"/>
    <cellStyle name="Calculation 12 3 12" xfId="4506"/>
    <cellStyle name="Calculation 12 3 13" xfId="4507"/>
    <cellStyle name="Calculation 12 3 14" xfId="4508"/>
    <cellStyle name="Calculation 12 3 15" xfId="4509"/>
    <cellStyle name="Calculation 12 3 16" xfId="4510"/>
    <cellStyle name="Calculation 12 3 17" xfId="4511"/>
    <cellStyle name="Calculation 12 3 18" xfId="4512"/>
    <cellStyle name="Calculation 12 3 2" xfId="4513"/>
    <cellStyle name="Calculation 12 3 2 10" xfId="4514"/>
    <cellStyle name="Calculation 12 3 2 11" xfId="4515"/>
    <cellStyle name="Calculation 12 3 2 12" xfId="4516"/>
    <cellStyle name="Calculation 12 3 2 13" xfId="4517"/>
    <cellStyle name="Calculation 12 3 2 14" xfId="4518"/>
    <cellStyle name="Calculation 12 3 2 15" xfId="4519"/>
    <cellStyle name="Calculation 12 3 2 16" xfId="4520"/>
    <cellStyle name="Calculation 12 3 2 2" xfId="4521"/>
    <cellStyle name="Calculation 12 3 2 2 2" xfId="4522"/>
    <cellStyle name="Calculation 12 3 2 2 3" xfId="4523"/>
    <cellStyle name="Calculation 12 3 2 2 4" xfId="4524"/>
    <cellStyle name="Calculation 12 3 2 3" xfId="4525"/>
    <cellStyle name="Calculation 12 3 2 4" xfId="4526"/>
    <cellStyle name="Calculation 12 3 2 5" xfId="4527"/>
    <cellStyle name="Calculation 12 3 2 6" xfId="4528"/>
    <cellStyle name="Calculation 12 3 2 7" xfId="4529"/>
    <cellStyle name="Calculation 12 3 2 8" xfId="4530"/>
    <cellStyle name="Calculation 12 3 2 9" xfId="4531"/>
    <cellStyle name="Calculation 12 3 3" xfId="4532"/>
    <cellStyle name="Calculation 12 3 3 10" xfId="4533"/>
    <cellStyle name="Calculation 12 3 3 11" xfId="4534"/>
    <cellStyle name="Calculation 12 3 3 12" xfId="4535"/>
    <cellStyle name="Calculation 12 3 3 13" xfId="4536"/>
    <cellStyle name="Calculation 12 3 3 14" xfId="4537"/>
    <cellStyle name="Calculation 12 3 3 15" xfId="4538"/>
    <cellStyle name="Calculation 12 3 3 16" xfId="4539"/>
    <cellStyle name="Calculation 12 3 3 2" xfId="4540"/>
    <cellStyle name="Calculation 12 3 3 2 2" xfId="4541"/>
    <cellStyle name="Calculation 12 3 3 2 3" xfId="4542"/>
    <cellStyle name="Calculation 12 3 3 2 4" xfId="4543"/>
    <cellStyle name="Calculation 12 3 3 3" xfId="4544"/>
    <cellStyle name="Calculation 12 3 3 4" xfId="4545"/>
    <cellStyle name="Calculation 12 3 3 5" xfId="4546"/>
    <cellStyle name="Calculation 12 3 3 6" xfId="4547"/>
    <cellStyle name="Calculation 12 3 3 7" xfId="4548"/>
    <cellStyle name="Calculation 12 3 3 8" xfId="4549"/>
    <cellStyle name="Calculation 12 3 3 9" xfId="4550"/>
    <cellStyle name="Calculation 12 3 4" xfId="4551"/>
    <cellStyle name="Calculation 12 3 4 2" xfId="4552"/>
    <cellStyle name="Calculation 12 3 4 3" xfId="4553"/>
    <cellStyle name="Calculation 12 3 4 4" xfId="4554"/>
    <cellStyle name="Calculation 12 3 5" xfId="4555"/>
    <cellStyle name="Calculation 12 3 6" xfId="4556"/>
    <cellStyle name="Calculation 12 3 7" xfId="4557"/>
    <cellStyle name="Calculation 12 3 8" xfId="4558"/>
    <cellStyle name="Calculation 12 3 9" xfId="4559"/>
    <cellStyle name="Calculation 12 4" xfId="4560"/>
    <cellStyle name="Calculation 12 4 10" xfId="4561"/>
    <cellStyle name="Calculation 12 4 11" xfId="4562"/>
    <cellStyle name="Calculation 12 4 12" xfId="4563"/>
    <cellStyle name="Calculation 12 4 13" xfId="4564"/>
    <cellStyle name="Calculation 12 4 14" xfId="4565"/>
    <cellStyle name="Calculation 12 4 15" xfId="4566"/>
    <cellStyle name="Calculation 12 4 16" xfId="4567"/>
    <cellStyle name="Calculation 12 4 17" xfId="4568"/>
    <cellStyle name="Calculation 12 4 18" xfId="4569"/>
    <cellStyle name="Calculation 12 4 2" xfId="4570"/>
    <cellStyle name="Calculation 12 4 2 10" xfId="4571"/>
    <cellStyle name="Calculation 12 4 2 11" xfId="4572"/>
    <cellStyle name="Calculation 12 4 2 12" xfId="4573"/>
    <cellStyle name="Calculation 12 4 2 13" xfId="4574"/>
    <cellStyle name="Calculation 12 4 2 14" xfId="4575"/>
    <cellStyle name="Calculation 12 4 2 15" xfId="4576"/>
    <cellStyle name="Calculation 12 4 2 16" xfId="4577"/>
    <cellStyle name="Calculation 12 4 2 2" xfId="4578"/>
    <cellStyle name="Calculation 12 4 2 2 2" xfId="4579"/>
    <cellStyle name="Calculation 12 4 2 2 3" xfId="4580"/>
    <cellStyle name="Calculation 12 4 2 2 4" xfId="4581"/>
    <cellStyle name="Calculation 12 4 2 3" xfId="4582"/>
    <cellStyle name="Calculation 12 4 2 4" xfId="4583"/>
    <cellStyle name="Calculation 12 4 2 5" xfId="4584"/>
    <cellStyle name="Calculation 12 4 2 6" xfId="4585"/>
    <cellStyle name="Calculation 12 4 2 7" xfId="4586"/>
    <cellStyle name="Calculation 12 4 2 8" xfId="4587"/>
    <cellStyle name="Calculation 12 4 2 9" xfId="4588"/>
    <cellStyle name="Calculation 12 4 3" xfId="4589"/>
    <cellStyle name="Calculation 12 4 3 10" xfId="4590"/>
    <cellStyle name="Calculation 12 4 3 11" xfId="4591"/>
    <cellStyle name="Calculation 12 4 3 12" xfId="4592"/>
    <cellStyle name="Calculation 12 4 3 13" xfId="4593"/>
    <cellStyle name="Calculation 12 4 3 14" xfId="4594"/>
    <cellStyle name="Calculation 12 4 3 15" xfId="4595"/>
    <cellStyle name="Calculation 12 4 3 16" xfId="4596"/>
    <cellStyle name="Calculation 12 4 3 2" xfId="4597"/>
    <cellStyle name="Calculation 12 4 3 2 2" xfId="4598"/>
    <cellStyle name="Calculation 12 4 3 2 3" xfId="4599"/>
    <cellStyle name="Calculation 12 4 3 2 4" xfId="4600"/>
    <cellStyle name="Calculation 12 4 3 3" xfId="4601"/>
    <cellStyle name="Calculation 12 4 3 4" xfId="4602"/>
    <cellStyle name="Calculation 12 4 3 5" xfId="4603"/>
    <cellStyle name="Calculation 12 4 3 6" xfId="4604"/>
    <cellStyle name="Calculation 12 4 3 7" xfId="4605"/>
    <cellStyle name="Calculation 12 4 3 8" xfId="4606"/>
    <cellStyle name="Calculation 12 4 3 9" xfId="4607"/>
    <cellStyle name="Calculation 12 4 4" xfId="4608"/>
    <cellStyle name="Calculation 12 4 4 2" xfId="4609"/>
    <cellStyle name="Calculation 12 4 4 3" xfId="4610"/>
    <cellStyle name="Calculation 12 4 4 4" xfId="4611"/>
    <cellStyle name="Calculation 12 4 5" xfId="4612"/>
    <cellStyle name="Calculation 12 4 6" xfId="4613"/>
    <cellStyle name="Calculation 12 4 7" xfId="4614"/>
    <cellStyle name="Calculation 12 4 8" xfId="4615"/>
    <cellStyle name="Calculation 12 4 9" xfId="4616"/>
    <cellStyle name="Calculation 13 2" xfId="4617"/>
    <cellStyle name="Calculation 13 2 10" xfId="4618"/>
    <cellStyle name="Calculation 13 2 11" xfId="4619"/>
    <cellStyle name="Calculation 13 2 12" xfId="4620"/>
    <cellStyle name="Calculation 13 2 13" xfId="4621"/>
    <cellStyle name="Calculation 13 2 14" xfId="4622"/>
    <cellStyle name="Calculation 13 2 15" xfId="4623"/>
    <cellStyle name="Calculation 13 2 16" xfId="4624"/>
    <cellStyle name="Calculation 13 2 17" xfId="4625"/>
    <cellStyle name="Calculation 13 2 18" xfId="4626"/>
    <cellStyle name="Calculation 13 2 2" xfId="4627"/>
    <cellStyle name="Calculation 13 2 2 10" xfId="4628"/>
    <cellStyle name="Calculation 13 2 2 11" xfId="4629"/>
    <cellStyle name="Calculation 13 2 2 12" xfId="4630"/>
    <cellStyle name="Calculation 13 2 2 13" xfId="4631"/>
    <cellStyle name="Calculation 13 2 2 14" xfId="4632"/>
    <cellStyle name="Calculation 13 2 2 15" xfId="4633"/>
    <cellStyle name="Calculation 13 2 2 16" xfId="4634"/>
    <cellStyle name="Calculation 13 2 2 2" xfId="4635"/>
    <cellStyle name="Calculation 13 2 2 2 2" xfId="4636"/>
    <cellStyle name="Calculation 13 2 2 2 3" xfId="4637"/>
    <cellStyle name="Calculation 13 2 2 2 4" xfId="4638"/>
    <cellStyle name="Calculation 13 2 2 3" xfId="4639"/>
    <cellStyle name="Calculation 13 2 2 4" xfId="4640"/>
    <cellStyle name="Calculation 13 2 2 5" xfId="4641"/>
    <cellStyle name="Calculation 13 2 2 6" xfId="4642"/>
    <cellStyle name="Calculation 13 2 2 7" xfId="4643"/>
    <cellStyle name="Calculation 13 2 2 8" xfId="4644"/>
    <cellStyle name="Calculation 13 2 2 9" xfId="4645"/>
    <cellStyle name="Calculation 13 2 3" xfId="4646"/>
    <cellStyle name="Calculation 13 2 3 10" xfId="4647"/>
    <cellStyle name="Calculation 13 2 3 11" xfId="4648"/>
    <cellStyle name="Calculation 13 2 3 12" xfId="4649"/>
    <cellStyle name="Calculation 13 2 3 13" xfId="4650"/>
    <cellStyle name="Calculation 13 2 3 14" xfId="4651"/>
    <cellStyle name="Calculation 13 2 3 15" xfId="4652"/>
    <cellStyle name="Calculation 13 2 3 16" xfId="4653"/>
    <cellStyle name="Calculation 13 2 3 2" xfId="4654"/>
    <cellStyle name="Calculation 13 2 3 2 2" xfId="4655"/>
    <cellStyle name="Calculation 13 2 3 2 3" xfId="4656"/>
    <cellStyle name="Calculation 13 2 3 2 4" xfId="4657"/>
    <cellStyle name="Calculation 13 2 3 3" xfId="4658"/>
    <cellStyle name="Calculation 13 2 3 4" xfId="4659"/>
    <cellStyle name="Calculation 13 2 3 5" xfId="4660"/>
    <cellStyle name="Calculation 13 2 3 6" xfId="4661"/>
    <cellStyle name="Calculation 13 2 3 7" xfId="4662"/>
    <cellStyle name="Calculation 13 2 3 8" xfId="4663"/>
    <cellStyle name="Calculation 13 2 3 9" xfId="4664"/>
    <cellStyle name="Calculation 13 2 4" xfId="4665"/>
    <cellStyle name="Calculation 13 2 4 2" xfId="4666"/>
    <cellStyle name="Calculation 13 2 4 3" xfId="4667"/>
    <cellStyle name="Calculation 13 2 4 4" xfId="4668"/>
    <cellStyle name="Calculation 13 2 5" xfId="4669"/>
    <cellStyle name="Calculation 13 2 6" xfId="4670"/>
    <cellStyle name="Calculation 13 2 7" xfId="4671"/>
    <cellStyle name="Calculation 13 2 8" xfId="4672"/>
    <cellStyle name="Calculation 13 2 9" xfId="4673"/>
    <cellStyle name="Calculation 13 3" xfId="4674"/>
    <cellStyle name="Calculation 13 3 10" xfId="4675"/>
    <cellStyle name="Calculation 13 3 11" xfId="4676"/>
    <cellStyle name="Calculation 13 3 12" xfId="4677"/>
    <cellStyle name="Calculation 13 3 13" xfId="4678"/>
    <cellStyle name="Calculation 13 3 14" xfId="4679"/>
    <cellStyle name="Calculation 13 3 15" xfId="4680"/>
    <cellStyle name="Calculation 13 3 16" xfId="4681"/>
    <cellStyle name="Calculation 13 3 17" xfId="4682"/>
    <cellStyle name="Calculation 13 3 18" xfId="4683"/>
    <cellStyle name="Calculation 13 3 2" xfId="4684"/>
    <cellStyle name="Calculation 13 3 2 10" xfId="4685"/>
    <cellStyle name="Calculation 13 3 2 11" xfId="4686"/>
    <cellStyle name="Calculation 13 3 2 12" xfId="4687"/>
    <cellStyle name="Calculation 13 3 2 13" xfId="4688"/>
    <cellStyle name="Calculation 13 3 2 14" xfId="4689"/>
    <cellStyle name="Calculation 13 3 2 15" xfId="4690"/>
    <cellStyle name="Calculation 13 3 2 16" xfId="4691"/>
    <cellStyle name="Calculation 13 3 2 2" xfId="4692"/>
    <cellStyle name="Calculation 13 3 2 2 2" xfId="4693"/>
    <cellStyle name="Calculation 13 3 2 2 3" xfId="4694"/>
    <cellStyle name="Calculation 13 3 2 2 4" xfId="4695"/>
    <cellStyle name="Calculation 13 3 2 3" xfId="4696"/>
    <cellStyle name="Calculation 13 3 2 4" xfId="4697"/>
    <cellStyle name="Calculation 13 3 2 5" xfId="4698"/>
    <cellStyle name="Calculation 13 3 2 6" xfId="4699"/>
    <cellStyle name="Calculation 13 3 2 7" xfId="4700"/>
    <cellStyle name="Calculation 13 3 2 8" xfId="4701"/>
    <cellStyle name="Calculation 13 3 2 9" xfId="4702"/>
    <cellStyle name="Calculation 13 3 3" xfId="4703"/>
    <cellStyle name="Calculation 13 3 3 10" xfId="4704"/>
    <cellStyle name="Calculation 13 3 3 11" xfId="4705"/>
    <cellStyle name="Calculation 13 3 3 12" xfId="4706"/>
    <cellStyle name="Calculation 13 3 3 13" xfId="4707"/>
    <cellStyle name="Calculation 13 3 3 14" xfId="4708"/>
    <cellStyle name="Calculation 13 3 3 15" xfId="4709"/>
    <cellStyle name="Calculation 13 3 3 16" xfId="4710"/>
    <cellStyle name="Calculation 13 3 3 2" xfId="4711"/>
    <cellStyle name="Calculation 13 3 3 2 2" xfId="4712"/>
    <cellStyle name="Calculation 13 3 3 2 3" xfId="4713"/>
    <cellStyle name="Calculation 13 3 3 2 4" xfId="4714"/>
    <cellStyle name="Calculation 13 3 3 3" xfId="4715"/>
    <cellStyle name="Calculation 13 3 3 4" xfId="4716"/>
    <cellStyle name="Calculation 13 3 3 5" xfId="4717"/>
    <cellStyle name="Calculation 13 3 3 6" xfId="4718"/>
    <cellStyle name="Calculation 13 3 3 7" xfId="4719"/>
    <cellStyle name="Calculation 13 3 3 8" xfId="4720"/>
    <cellStyle name="Calculation 13 3 3 9" xfId="4721"/>
    <cellStyle name="Calculation 13 3 4" xfId="4722"/>
    <cellStyle name="Calculation 13 3 4 2" xfId="4723"/>
    <cellStyle name="Calculation 13 3 4 3" xfId="4724"/>
    <cellStyle name="Calculation 13 3 4 4" xfId="4725"/>
    <cellStyle name="Calculation 13 3 5" xfId="4726"/>
    <cellStyle name="Calculation 13 3 6" xfId="4727"/>
    <cellStyle name="Calculation 13 3 7" xfId="4728"/>
    <cellStyle name="Calculation 13 3 8" xfId="4729"/>
    <cellStyle name="Calculation 13 3 9" xfId="4730"/>
    <cellStyle name="Calculation 13 4" xfId="4731"/>
    <cellStyle name="Calculation 13 4 10" xfId="4732"/>
    <cellStyle name="Calculation 13 4 11" xfId="4733"/>
    <cellStyle name="Calculation 13 4 12" xfId="4734"/>
    <cellStyle name="Calculation 13 4 13" xfId="4735"/>
    <cellStyle name="Calculation 13 4 14" xfId="4736"/>
    <cellStyle name="Calculation 13 4 15" xfId="4737"/>
    <cellStyle name="Calculation 13 4 16" xfId="4738"/>
    <cellStyle name="Calculation 13 4 17" xfId="4739"/>
    <cellStyle name="Calculation 13 4 18" xfId="4740"/>
    <cellStyle name="Calculation 13 4 2" xfId="4741"/>
    <cellStyle name="Calculation 13 4 2 10" xfId="4742"/>
    <cellStyle name="Calculation 13 4 2 11" xfId="4743"/>
    <cellStyle name="Calculation 13 4 2 12" xfId="4744"/>
    <cellStyle name="Calculation 13 4 2 13" xfId="4745"/>
    <cellStyle name="Calculation 13 4 2 14" xfId="4746"/>
    <cellStyle name="Calculation 13 4 2 15" xfId="4747"/>
    <cellStyle name="Calculation 13 4 2 16" xfId="4748"/>
    <cellStyle name="Calculation 13 4 2 2" xfId="4749"/>
    <cellStyle name="Calculation 13 4 2 2 2" xfId="4750"/>
    <cellStyle name="Calculation 13 4 2 2 3" xfId="4751"/>
    <cellStyle name="Calculation 13 4 2 2 4" xfId="4752"/>
    <cellStyle name="Calculation 13 4 2 3" xfId="4753"/>
    <cellStyle name="Calculation 13 4 2 4" xfId="4754"/>
    <cellStyle name="Calculation 13 4 2 5" xfId="4755"/>
    <cellStyle name="Calculation 13 4 2 6" xfId="4756"/>
    <cellStyle name="Calculation 13 4 2 7" xfId="4757"/>
    <cellStyle name="Calculation 13 4 2 8" xfId="4758"/>
    <cellStyle name="Calculation 13 4 2 9" xfId="4759"/>
    <cellStyle name="Calculation 13 4 3" xfId="4760"/>
    <cellStyle name="Calculation 13 4 3 10" xfId="4761"/>
    <cellStyle name="Calculation 13 4 3 11" xfId="4762"/>
    <cellStyle name="Calculation 13 4 3 12" xfId="4763"/>
    <cellStyle name="Calculation 13 4 3 13" xfId="4764"/>
    <cellStyle name="Calculation 13 4 3 14" xfId="4765"/>
    <cellStyle name="Calculation 13 4 3 15" xfId="4766"/>
    <cellStyle name="Calculation 13 4 3 16" xfId="4767"/>
    <cellStyle name="Calculation 13 4 3 2" xfId="4768"/>
    <cellStyle name="Calculation 13 4 3 2 2" xfId="4769"/>
    <cellStyle name="Calculation 13 4 3 2 3" xfId="4770"/>
    <cellStyle name="Calculation 13 4 3 2 4" xfId="4771"/>
    <cellStyle name="Calculation 13 4 3 3" xfId="4772"/>
    <cellStyle name="Calculation 13 4 3 4" xfId="4773"/>
    <cellStyle name="Calculation 13 4 3 5" xfId="4774"/>
    <cellStyle name="Calculation 13 4 3 6" xfId="4775"/>
    <cellStyle name="Calculation 13 4 3 7" xfId="4776"/>
    <cellStyle name="Calculation 13 4 3 8" xfId="4777"/>
    <cellStyle name="Calculation 13 4 3 9" xfId="4778"/>
    <cellStyle name="Calculation 13 4 4" xfId="4779"/>
    <cellStyle name="Calculation 13 4 4 2" xfId="4780"/>
    <cellStyle name="Calculation 13 4 4 3" xfId="4781"/>
    <cellStyle name="Calculation 13 4 4 4" xfId="4782"/>
    <cellStyle name="Calculation 13 4 5" xfId="4783"/>
    <cellStyle name="Calculation 13 4 6" xfId="4784"/>
    <cellStyle name="Calculation 13 4 7" xfId="4785"/>
    <cellStyle name="Calculation 13 4 8" xfId="4786"/>
    <cellStyle name="Calculation 13 4 9" xfId="4787"/>
    <cellStyle name="Calculation 14 2" xfId="4788"/>
    <cellStyle name="Calculation 14 2 10" xfId="4789"/>
    <cellStyle name="Calculation 14 2 11" xfId="4790"/>
    <cellStyle name="Calculation 14 2 12" xfId="4791"/>
    <cellStyle name="Calculation 14 2 13" xfId="4792"/>
    <cellStyle name="Calculation 14 2 14" xfId="4793"/>
    <cellStyle name="Calculation 14 2 15" xfId="4794"/>
    <cellStyle name="Calculation 14 2 16" xfId="4795"/>
    <cellStyle name="Calculation 14 2 17" xfId="4796"/>
    <cellStyle name="Calculation 14 2 18" xfId="4797"/>
    <cellStyle name="Calculation 14 2 2" xfId="4798"/>
    <cellStyle name="Calculation 14 2 2 10" xfId="4799"/>
    <cellStyle name="Calculation 14 2 2 11" xfId="4800"/>
    <cellStyle name="Calculation 14 2 2 12" xfId="4801"/>
    <cellStyle name="Calculation 14 2 2 13" xfId="4802"/>
    <cellStyle name="Calculation 14 2 2 14" xfId="4803"/>
    <cellStyle name="Calculation 14 2 2 15" xfId="4804"/>
    <cellStyle name="Calculation 14 2 2 16" xfId="4805"/>
    <cellStyle name="Calculation 14 2 2 2" xfId="4806"/>
    <cellStyle name="Calculation 14 2 2 2 2" xfId="4807"/>
    <cellStyle name="Calculation 14 2 2 2 3" xfId="4808"/>
    <cellStyle name="Calculation 14 2 2 2 4" xfId="4809"/>
    <cellStyle name="Calculation 14 2 2 3" xfId="4810"/>
    <cellStyle name="Calculation 14 2 2 4" xfId="4811"/>
    <cellStyle name="Calculation 14 2 2 5" xfId="4812"/>
    <cellStyle name="Calculation 14 2 2 6" xfId="4813"/>
    <cellStyle name="Calculation 14 2 2 7" xfId="4814"/>
    <cellStyle name="Calculation 14 2 2 8" xfId="4815"/>
    <cellStyle name="Calculation 14 2 2 9" xfId="4816"/>
    <cellStyle name="Calculation 14 2 3" xfId="4817"/>
    <cellStyle name="Calculation 14 2 3 10" xfId="4818"/>
    <cellStyle name="Calculation 14 2 3 11" xfId="4819"/>
    <cellStyle name="Calculation 14 2 3 12" xfId="4820"/>
    <cellStyle name="Calculation 14 2 3 13" xfId="4821"/>
    <cellStyle name="Calculation 14 2 3 14" xfId="4822"/>
    <cellStyle name="Calculation 14 2 3 15" xfId="4823"/>
    <cellStyle name="Calculation 14 2 3 16" xfId="4824"/>
    <cellStyle name="Calculation 14 2 3 2" xfId="4825"/>
    <cellStyle name="Calculation 14 2 3 2 2" xfId="4826"/>
    <cellStyle name="Calculation 14 2 3 2 3" xfId="4827"/>
    <cellStyle name="Calculation 14 2 3 2 4" xfId="4828"/>
    <cellStyle name="Calculation 14 2 3 3" xfId="4829"/>
    <cellStyle name="Calculation 14 2 3 4" xfId="4830"/>
    <cellStyle name="Calculation 14 2 3 5" xfId="4831"/>
    <cellStyle name="Calculation 14 2 3 6" xfId="4832"/>
    <cellStyle name="Calculation 14 2 3 7" xfId="4833"/>
    <cellStyle name="Calculation 14 2 3 8" xfId="4834"/>
    <cellStyle name="Calculation 14 2 3 9" xfId="4835"/>
    <cellStyle name="Calculation 14 2 4" xfId="4836"/>
    <cellStyle name="Calculation 14 2 4 2" xfId="4837"/>
    <cellStyle name="Calculation 14 2 4 3" xfId="4838"/>
    <cellStyle name="Calculation 14 2 4 4" xfId="4839"/>
    <cellStyle name="Calculation 14 2 5" xfId="4840"/>
    <cellStyle name="Calculation 14 2 6" xfId="4841"/>
    <cellStyle name="Calculation 14 2 7" xfId="4842"/>
    <cellStyle name="Calculation 14 2 8" xfId="4843"/>
    <cellStyle name="Calculation 14 2 9" xfId="4844"/>
    <cellStyle name="Calculation 14 3" xfId="4845"/>
    <cellStyle name="Calculation 14 3 10" xfId="4846"/>
    <cellStyle name="Calculation 14 3 11" xfId="4847"/>
    <cellStyle name="Calculation 14 3 12" xfId="4848"/>
    <cellStyle name="Calculation 14 3 13" xfId="4849"/>
    <cellStyle name="Calculation 14 3 14" xfId="4850"/>
    <cellStyle name="Calculation 14 3 15" xfId="4851"/>
    <cellStyle name="Calculation 14 3 16" xfId="4852"/>
    <cellStyle name="Calculation 14 3 17" xfId="4853"/>
    <cellStyle name="Calculation 14 3 18" xfId="4854"/>
    <cellStyle name="Calculation 14 3 2" xfId="4855"/>
    <cellStyle name="Calculation 14 3 2 10" xfId="4856"/>
    <cellStyle name="Calculation 14 3 2 11" xfId="4857"/>
    <cellStyle name="Calculation 14 3 2 12" xfId="4858"/>
    <cellStyle name="Calculation 14 3 2 13" xfId="4859"/>
    <cellStyle name="Calculation 14 3 2 14" xfId="4860"/>
    <cellStyle name="Calculation 14 3 2 15" xfId="4861"/>
    <cellStyle name="Calculation 14 3 2 16" xfId="4862"/>
    <cellStyle name="Calculation 14 3 2 2" xfId="4863"/>
    <cellStyle name="Calculation 14 3 2 2 2" xfId="4864"/>
    <cellStyle name="Calculation 14 3 2 2 3" xfId="4865"/>
    <cellStyle name="Calculation 14 3 2 2 4" xfId="4866"/>
    <cellStyle name="Calculation 14 3 2 3" xfId="4867"/>
    <cellStyle name="Calculation 14 3 2 4" xfId="4868"/>
    <cellStyle name="Calculation 14 3 2 5" xfId="4869"/>
    <cellStyle name="Calculation 14 3 2 6" xfId="4870"/>
    <cellStyle name="Calculation 14 3 2 7" xfId="4871"/>
    <cellStyle name="Calculation 14 3 2 8" xfId="4872"/>
    <cellStyle name="Calculation 14 3 2 9" xfId="4873"/>
    <cellStyle name="Calculation 14 3 3" xfId="4874"/>
    <cellStyle name="Calculation 14 3 3 10" xfId="4875"/>
    <cellStyle name="Calculation 14 3 3 11" xfId="4876"/>
    <cellStyle name="Calculation 14 3 3 12" xfId="4877"/>
    <cellStyle name="Calculation 14 3 3 13" xfId="4878"/>
    <cellStyle name="Calculation 14 3 3 14" xfId="4879"/>
    <cellStyle name="Calculation 14 3 3 15" xfId="4880"/>
    <cellStyle name="Calculation 14 3 3 16" xfId="4881"/>
    <cellStyle name="Calculation 14 3 3 2" xfId="4882"/>
    <cellStyle name="Calculation 14 3 3 2 2" xfId="4883"/>
    <cellStyle name="Calculation 14 3 3 2 3" xfId="4884"/>
    <cellStyle name="Calculation 14 3 3 2 4" xfId="4885"/>
    <cellStyle name="Calculation 14 3 3 3" xfId="4886"/>
    <cellStyle name="Calculation 14 3 3 4" xfId="4887"/>
    <cellStyle name="Calculation 14 3 3 5" xfId="4888"/>
    <cellStyle name="Calculation 14 3 3 6" xfId="4889"/>
    <cellStyle name="Calculation 14 3 3 7" xfId="4890"/>
    <cellStyle name="Calculation 14 3 3 8" xfId="4891"/>
    <cellStyle name="Calculation 14 3 3 9" xfId="4892"/>
    <cellStyle name="Calculation 14 3 4" xfId="4893"/>
    <cellStyle name="Calculation 14 3 4 2" xfId="4894"/>
    <cellStyle name="Calculation 14 3 4 3" xfId="4895"/>
    <cellStyle name="Calculation 14 3 4 4" xfId="4896"/>
    <cellStyle name="Calculation 14 3 5" xfId="4897"/>
    <cellStyle name="Calculation 14 3 6" xfId="4898"/>
    <cellStyle name="Calculation 14 3 7" xfId="4899"/>
    <cellStyle name="Calculation 14 3 8" xfId="4900"/>
    <cellStyle name="Calculation 14 3 9" xfId="4901"/>
    <cellStyle name="Calculation 14 4" xfId="4902"/>
    <cellStyle name="Calculation 14 4 10" xfId="4903"/>
    <cellStyle name="Calculation 14 4 11" xfId="4904"/>
    <cellStyle name="Calculation 14 4 12" xfId="4905"/>
    <cellStyle name="Calculation 14 4 13" xfId="4906"/>
    <cellStyle name="Calculation 14 4 14" xfId="4907"/>
    <cellStyle name="Calculation 14 4 15" xfId="4908"/>
    <cellStyle name="Calculation 14 4 16" xfId="4909"/>
    <cellStyle name="Calculation 14 4 17" xfId="4910"/>
    <cellStyle name="Calculation 14 4 18" xfId="4911"/>
    <cellStyle name="Calculation 14 4 2" xfId="4912"/>
    <cellStyle name="Calculation 14 4 2 10" xfId="4913"/>
    <cellStyle name="Calculation 14 4 2 11" xfId="4914"/>
    <cellStyle name="Calculation 14 4 2 12" xfId="4915"/>
    <cellStyle name="Calculation 14 4 2 13" xfId="4916"/>
    <cellStyle name="Calculation 14 4 2 14" xfId="4917"/>
    <cellStyle name="Calculation 14 4 2 15" xfId="4918"/>
    <cellStyle name="Calculation 14 4 2 16" xfId="4919"/>
    <cellStyle name="Calculation 14 4 2 2" xfId="4920"/>
    <cellStyle name="Calculation 14 4 2 2 2" xfId="4921"/>
    <cellStyle name="Calculation 14 4 2 2 3" xfId="4922"/>
    <cellStyle name="Calculation 14 4 2 2 4" xfId="4923"/>
    <cellStyle name="Calculation 14 4 2 3" xfId="4924"/>
    <cellStyle name="Calculation 14 4 2 4" xfId="4925"/>
    <cellStyle name="Calculation 14 4 2 5" xfId="4926"/>
    <cellStyle name="Calculation 14 4 2 6" xfId="4927"/>
    <cellStyle name="Calculation 14 4 2 7" xfId="4928"/>
    <cellStyle name="Calculation 14 4 2 8" xfId="4929"/>
    <cellStyle name="Calculation 14 4 2 9" xfId="4930"/>
    <cellStyle name="Calculation 14 4 3" xfId="4931"/>
    <cellStyle name="Calculation 14 4 3 10" xfId="4932"/>
    <cellStyle name="Calculation 14 4 3 11" xfId="4933"/>
    <cellStyle name="Calculation 14 4 3 12" xfId="4934"/>
    <cellStyle name="Calculation 14 4 3 13" xfId="4935"/>
    <cellStyle name="Calculation 14 4 3 14" xfId="4936"/>
    <cellStyle name="Calculation 14 4 3 15" xfId="4937"/>
    <cellStyle name="Calculation 14 4 3 16" xfId="4938"/>
    <cellStyle name="Calculation 14 4 3 2" xfId="4939"/>
    <cellStyle name="Calculation 14 4 3 2 2" xfId="4940"/>
    <cellStyle name="Calculation 14 4 3 2 3" xfId="4941"/>
    <cellStyle name="Calculation 14 4 3 2 4" xfId="4942"/>
    <cellStyle name="Calculation 14 4 3 3" xfId="4943"/>
    <cellStyle name="Calculation 14 4 3 4" xfId="4944"/>
    <cellStyle name="Calculation 14 4 3 5" xfId="4945"/>
    <cellStyle name="Calculation 14 4 3 6" xfId="4946"/>
    <cellStyle name="Calculation 14 4 3 7" xfId="4947"/>
    <cellStyle name="Calculation 14 4 3 8" xfId="4948"/>
    <cellStyle name="Calculation 14 4 3 9" xfId="4949"/>
    <cellStyle name="Calculation 14 4 4" xfId="4950"/>
    <cellStyle name="Calculation 14 4 4 2" xfId="4951"/>
    <cellStyle name="Calculation 14 4 4 3" xfId="4952"/>
    <cellStyle name="Calculation 14 4 4 4" xfId="4953"/>
    <cellStyle name="Calculation 14 4 5" xfId="4954"/>
    <cellStyle name="Calculation 14 4 6" xfId="4955"/>
    <cellStyle name="Calculation 14 4 7" xfId="4956"/>
    <cellStyle name="Calculation 14 4 8" xfId="4957"/>
    <cellStyle name="Calculation 14 4 9" xfId="4958"/>
    <cellStyle name="Calculation 15 2" xfId="4959"/>
    <cellStyle name="Calculation 15 2 10" xfId="4960"/>
    <cellStyle name="Calculation 15 2 11" xfId="4961"/>
    <cellStyle name="Calculation 15 2 12" xfId="4962"/>
    <cellStyle name="Calculation 15 2 13" xfId="4963"/>
    <cellStyle name="Calculation 15 2 14" xfId="4964"/>
    <cellStyle name="Calculation 15 2 15" xfId="4965"/>
    <cellStyle name="Calculation 15 2 16" xfId="4966"/>
    <cellStyle name="Calculation 15 2 17" xfId="4967"/>
    <cellStyle name="Calculation 15 2 18" xfId="4968"/>
    <cellStyle name="Calculation 15 2 2" xfId="4969"/>
    <cellStyle name="Calculation 15 2 2 10" xfId="4970"/>
    <cellStyle name="Calculation 15 2 2 11" xfId="4971"/>
    <cellStyle name="Calculation 15 2 2 12" xfId="4972"/>
    <cellStyle name="Calculation 15 2 2 13" xfId="4973"/>
    <cellStyle name="Calculation 15 2 2 14" xfId="4974"/>
    <cellStyle name="Calculation 15 2 2 15" xfId="4975"/>
    <cellStyle name="Calculation 15 2 2 16" xfId="4976"/>
    <cellStyle name="Calculation 15 2 2 2" xfId="4977"/>
    <cellStyle name="Calculation 15 2 2 2 2" xfId="4978"/>
    <cellStyle name="Calculation 15 2 2 2 3" xfId="4979"/>
    <cellStyle name="Calculation 15 2 2 2 4" xfId="4980"/>
    <cellStyle name="Calculation 15 2 2 3" xfId="4981"/>
    <cellStyle name="Calculation 15 2 2 4" xfId="4982"/>
    <cellStyle name="Calculation 15 2 2 5" xfId="4983"/>
    <cellStyle name="Calculation 15 2 2 6" xfId="4984"/>
    <cellStyle name="Calculation 15 2 2 7" xfId="4985"/>
    <cellStyle name="Calculation 15 2 2 8" xfId="4986"/>
    <cellStyle name="Calculation 15 2 2 9" xfId="4987"/>
    <cellStyle name="Calculation 15 2 3" xfId="4988"/>
    <cellStyle name="Calculation 15 2 3 10" xfId="4989"/>
    <cellStyle name="Calculation 15 2 3 11" xfId="4990"/>
    <cellStyle name="Calculation 15 2 3 12" xfId="4991"/>
    <cellStyle name="Calculation 15 2 3 13" xfId="4992"/>
    <cellStyle name="Calculation 15 2 3 14" xfId="4993"/>
    <cellStyle name="Calculation 15 2 3 15" xfId="4994"/>
    <cellStyle name="Calculation 15 2 3 16" xfId="4995"/>
    <cellStyle name="Calculation 15 2 3 2" xfId="4996"/>
    <cellStyle name="Calculation 15 2 3 2 2" xfId="4997"/>
    <cellStyle name="Calculation 15 2 3 2 3" xfId="4998"/>
    <cellStyle name="Calculation 15 2 3 2 4" xfId="4999"/>
    <cellStyle name="Calculation 15 2 3 3" xfId="5000"/>
    <cellStyle name="Calculation 15 2 3 4" xfId="5001"/>
    <cellStyle name="Calculation 15 2 3 5" xfId="5002"/>
    <cellStyle name="Calculation 15 2 3 6" xfId="5003"/>
    <cellStyle name="Calculation 15 2 3 7" xfId="5004"/>
    <cellStyle name="Calculation 15 2 3 8" xfId="5005"/>
    <cellStyle name="Calculation 15 2 3 9" xfId="5006"/>
    <cellStyle name="Calculation 15 2 4" xfId="5007"/>
    <cellStyle name="Calculation 15 2 4 2" xfId="5008"/>
    <cellStyle name="Calculation 15 2 4 3" xfId="5009"/>
    <cellStyle name="Calculation 15 2 4 4" xfId="5010"/>
    <cellStyle name="Calculation 15 2 5" xfId="5011"/>
    <cellStyle name="Calculation 15 2 6" xfId="5012"/>
    <cellStyle name="Calculation 15 2 7" xfId="5013"/>
    <cellStyle name="Calculation 15 2 8" xfId="5014"/>
    <cellStyle name="Calculation 15 2 9" xfId="5015"/>
    <cellStyle name="Calculation 15 3" xfId="5016"/>
    <cellStyle name="Calculation 15 3 10" xfId="5017"/>
    <cellStyle name="Calculation 15 3 11" xfId="5018"/>
    <cellStyle name="Calculation 15 3 12" xfId="5019"/>
    <cellStyle name="Calculation 15 3 13" xfId="5020"/>
    <cellStyle name="Calculation 15 3 14" xfId="5021"/>
    <cellStyle name="Calculation 15 3 15" xfId="5022"/>
    <cellStyle name="Calculation 15 3 16" xfId="5023"/>
    <cellStyle name="Calculation 15 3 17" xfId="5024"/>
    <cellStyle name="Calculation 15 3 18" xfId="5025"/>
    <cellStyle name="Calculation 15 3 2" xfId="5026"/>
    <cellStyle name="Calculation 15 3 2 10" xfId="5027"/>
    <cellStyle name="Calculation 15 3 2 11" xfId="5028"/>
    <cellStyle name="Calculation 15 3 2 12" xfId="5029"/>
    <cellStyle name="Calculation 15 3 2 13" xfId="5030"/>
    <cellStyle name="Calculation 15 3 2 14" xfId="5031"/>
    <cellStyle name="Calculation 15 3 2 15" xfId="5032"/>
    <cellStyle name="Calculation 15 3 2 16" xfId="5033"/>
    <cellStyle name="Calculation 15 3 2 2" xfId="5034"/>
    <cellStyle name="Calculation 15 3 2 2 2" xfId="5035"/>
    <cellStyle name="Calculation 15 3 2 2 3" xfId="5036"/>
    <cellStyle name="Calculation 15 3 2 2 4" xfId="5037"/>
    <cellStyle name="Calculation 15 3 2 3" xfId="5038"/>
    <cellStyle name="Calculation 15 3 2 4" xfId="5039"/>
    <cellStyle name="Calculation 15 3 2 5" xfId="5040"/>
    <cellStyle name="Calculation 15 3 2 6" xfId="5041"/>
    <cellStyle name="Calculation 15 3 2 7" xfId="5042"/>
    <cellStyle name="Calculation 15 3 2 8" xfId="5043"/>
    <cellStyle name="Calculation 15 3 2 9" xfId="5044"/>
    <cellStyle name="Calculation 15 3 3" xfId="5045"/>
    <cellStyle name="Calculation 15 3 3 10" xfId="5046"/>
    <cellStyle name="Calculation 15 3 3 11" xfId="5047"/>
    <cellStyle name="Calculation 15 3 3 12" xfId="5048"/>
    <cellStyle name="Calculation 15 3 3 13" xfId="5049"/>
    <cellStyle name="Calculation 15 3 3 14" xfId="5050"/>
    <cellStyle name="Calculation 15 3 3 15" xfId="5051"/>
    <cellStyle name="Calculation 15 3 3 16" xfId="5052"/>
    <cellStyle name="Calculation 15 3 3 2" xfId="5053"/>
    <cellStyle name="Calculation 15 3 3 2 2" xfId="5054"/>
    <cellStyle name="Calculation 15 3 3 2 3" xfId="5055"/>
    <cellStyle name="Calculation 15 3 3 2 4" xfId="5056"/>
    <cellStyle name="Calculation 15 3 3 3" xfId="5057"/>
    <cellStyle name="Calculation 15 3 3 4" xfId="5058"/>
    <cellStyle name="Calculation 15 3 3 5" xfId="5059"/>
    <cellStyle name="Calculation 15 3 3 6" xfId="5060"/>
    <cellStyle name="Calculation 15 3 3 7" xfId="5061"/>
    <cellStyle name="Calculation 15 3 3 8" xfId="5062"/>
    <cellStyle name="Calculation 15 3 3 9" xfId="5063"/>
    <cellStyle name="Calculation 15 3 4" xfId="5064"/>
    <cellStyle name="Calculation 15 3 4 2" xfId="5065"/>
    <cellStyle name="Calculation 15 3 4 3" xfId="5066"/>
    <cellStyle name="Calculation 15 3 4 4" xfId="5067"/>
    <cellStyle name="Calculation 15 3 5" xfId="5068"/>
    <cellStyle name="Calculation 15 3 6" xfId="5069"/>
    <cellStyle name="Calculation 15 3 7" xfId="5070"/>
    <cellStyle name="Calculation 15 3 8" xfId="5071"/>
    <cellStyle name="Calculation 15 3 9" xfId="5072"/>
    <cellStyle name="Calculation 15 4" xfId="5073"/>
    <cellStyle name="Calculation 15 4 10" xfId="5074"/>
    <cellStyle name="Calculation 15 4 11" xfId="5075"/>
    <cellStyle name="Calculation 15 4 12" xfId="5076"/>
    <cellStyle name="Calculation 15 4 13" xfId="5077"/>
    <cellStyle name="Calculation 15 4 14" xfId="5078"/>
    <cellStyle name="Calculation 15 4 15" xfId="5079"/>
    <cellStyle name="Calculation 15 4 16" xfId="5080"/>
    <cellStyle name="Calculation 15 4 17" xfId="5081"/>
    <cellStyle name="Calculation 15 4 18" xfId="5082"/>
    <cellStyle name="Calculation 15 4 2" xfId="5083"/>
    <cellStyle name="Calculation 15 4 2 10" xfId="5084"/>
    <cellStyle name="Calculation 15 4 2 11" xfId="5085"/>
    <cellStyle name="Calculation 15 4 2 12" xfId="5086"/>
    <cellStyle name="Calculation 15 4 2 13" xfId="5087"/>
    <cellStyle name="Calculation 15 4 2 14" xfId="5088"/>
    <cellStyle name="Calculation 15 4 2 15" xfId="5089"/>
    <cellStyle name="Calculation 15 4 2 16" xfId="5090"/>
    <cellStyle name="Calculation 15 4 2 2" xfId="5091"/>
    <cellStyle name="Calculation 15 4 2 2 2" xfId="5092"/>
    <cellStyle name="Calculation 15 4 2 2 3" xfId="5093"/>
    <cellStyle name="Calculation 15 4 2 2 4" xfId="5094"/>
    <cellStyle name="Calculation 15 4 2 3" xfId="5095"/>
    <cellStyle name="Calculation 15 4 2 4" xfId="5096"/>
    <cellStyle name="Calculation 15 4 2 5" xfId="5097"/>
    <cellStyle name="Calculation 15 4 2 6" xfId="5098"/>
    <cellStyle name="Calculation 15 4 2 7" xfId="5099"/>
    <cellStyle name="Calculation 15 4 2 8" xfId="5100"/>
    <cellStyle name="Calculation 15 4 2 9" xfId="5101"/>
    <cellStyle name="Calculation 15 4 3" xfId="5102"/>
    <cellStyle name="Calculation 15 4 3 10" xfId="5103"/>
    <cellStyle name="Calculation 15 4 3 11" xfId="5104"/>
    <cellStyle name="Calculation 15 4 3 12" xfId="5105"/>
    <cellStyle name="Calculation 15 4 3 13" xfId="5106"/>
    <cellStyle name="Calculation 15 4 3 14" xfId="5107"/>
    <cellStyle name="Calculation 15 4 3 15" xfId="5108"/>
    <cellStyle name="Calculation 15 4 3 16" xfId="5109"/>
    <cellStyle name="Calculation 15 4 3 2" xfId="5110"/>
    <cellStyle name="Calculation 15 4 3 2 2" xfId="5111"/>
    <cellStyle name="Calculation 15 4 3 2 3" xfId="5112"/>
    <cellStyle name="Calculation 15 4 3 2 4" xfId="5113"/>
    <cellStyle name="Calculation 15 4 3 3" xfId="5114"/>
    <cellStyle name="Calculation 15 4 3 4" xfId="5115"/>
    <cellStyle name="Calculation 15 4 3 5" xfId="5116"/>
    <cellStyle name="Calculation 15 4 3 6" xfId="5117"/>
    <cellStyle name="Calculation 15 4 3 7" xfId="5118"/>
    <cellStyle name="Calculation 15 4 3 8" xfId="5119"/>
    <cellStyle name="Calculation 15 4 3 9" xfId="5120"/>
    <cellStyle name="Calculation 15 4 4" xfId="5121"/>
    <cellStyle name="Calculation 15 4 4 2" xfId="5122"/>
    <cellStyle name="Calculation 15 4 4 3" xfId="5123"/>
    <cellStyle name="Calculation 15 4 4 4" xfId="5124"/>
    <cellStyle name="Calculation 15 4 5" xfId="5125"/>
    <cellStyle name="Calculation 15 4 6" xfId="5126"/>
    <cellStyle name="Calculation 15 4 7" xfId="5127"/>
    <cellStyle name="Calculation 15 4 8" xfId="5128"/>
    <cellStyle name="Calculation 15 4 9" xfId="5129"/>
    <cellStyle name="Calculation 16 2" xfId="5130"/>
    <cellStyle name="Calculation 16 2 10" xfId="5131"/>
    <cellStyle name="Calculation 16 2 11" xfId="5132"/>
    <cellStyle name="Calculation 16 2 12" xfId="5133"/>
    <cellStyle name="Calculation 16 2 13" xfId="5134"/>
    <cellStyle name="Calculation 16 2 14" xfId="5135"/>
    <cellStyle name="Calculation 16 2 15" xfId="5136"/>
    <cellStyle name="Calculation 16 2 16" xfId="5137"/>
    <cellStyle name="Calculation 16 2 17" xfId="5138"/>
    <cellStyle name="Calculation 16 2 18" xfId="5139"/>
    <cellStyle name="Calculation 16 2 2" xfId="5140"/>
    <cellStyle name="Calculation 16 2 2 10" xfId="5141"/>
    <cellStyle name="Calculation 16 2 2 11" xfId="5142"/>
    <cellStyle name="Calculation 16 2 2 12" xfId="5143"/>
    <cellStyle name="Calculation 16 2 2 13" xfId="5144"/>
    <cellStyle name="Calculation 16 2 2 14" xfId="5145"/>
    <cellStyle name="Calculation 16 2 2 15" xfId="5146"/>
    <cellStyle name="Calculation 16 2 2 16" xfId="5147"/>
    <cellStyle name="Calculation 16 2 2 2" xfId="5148"/>
    <cellStyle name="Calculation 16 2 2 2 2" xfId="5149"/>
    <cellStyle name="Calculation 16 2 2 2 3" xfId="5150"/>
    <cellStyle name="Calculation 16 2 2 2 4" xfId="5151"/>
    <cellStyle name="Calculation 16 2 2 3" xfId="5152"/>
    <cellStyle name="Calculation 16 2 2 4" xfId="5153"/>
    <cellStyle name="Calculation 16 2 2 5" xfId="5154"/>
    <cellStyle name="Calculation 16 2 2 6" xfId="5155"/>
    <cellStyle name="Calculation 16 2 2 7" xfId="5156"/>
    <cellStyle name="Calculation 16 2 2 8" xfId="5157"/>
    <cellStyle name="Calculation 16 2 2 9" xfId="5158"/>
    <cellStyle name="Calculation 16 2 3" xfId="5159"/>
    <cellStyle name="Calculation 16 2 3 10" xfId="5160"/>
    <cellStyle name="Calculation 16 2 3 11" xfId="5161"/>
    <cellStyle name="Calculation 16 2 3 12" xfId="5162"/>
    <cellStyle name="Calculation 16 2 3 13" xfId="5163"/>
    <cellStyle name="Calculation 16 2 3 14" xfId="5164"/>
    <cellStyle name="Calculation 16 2 3 15" xfId="5165"/>
    <cellStyle name="Calculation 16 2 3 16" xfId="5166"/>
    <cellStyle name="Calculation 16 2 3 2" xfId="5167"/>
    <cellStyle name="Calculation 16 2 3 2 2" xfId="5168"/>
    <cellStyle name="Calculation 16 2 3 2 3" xfId="5169"/>
    <cellStyle name="Calculation 16 2 3 2 4" xfId="5170"/>
    <cellStyle name="Calculation 16 2 3 3" xfId="5171"/>
    <cellStyle name="Calculation 16 2 3 4" xfId="5172"/>
    <cellStyle name="Calculation 16 2 3 5" xfId="5173"/>
    <cellStyle name="Calculation 16 2 3 6" xfId="5174"/>
    <cellStyle name="Calculation 16 2 3 7" xfId="5175"/>
    <cellStyle name="Calculation 16 2 3 8" xfId="5176"/>
    <cellStyle name="Calculation 16 2 3 9" xfId="5177"/>
    <cellStyle name="Calculation 16 2 4" xfId="5178"/>
    <cellStyle name="Calculation 16 2 4 2" xfId="5179"/>
    <cellStyle name="Calculation 16 2 4 3" xfId="5180"/>
    <cellStyle name="Calculation 16 2 4 4" xfId="5181"/>
    <cellStyle name="Calculation 16 2 5" xfId="5182"/>
    <cellStyle name="Calculation 16 2 6" xfId="5183"/>
    <cellStyle name="Calculation 16 2 7" xfId="5184"/>
    <cellStyle name="Calculation 16 2 8" xfId="5185"/>
    <cellStyle name="Calculation 16 2 9" xfId="5186"/>
    <cellStyle name="Calculation 16 3" xfId="5187"/>
    <cellStyle name="Calculation 16 3 10" xfId="5188"/>
    <cellStyle name="Calculation 16 3 11" xfId="5189"/>
    <cellStyle name="Calculation 16 3 12" xfId="5190"/>
    <cellStyle name="Calculation 16 3 13" xfId="5191"/>
    <cellStyle name="Calculation 16 3 14" xfId="5192"/>
    <cellStyle name="Calculation 16 3 15" xfId="5193"/>
    <cellStyle name="Calculation 16 3 16" xfId="5194"/>
    <cellStyle name="Calculation 16 3 17" xfId="5195"/>
    <cellStyle name="Calculation 16 3 18" xfId="5196"/>
    <cellStyle name="Calculation 16 3 2" xfId="5197"/>
    <cellStyle name="Calculation 16 3 2 10" xfId="5198"/>
    <cellStyle name="Calculation 16 3 2 11" xfId="5199"/>
    <cellStyle name="Calculation 16 3 2 12" xfId="5200"/>
    <cellStyle name="Calculation 16 3 2 13" xfId="5201"/>
    <cellStyle name="Calculation 16 3 2 14" xfId="5202"/>
    <cellStyle name="Calculation 16 3 2 15" xfId="5203"/>
    <cellStyle name="Calculation 16 3 2 16" xfId="5204"/>
    <cellStyle name="Calculation 16 3 2 2" xfId="5205"/>
    <cellStyle name="Calculation 16 3 2 2 2" xfId="5206"/>
    <cellStyle name="Calculation 16 3 2 2 3" xfId="5207"/>
    <cellStyle name="Calculation 16 3 2 2 4" xfId="5208"/>
    <cellStyle name="Calculation 16 3 2 3" xfId="5209"/>
    <cellStyle name="Calculation 16 3 2 4" xfId="5210"/>
    <cellStyle name="Calculation 16 3 2 5" xfId="5211"/>
    <cellStyle name="Calculation 16 3 2 6" xfId="5212"/>
    <cellStyle name="Calculation 16 3 2 7" xfId="5213"/>
    <cellStyle name="Calculation 16 3 2 8" xfId="5214"/>
    <cellStyle name="Calculation 16 3 2 9" xfId="5215"/>
    <cellStyle name="Calculation 16 3 3" xfId="5216"/>
    <cellStyle name="Calculation 16 3 3 10" xfId="5217"/>
    <cellStyle name="Calculation 16 3 3 11" xfId="5218"/>
    <cellStyle name="Calculation 16 3 3 12" xfId="5219"/>
    <cellStyle name="Calculation 16 3 3 13" xfId="5220"/>
    <cellStyle name="Calculation 16 3 3 14" xfId="5221"/>
    <cellStyle name="Calculation 16 3 3 15" xfId="5222"/>
    <cellStyle name="Calculation 16 3 3 16" xfId="5223"/>
    <cellStyle name="Calculation 16 3 3 2" xfId="5224"/>
    <cellStyle name="Calculation 16 3 3 2 2" xfId="5225"/>
    <cellStyle name="Calculation 16 3 3 2 3" xfId="5226"/>
    <cellStyle name="Calculation 16 3 3 2 4" xfId="5227"/>
    <cellStyle name="Calculation 16 3 3 3" xfId="5228"/>
    <cellStyle name="Calculation 16 3 3 4" xfId="5229"/>
    <cellStyle name="Calculation 16 3 3 5" xfId="5230"/>
    <cellStyle name="Calculation 16 3 3 6" xfId="5231"/>
    <cellStyle name="Calculation 16 3 3 7" xfId="5232"/>
    <cellStyle name="Calculation 16 3 3 8" xfId="5233"/>
    <cellStyle name="Calculation 16 3 3 9" xfId="5234"/>
    <cellStyle name="Calculation 16 3 4" xfId="5235"/>
    <cellStyle name="Calculation 16 3 4 2" xfId="5236"/>
    <cellStyle name="Calculation 16 3 4 3" xfId="5237"/>
    <cellStyle name="Calculation 16 3 4 4" xfId="5238"/>
    <cellStyle name="Calculation 16 3 5" xfId="5239"/>
    <cellStyle name="Calculation 16 3 6" xfId="5240"/>
    <cellStyle name="Calculation 16 3 7" xfId="5241"/>
    <cellStyle name="Calculation 16 3 8" xfId="5242"/>
    <cellStyle name="Calculation 16 3 9" xfId="5243"/>
    <cellStyle name="Calculation 16 4" xfId="5244"/>
    <cellStyle name="Calculation 16 4 10" xfId="5245"/>
    <cellStyle name="Calculation 16 4 11" xfId="5246"/>
    <cellStyle name="Calculation 16 4 12" xfId="5247"/>
    <cellStyle name="Calculation 16 4 13" xfId="5248"/>
    <cellStyle name="Calculation 16 4 14" xfId="5249"/>
    <cellStyle name="Calculation 16 4 15" xfId="5250"/>
    <cellStyle name="Calculation 16 4 16" xfId="5251"/>
    <cellStyle name="Calculation 16 4 17" xfId="5252"/>
    <cellStyle name="Calculation 16 4 18" xfId="5253"/>
    <cellStyle name="Calculation 16 4 2" xfId="5254"/>
    <cellStyle name="Calculation 16 4 2 10" xfId="5255"/>
    <cellStyle name="Calculation 16 4 2 11" xfId="5256"/>
    <cellStyle name="Calculation 16 4 2 12" xfId="5257"/>
    <cellStyle name="Calculation 16 4 2 13" xfId="5258"/>
    <cellStyle name="Calculation 16 4 2 14" xfId="5259"/>
    <cellStyle name="Calculation 16 4 2 15" xfId="5260"/>
    <cellStyle name="Calculation 16 4 2 16" xfId="5261"/>
    <cellStyle name="Calculation 16 4 2 2" xfId="5262"/>
    <cellStyle name="Calculation 16 4 2 2 2" xfId="5263"/>
    <cellStyle name="Calculation 16 4 2 2 3" xfId="5264"/>
    <cellStyle name="Calculation 16 4 2 2 4" xfId="5265"/>
    <cellStyle name="Calculation 16 4 2 3" xfId="5266"/>
    <cellStyle name="Calculation 16 4 2 4" xfId="5267"/>
    <cellStyle name="Calculation 16 4 2 5" xfId="5268"/>
    <cellStyle name="Calculation 16 4 2 6" xfId="5269"/>
    <cellStyle name="Calculation 16 4 2 7" xfId="5270"/>
    <cellStyle name="Calculation 16 4 2 8" xfId="5271"/>
    <cellStyle name="Calculation 16 4 2 9" xfId="5272"/>
    <cellStyle name="Calculation 16 4 3" xfId="5273"/>
    <cellStyle name="Calculation 16 4 3 10" xfId="5274"/>
    <cellStyle name="Calculation 16 4 3 11" xfId="5275"/>
    <cellStyle name="Calculation 16 4 3 12" xfId="5276"/>
    <cellStyle name="Calculation 16 4 3 13" xfId="5277"/>
    <cellStyle name="Calculation 16 4 3 14" xfId="5278"/>
    <cellStyle name="Calculation 16 4 3 15" xfId="5279"/>
    <cellStyle name="Calculation 16 4 3 16" xfId="5280"/>
    <cellStyle name="Calculation 16 4 3 2" xfId="5281"/>
    <cellStyle name="Calculation 16 4 3 2 2" xfId="5282"/>
    <cellStyle name="Calculation 16 4 3 2 3" xfId="5283"/>
    <cellStyle name="Calculation 16 4 3 2 4" xfId="5284"/>
    <cellStyle name="Calculation 16 4 3 3" xfId="5285"/>
    <cellStyle name="Calculation 16 4 3 4" xfId="5286"/>
    <cellStyle name="Calculation 16 4 3 5" xfId="5287"/>
    <cellStyle name="Calculation 16 4 3 6" xfId="5288"/>
    <cellStyle name="Calculation 16 4 3 7" xfId="5289"/>
    <cellStyle name="Calculation 16 4 3 8" xfId="5290"/>
    <cellStyle name="Calculation 16 4 3 9" xfId="5291"/>
    <cellStyle name="Calculation 16 4 4" xfId="5292"/>
    <cellStyle name="Calculation 16 4 4 2" xfId="5293"/>
    <cellStyle name="Calculation 16 4 4 3" xfId="5294"/>
    <cellStyle name="Calculation 16 4 4 4" xfId="5295"/>
    <cellStyle name="Calculation 16 4 5" xfId="5296"/>
    <cellStyle name="Calculation 16 4 6" xfId="5297"/>
    <cellStyle name="Calculation 16 4 7" xfId="5298"/>
    <cellStyle name="Calculation 16 4 8" xfId="5299"/>
    <cellStyle name="Calculation 16 4 9" xfId="5300"/>
    <cellStyle name="Calculation 17 2" xfId="5301"/>
    <cellStyle name="Calculation 17 2 10" xfId="5302"/>
    <cellStyle name="Calculation 17 2 11" xfId="5303"/>
    <cellStyle name="Calculation 17 2 12" xfId="5304"/>
    <cellStyle name="Calculation 17 2 13" xfId="5305"/>
    <cellStyle name="Calculation 17 2 14" xfId="5306"/>
    <cellStyle name="Calculation 17 2 15" xfId="5307"/>
    <cellStyle name="Calculation 17 2 16" xfId="5308"/>
    <cellStyle name="Calculation 17 2 17" xfId="5309"/>
    <cellStyle name="Calculation 17 2 18" xfId="5310"/>
    <cellStyle name="Calculation 17 2 2" xfId="5311"/>
    <cellStyle name="Calculation 17 2 2 10" xfId="5312"/>
    <cellStyle name="Calculation 17 2 2 11" xfId="5313"/>
    <cellStyle name="Calculation 17 2 2 12" xfId="5314"/>
    <cellStyle name="Calculation 17 2 2 13" xfId="5315"/>
    <cellStyle name="Calculation 17 2 2 14" xfId="5316"/>
    <cellStyle name="Calculation 17 2 2 15" xfId="5317"/>
    <cellStyle name="Calculation 17 2 2 16" xfId="5318"/>
    <cellStyle name="Calculation 17 2 2 2" xfId="5319"/>
    <cellStyle name="Calculation 17 2 2 2 2" xfId="5320"/>
    <cellStyle name="Calculation 17 2 2 2 3" xfId="5321"/>
    <cellStyle name="Calculation 17 2 2 2 4" xfId="5322"/>
    <cellStyle name="Calculation 17 2 2 3" xfId="5323"/>
    <cellStyle name="Calculation 17 2 2 4" xfId="5324"/>
    <cellStyle name="Calculation 17 2 2 5" xfId="5325"/>
    <cellStyle name="Calculation 17 2 2 6" xfId="5326"/>
    <cellStyle name="Calculation 17 2 2 7" xfId="5327"/>
    <cellStyle name="Calculation 17 2 2 8" xfId="5328"/>
    <cellStyle name="Calculation 17 2 2 9" xfId="5329"/>
    <cellStyle name="Calculation 17 2 3" xfId="5330"/>
    <cellStyle name="Calculation 17 2 3 10" xfId="5331"/>
    <cellStyle name="Calculation 17 2 3 11" xfId="5332"/>
    <cellStyle name="Calculation 17 2 3 12" xfId="5333"/>
    <cellStyle name="Calculation 17 2 3 13" xfId="5334"/>
    <cellStyle name="Calculation 17 2 3 14" xfId="5335"/>
    <cellStyle name="Calculation 17 2 3 15" xfId="5336"/>
    <cellStyle name="Calculation 17 2 3 16" xfId="5337"/>
    <cellStyle name="Calculation 17 2 3 2" xfId="5338"/>
    <cellStyle name="Calculation 17 2 3 2 2" xfId="5339"/>
    <cellStyle name="Calculation 17 2 3 2 3" xfId="5340"/>
    <cellStyle name="Calculation 17 2 3 2 4" xfId="5341"/>
    <cellStyle name="Calculation 17 2 3 3" xfId="5342"/>
    <cellStyle name="Calculation 17 2 3 4" xfId="5343"/>
    <cellStyle name="Calculation 17 2 3 5" xfId="5344"/>
    <cellStyle name="Calculation 17 2 3 6" xfId="5345"/>
    <cellStyle name="Calculation 17 2 3 7" xfId="5346"/>
    <cellStyle name="Calculation 17 2 3 8" xfId="5347"/>
    <cellStyle name="Calculation 17 2 3 9" xfId="5348"/>
    <cellStyle name="Calculation 17 2 4" xfId="5349"/>
    <cellStyle name="Calculation 17 2 4 2" xfId="5350"/>
    <cellStyle name="Calculation 17 2 4 3" xfId="5351"/>
    <cellStyle name="Calculation 17 2 4 4" xfId="5352"/>
    <cellStyle name="Calculation 17 2 5" xfId="5353"/>
    <cellStyle name="Calculation 17 2 6" xfId="5354"/>
    <cellStyle name="Calculation 17 2 7" xfId="5355"/>
    <cellStyle name="Calculation 17 2 8" xfId="5356"/>
    <cellStyle name="Calculation 17 2 9" xfId="5357"/>
    <cellStyle name="Calculation 17 3" xfId="5358"/>
    <cellStyle name="Calculation 17 3 10" xfId="5359"/>
    <cellStyle name="Calculation 17 3 11" xfId="5360"/>
    <cellStyle name="Calculation 17 3 12" xfId="5361"/>
    <cellStyle name="Calculation 17 3 13" xfId="5362"/>
    <cellStyle name="Calculation 17 3 14" xfId="5363"/>
    <cellStyle name="Calculation 17 3 15" xfId="5364"/>
    <cellStyle name="Calculation 17 3 16" xfId="5365"/>
    <cellStyle name="Calculation 17 3 17" xfId="5366"/>
    <cellStyle name="Calculation 17 3 18" xfId="5367"/>
    <cellStyle name="Calculation 17 3 2" xfId="5368"/>
    <cellStyle name="Calculation 17 3 2 10" xfId="5369"/>
    <cellStyle name="Calculation 17 3 2 11" xfId="5370"/>
    <cellStyle name="Calculation 17 3 2 12" xfId="5371"/>
    <cellStyle name="Calculation 17 3 2 13" xfId="5372"/>
    <cellStyle name="Calculation 17 3 2 14" xfId="5373"/>
    <cellStyle name="Calculation 17 3 2 15" xfId="5374"/>
    <cellStyle name="Calculation 17 3 2 16" xfId="5375"/>
    <cellStyle name="Calculation 17 3 2 2" xfId="5376"/>
    <cellStyle name="Calculation 17 3 2 2 2" xfId="5377"/>
    <cellStyle name="Calculation 17 3 2 2 3" xfId="5378"/>
    <cellStyle name="Calculation 17 3 2 2 4" xfId="5379"/>
    <cellStyle name="Calculation 17 3 2 3" xfId="5380"/>
    <cellStyle name="Calculation 17 3 2 4" xfId="5381"/>
    <cellStyle name="Calculation 17 3 2 5" xfId="5382"/>
    <cellStyle name="Calculation 17 3 2 6" xfId="5383"/>
    <cellStyle name="Calculation 17 3 2 7" xfId="5384"/>
    <cellStyle name="Calculation 17 3 2 8" xfId="5385"/>
    <cellStyle name="Calculation 17 3 2 9" xfId="5386"/>
    <cellStyle name="Calculation 17 3 3" xfId="5387"/>
    <cellStyle name="Calculation 17 3 3 10" xfId="5388"/>
    <cellStyle name="Calculation 17 3 3 11" xfId="5389"/>
    <cellStyle name="Calculation 17 3 3 12" xfId="5390"/>
    <cellStyle name="Calculation 17 3 3 13" xfId="5391"/>
    <cellStyle name="Calculation 17 3 3 14" xfId="5392"/>
    <cellStyle name="Calculation 17 3 3 15" xfId="5393"/>
    <cellStyle name="Calculation 17 3 3 16" xfId="5394"/>
    <cellStyle name="Calculation 17 3 3 2" xfId="5395"/>
    <cellStyle name="Calculation 17 3 3 2 2" xfId="5396"/>
    <cellStyle name="Calculation 17 3 3 2 3" xfId="5397"/>
    <cellStyle name="Calculation 17 3 3 2 4" xfId="5398"/>
    <cellStyle name="Calculation 17 3 3 3" xfId="5399"/>
    <cellStyle name="Calculation 17 3 3 4" xfId="5400"/>
    <cellStyle name="Calculation 17 3 3 5" xfId="5401"/>
    <cellStyle name="Calculation 17 3 3 6" xfId="5402"/>
    <cellStyle name="Calculation 17 3 3 7" xfId="5403"/>
    <cellStyle name="Calculation 17 3 3 8" xfId="5404"/>
    <cellStyle name="Calculation 17 3 3 9" xfId="5405"/>
    <cellStyle name="Calculation 17 3 4" xfId="5406"/>
    <cellStyle name="Calculation 17 3 4 2" xfId="5407"/>
    <cellStyle name="Calculation 17 3 4 3" xfId="5408"/>
    <cellStyle name="Calculation 17 3 4 4" xfId="5409"/>
    <cellStyle name="Calculation 17 3 5" xfId="5410"/>
    <cellStyle name="Calculation 17 3 6" xfId="5411"/>
    <cellStyle name="Calculation 17 3 7" xfId="5412"/>
    <cellStyle name="Calculation 17 3 8" xfId="5413"/>
    <cellStyle name="Calculation 17 3 9" xfId="5414"/>
    <cellStyle name="Calculation 17 4" xfId="5415"/>
    <cellStyle name="Calculation 17 4 10" xfId="5416"/>
    <cellStyle name="Calculation 17 4 11" xfId="5417"/>
    <cellStyle name="Calculation 17 4 12" xfId="5418"/>
    <cellStyle name="Calculation 17 4 13" xfId="5419"/>
    <cellStyle name="Calculation 17 4 14" xfId="5420"/>
    <cellStyle name="Calculation 17 4 15" xfId="5421"/>
    <cellStyle name="Calculation 17 4 16" xfId="5422"/>
    <cellStyle name="Calculation 17 4 17" xfId="5423"/>
    <cellStyle name="Calculation 17 4 18" xfId="5424"/>
    <cellStyle name="Calculation 17 4 2" xfId="5425"/>
    <cellStyle name="Calculation 17 4 2 10" xfId="5426"/>
    <cellStyle name="Calculation 17 4 2 11" xfId="5427"/>
    <cellStyle name="Calculation 17 4 2 12" xfId="5428"/>
    <cellStyle name="Calculation 17 4 2 13" xfId="5429"/>
    <cellStyle name="Calculation 17 4 2 14" xfId="5430"/>
    <cellStyle name="Calculation 17 4 2 15" xfId="5431"/>
    <cellStyle name="Calculation 17 4 2 16" xfId="5432"/>
    <cellStyle name="Calculation 17 4 2 2" xfId="5433"/>
    <cellStyle name="Calculation 17 4 2 2 2" xfId="5434"/>
    <cellStyle name="Calculation 17 4 2 2 3" xfId="5435"/>
    <cellStyle name="Calculation 17 4 2 2 4" xfId="5436"/>
    <cellStyle name="Calculation 17 4 2 3" xfId="5437"/>
    <cellStyle name="Calculation 17 4 2 4" xfId="5438"/>
    <cellStyle name="Calculation 17 4 2 5" xfId="5439"/>
    <cellStyle name="Calculation 17 4 2 6" xfId="5440"/>
    <cellStyle name="Calculation 17 4 2 7" xfId="5441"/>
    <cellStyle name="Calculation 17 4 2 8" xfId="5442"/>
    <cellStyle name="Calculation 17 4 2 9" xfId="5443"/>
    <cellStyle name="Calculation 17 4 3" xfId="5444"/>
    <cellStyle name="Calculation 17 4 3 10" xfId="5445"/>
    <cellStyle name="Calculation 17 4 3 11" xfId="5446"/>
    <cellStyle name="Calculation 17 4 3 12" xfId="5447"/>
    <cellStyle name="Calculation 17 4 3 13" xfId="5448"/>
    <cellStyle name="Calculation 17 4 3 14" xfId="5449"/>
    <cellStyle name="Calculation 17 4 3 15" xfId="5450"/>
    <cellStyle name="Calculation 17 4 3 16" xfId="5451"/>
    <cellStyle name="Calculation 17 4 3 2" xfId="5452"/>
    <cellStyle name="Calculation 17 4 3 2 2" xfId="5453"/>
    <cellStyle name="Calculation 17 4 3 2 3" xfId="5454"/>
    <cellStyle name="Calculation 17 4 3 2 4" xfId="5455"/>
    <cellStyle name="Calculation 17 4 3 3" xfId="5456"/>
    <cellStyle name="Calculation 17 4 3 4" xfId="5457"/>
    <cellStyle name="Calculation 17 4 3 5" xfId="5458"/>
    <cellStyle name="Calculation 17 4 3 6" xfId="5459"/>
    <cellStyle name="Calculation 17 4 3 7" xfId="5460"/>
    <cellStyle name="Calculation 17 4 3 8" xfId="5461"/>
    <cellStyle name="Calculation 17 4 3 9" xfId="5462"/>
    <cellStyle name="Calculation 17 4 4" xfId="5463"/>
    <cellStyle name="Calculation 17 4 4 2" xfId="5464"/>
    <cellStyle name="Calculation 17 4 4 3" xfId="5465"/>
    <cellStyle name="Calculation 17 4 4 4" xfId="5466"/>
    <cellStyle name="Calculation 17 4 5" xfId="5467"/>
    <cellStyle name="Calculation 17 4 6" xfId="5468"/>
    <cellStyle name="Calculation 17 4 7" xfId="5469"/>
    <cellStyle name="Calculation 17 4 8" xfId="5470"/>
    <cellStyle name="Calculation 17 4 9" xfId="5471"/>
    <cellStyle name="Calculation 2" xfId="5472"/>
    <cellStyle name="Calculation 2 10" xfId="5473"/>
    <cellStyle name="Calculation 2 11" xfId="5474"/>
    <cellStyle name="Calculation 2 12" xfId="5475"/>
    <cellStyle name="Calculation 2 13" xfId="5476"/>
    <cellStyle name="Calculation 2 14" xfId="5477"/>
    <cellStyle name="Calculation 2 15" xfId="5478"/>
    <cellStyle name="Calculation 2 16" xfId="5479"/>
    <cellStyle name="Calculation 2 17" xfId="5480"/>
    <cellStyle name="Calculation 2 18" xfId="5481"/>
    <cellStyle name="Calculation 2 19" xfId="5482"/>
    <cellStyle name="Calculation 2 2" xfId="5483"/>
    <cellStyle name="Calculation 2 2 10" xfId="5484"/>
    <cellStyle name="Calculation 2 2 11" xfId="5485"/>
    <cellStyle name="Calculation 2 2 12" xfId="5486"/>
    <cellStyle name="Calculation 2 2 13" xfId="5487"/>
    <cellStyle name="Calculation 2 2 14" xfId="5488"/>
    <cellStyle name="Calculation 2 2 15" xfId="5489"/>
    <cellStyle name="Calculation 2 2 16" xfId="5490"/>
    <cellStyle name="Calculation 2 2 17" xfId="5491"/>
    <cellStyle name="Calculation 2 2 18" xfId="5492"/>
    <cellStyle name="Calculation 2 2 2" xfId="5493"/>
    <cellStyle name="Calculation 2 2 2 10" xfId="5494"/>
    <cellStyle name="Calculation 2 2 2 11" xfId="5495"/>
    <cellStyle name="Calculation 2 2 2 12" xfId="5496"/>
    <cellStyle name="Calculation 2 2 2 13" xfId="5497"/>
    <cellStyle name="Calculation 2 2 2 14" xfId="5498"/>
    <cellStyle name="Calculation 2 2 2 15" xfId="5499"/>
    <cellStyle name="Calculation 2 2 2 16" xfId="5500"/>
    <cellStyle name="Calculation 2 2 2 2" xfId="5501"/>
    <cellStyle name="Calculation 2 2 2 2 2" xfId="5502"/>
    <cellStyle name="Calculation 2 2 2 2 3" xfId="5503"/>
    <cellStyle name="Calculation 2 2 2 2 4" xfId="5504"/>
    <cellStyle name="Calculation 2 2 2 3" xfId="5505"/>
    <cellStyle name="Calculation 2 2 2 4" xfId="5506"/>
    <cellStyle name="Calculation 2 2 2 5" xfId="5507"/>
    <cellStyle name="Calculation 2 2 2 6" xfId="5508"/>
    <cellStyle name="Calculation 2 2 2 7" xfId="5509"/>
    <cellStyle name="Calculation 2 2 2 8" xfId="5510"/>
    <cellStyle name="Calculation 2 2 2 9" xfId="5511"/>
    <cellStyle name="Calculation 2 2 3" xfId="5512"/>
    <cellStyle name="Calculation 2 2 3 10" xfId="5513"/>
    <cellStyle name="Calculation 2 2 3 11" xfId="5514"/>
    <cellStyle name="Calculation 2 2 3 12" xfId="5515"/>
    <cellStyle name="Calculation 2 2 3 13" xfId="5516"/>
    <cellStyle name="Calculation 2 2 3 14" xfId="5517"/>
    <cellStyle name="Calculation 2 2 3 15" xfId="5518"/>
    <cellStyle name="Calculation 2 2 3 16" xfId="5519"/>
    <cellStyle name="Calculation 2 2 3 2" xfId="5520"/>
    <cellStyle name="Calculation 2 2 3 2 2" xfId="5521"/>
    <cellStyle name="Calculation 2 2 3 2 3" xfId="5522"/>
    <cellStyle name="Calculation 2 2 3 2 4" xfId="5523"/>
    <cellStyle name="Calculation 2 2 3 3" xfId="5524"/>
    <cellStyle name="Calculation 2 2 3 4" xfId="5525"/>
    <cellStyle name="Calculation 2 2 3 5" xfId="5526"/>
    <cellStyle name="Calculation 2 2 3 6" xfId="5527"/>
    <cellStyle name="Calculation 2 2 3 7" xfId="5528"/>
    <cellStyle name="Calculation 2 2 3 8" xfId="5529"/>
    <cellStyle name="Calculation 2 2 3 9" xfId="5530"/>
    <cellStyle name="Calculation 2 2 4" xfId="5531"/>
    <cellStyle name="Calculation 2 2 4 2" xfId="5532"/>
    <cellStyle name="Calculation 2 2 4 3" xfId="5533"/>
    <cellStyle name="Calculation 2 2 4 4" xfId="5534"/>
    <cellStyle name="Calculation 2 2 5" xfId="5535"/>
    <cellStyle name="Calculation 2 2 6" xfId="5536"/>
    <cellStyle name="Calculation 2 2 7" xfId="5537"/>
    <cellStyle name="Calculation 2 2 8" xfId="5538"/>
    <cellStyle name="Calculation 2 2 9" xfId="5539"/>
    <cellStyle name="Calculation 2 20" xfId="5540"/>
    <cellStyle name="Calculation 2 21" xfId="5541"/>
    <cellStyle name="Calculation 2 3" xfId="5542"/>
    <cellStyle name="Calculation 2 3 10" xfId="5543"/>
    <cellStyle name="Calculation 2 3 11" xfId="5544"/>
    <cellStyle name="Calculation 2 3 12" xfId="5545"/>
    <cellStyle name="Calculation 2 3 13" xfId="5546"/>
    <cellStyle name="Calculation 2 3 14" xfId="5547"/>
    <cellStyle name="Calculation 2 3 15" xfId="5548"/>
    <cellStyle name="Calculation 2 3 16" xfId="5549"/>
    <cellStyle name="Calculation 2 3 17" xfId="5550"/>
    <cellStyle name="Calculation 2 3 18" xfId="5551"/>
    <cellStyle name="Calculation 2 3 2" xfId="5552"/>
    <cellStyle name="Calculation 2 3 2 10" xfId="5553"/>
    <cellStyle name="Calculation 2 3 2 11" xfId="5554"/>
    <cellStyle name="Calculation 2 3 2 12" xfId="5555"/>
    <cellStyle name="Calculation 2 3 2 13" xfId="5556"/>
    <cellStyle name="Calculation 2 3 2 14" xfId="5557"/>
    <cellStyle name="Calculation 2 3 2 15" xfId="5558"/>
    <cellStyle name="Calculation 2 3 2 16" xfId="5559"/>
    <cellStyle name="Calculation 2 3 2 2" xfId="5560"/>
    <cellStyle name="Calculation 2 3 2 2 2" xfId="5561"/>
    <cellStyle name="Calculation 2 3 2 2 3" xfId="5562"/>
    <cellStyle name="Calculation 2 3 2 2 4" xfId="5563"/>
    <cellStyle name="Calculation 2 3 2 3" xfId="5564"/>
    <cellStyle name="Calculation 2 3 2 4" xfId="5565"/>
    <cellStyle name="Calculation 2 3 2 5" xfId="5566"/>
    <cellStyle name="Calculation 2 3 2 6" xfId="5567"/>
    <cellStyle name="Calculation 2 3 2 7" xfId="5568"/>
    <cellStyle name="Calculation 2 3 2 8" xfId="5569"/>
    <cellStyle name="Calculation 2 3 2 9" xfId="5570"/>
    <cellStyle name="Calculation 2 3 3" xfId="5571"/>
    <cellStyle name="Calculation 2 3 3 10" xfId="5572"/>
    <cellStyle name="Calculation 2 3 3 11" xfId="5573"/>
    <cellStyle name="Calculation 2 3 3 12" xfId="5574"/>
    <cellStyle name="Calculation 2 3 3 13" xfId="5575"/>
    <cellStyle name="Calculation 2 3 3 14" xfId="5576"/>
    <cellStyle name="Calculation 2 3 3 15" xfId="5577"/>
    <cellStyle name="Calculation 2 3 3 16" xfId="5578"/>
    <cellStyle name="Calculation 2 3 3 2" xfId="5579"/>
    <cellStyle name="Calculation 2 3 3 2 2" xfId="5580"/>
    <cellStyle name="Calculation 2 3 3 2 3" xfId="5581"/>
    <cellStyle name="Calculation 2 3 3 2 4" xfId="5582"/>
    <cellStyle name="Calculation 2 3 3 3" xfId="5583"/>
    <cellStyle name="Calculation 2 3 3 4" xfId="5584"/>
    <cellStyle name="Calculation 2 3 3 5" xfId="5585"/>
    <cellStyle name="Calculation 2 3 3 6" xfId="5586"/>
    <cellStyle name="Calculation 2 3 3 7" xfId="5587"/>
    <cellStyle name="Calculation 2 3 3 8" xfId="5588"/>
    <cellStyle name="Calculation 2 3 3 9" xfId="5589"/>
    <cellStyle name="Calculation 2 3 4" xfId="5590"/>
    <cellStyle name="Calculation 2 3 4 2" xfId="5591"/>
    <cellStyle name="Calculation 2 3 4 3" xfId="5592"/>
    <cellStyle name="Calculation 2 3 4 4" xfId="5593"/>
    <cellStyle name="Calculation 2 3 5" xfId="5594"/>
    <cellStyle name="Calculation 2 3 6" xfId="5595"/>
    <cellStyle name="Calculation 2 3 7" xfId="5596"/>
    <cellStyle name="Calculation 2 3 8" xfId="5597"/>
    <cellStyle name="Calculation 2 3 9" xfId="5598"/>
    <cellStyle name="Calculation 2 4" xfId="5599"/>
    <cellStyle name="Calculation 2 4 10" xfId="5600"/>
    <cellStyle name="Calculation 2 4 11" xfId="5601"/>
    <cellStyle name="Calculation 2 4 12" xfId="5602"/>
    <cellStyle name="Calculation 2 4 13" xfId="5603"/>
    <cellStyle name="Calculation 2 4 14" xfId="5604"/>
    <cellStyle name="Calculation 2 4 15" xfId="5605"/>
    <cellStyle name="Calculation 2 4 16" xfId="5606"/>
    <cellStyle name="Calculation 2 4 17" xfId="5607"/>
    <cellStyle name="Calculation 2 4 18" xfId="5608"/>
    <cellStyle name="Calculation 2 4 2" xfId="5609"/>
    <cellStyle name="Calculation 2 4 2 10" xfId="5610"/>
    <cellStyle name="Calculation 2 4 2 11" xfId="5611"/>
    <cellStyle name="Calculation 2 4 2 12" xfId="5612"/>
    <cellStyle name="Calculation 2 4 2 13" xfId="5613"/>
    <cellStyle name="Calculation 2 4 2 14" xfId="5614"/>
    <cellStyle name="Calculation 2 4 2 15" xfId="5615"/>
    <cellStyle name="Calculation 2 4 2 16" xfId="5616"/>
    <cellStyle name="Calculation 2 4 2 2" xfId="5617"/>
    <cellStyle name="Calculation 2 4 2 2 2" xfId="5618"/>
    <cellStyle name="Calculation 2 4 2 2 3" xfId="5619"/>
    <cellStyle name="Calculation 2 4 2 2 4" xfId="5620"/>
    <cellStyle name="Calculation 2 4 2 3" xfId="5621"/>
    <cellStyle name="Calculation 2 4 2 4" xfId="5622"/>
    <cellStyle name="Calculation 2 4 2 5" xfId="5623"/>
    <cellStyle name="Calculation 2 4 2 6" xfId="5624"/>
    <cellStyle name="Calculation 2 4 2 7" xfId="5625"/>
    <cellStyle name="Calculation 2 4 2 8" xfId="5626"/>
    <cellStyle name="Calculation 2 4 2 9" xfId="5627"/>
    <cellStyle name="Calculation 2 4 3" xfId="5628"/>
    <cellStyle name="Calculation 2 4 3 10" xfId="5629"/>
    <cellStyle name="Calculation 2 4 3 11" xfId="5630"/>
    <cellStyle name="Calculation 2 4 3 12" xfId="5631"/>
    <cellStyle name="Calculation 2 4 3 13" xfId="5632"/>
    <cellStyle name="Calculation 2 4 3 14" xfId="5633"/>
    <cellStyle name="Calculation 2 4 3 15" xfId="5634"/>
    <cellStyle name="Calculation 2 4 3 16" xfId="5635"/>
    <cellStyle name="Calculation 2 4 3 2" xfId="5636"/>
    <cellStyle name="Calculation 2 4 3 2 2" xfId="5637"/>
    <cellStyle name="Calculation 2 4 3 2 3" xfId="5638"/>
    <cellStyle name="Calculation 2 4 3 2 4" xfId="5639"/>
    <cellStyle name="Calculation 2 4 3 3" xfId="5640"/>
    <cellStyle name="Calculation 2 4 3 4" xfId="5641"/>
    <cellStyle name="Calculation 2 4 3 5" xfId="5642"/>
    <cellStyle name="Calculation 2 4 3 6" xfId="5643"/>
    <cellStyle name="Calculation 2 4 3 7" xfId="5644"/>
    <cellStyle name="Calculation 2 4 3 8" xfId="5645"/>
    <cellStyle name="Calculation 2 4 3 9" xfId="5646"/>
    <cellStyle name="Calculation 2 4 4" xfId="5647"/>
    <cellStyle name="Calculation 2 4 4 2" xfId="5648"/>
    <cellStyle name="Calculation 2 4 4 3" xfId="5649"/>
    <cellStyle name="Calculation 2 4 4 4" xfId="5650"/>
    <cellStyle name="Calculation 2 4 5" xfId="5651"/>
    <cellStyle name="Calculation 2 4 6" xfId="5652"/>
    <cellStyle name="Calculation 2 4 7" xfId="5653"/>
    <cellStyle name="Calculation 2 4 8" xfId="5654"/>
    <cellStyle name="Calculation 2 4 9" xfId="5655"/>
    <cellStyle name="Calculation 2 5" xfId="5656"/>
    <cellStyle name="Calculation 2 5 10" xfId="5657"/>
    <cellStyle name="Calculation 2 5 11" xfId="5658"/>
    <cellStyle name="Calculation 2 5 12" xfId="5659"/>
    <cellStyle name="Calculation 2 5 13" xfId="5660"/>
    <cellStyle name="Calculation 2 5 14" xfId="5661"/>
    <cellStyle name="Calculation 2 5 15" xfId="5662"/>
    <cellStyle name="Calculation 2 5 16" xfId="5663"/>
    <cellStyle name="Calculation 2 5 2" xfId="5664"/>
    <cellStyle name="Calculation 2 5 2 2" xfId="5665"/>
    <cellStyle name="Calculation 2 5 2 3" xfId="5666"/>
    <cellStyle name="Calculation 2 5 2 4" xfId="5667"/>
    <cellStyle name="Calculation 2 5 3" xfId="5668"/>
    <cellStyle name="Calculation 2 5 4" xfId="5669"/>
    <cellStyle name="Calculation 2 5 5" xfId="5670"/>
    <cellStyle name="Calculation 2 5 6" xfId="5671"/>
    <cellStyle name="Calculation 2 5 7" xfId="5672"/>
    <cellStyle name="Calculation 2 5 8" xfId="5673"/>
    <cellStyle name="Calculation 2 5 9" xfId="5674"/>
    <cellStyle name="Calculation 2 6" xfId="5675"/>
    <cellStyle name="Calculation 2 6 10" xfId="5676"/>
    <cellStyle name="Calculation 2 6 11" xfId="5677"/>
    <cellStyle name="Calculation 2 6 12" xfId="5678"/>
    <cellStyle name="Calculation 2 6 13" xfId="5679"/>
    <cellStyle name="Calculation 2 6 14" xfId="5680"/>
    <cellStyle name="Calculation 2 6 15" xfId="5681"/>
    <cellStyle name="Calculation 2 6 16" xfId="5682"/>
    <cellStyle name="Calculation 2 6 2" xfId="5683"/>
    <cellStyle name="Calculation 2 6 2 2" xfId="5684"/>
    <cellStyle name="Calculation 2 6 2 3" xfId="5685"/>
    <cellStyle name="Calculation 2 6 2 4" xfId="5686"/>
    <cellStyle name="Calculation 2 6 3" xfId="5687"/>
    <cellStyle name="Calculation 2 6 4" xfId="5688"/>
    <cellStyle name="Calculation 2 6 5" xfId="5689"/>
    <cellStyle name="Calculation 2 6 6" xfId="5690"/>
    <cellStyle name="Calculation 2 6 7" xfId="5691"/>
    <cellStyle name="Calculation 2 6 8" xfId="5692"/>
    <cellStyle name="Calculation 2 6 9" xfId="5693"/>
    <cellStyle name="Calculation 2 7" xfId="5694"/>
    <cellStyle name="Calculation 2 7 2" xfId="5695"/>
    <cellStyle name="Calculation 2 7 3" xfId="5696"/>
    <cellStyle name="Calculation 2 7 4" xfId="5697"/>
    <cellStyle name="Calculation 2 8" xfId="5698"/>
    <cellStyle name="Calculation 2 9" xfId="5699"/>
    <cellStyle name="Calculation 3" xfId="5700"/>
    <cellStyle name="Calculation 3 10" xfId="5701"/>
    <cellStyle name="Calculation 3 11" xfId="5702"/>
    <cellStyle name="Calculation 3 12" xfId="5703"/>
    <cellStyle name="Calculation 3 13" xfId="5704"/>
    <cellStyle name="Calculation 3 14" xfId="5705"/>
    <cellStyle name="Calculation 3 15" xfId="5706"/>
    <cellStyle name="Calculation 3 16" xfId="5707"/>
    <cellStyle name="Calculation 3 17" xfId="5708"/>
    <cellStyle name="Calculation 3 18" xfId="5709"/>
    <cellStyle name="Calculation 3 19" xfId="5710"/>
    <cellStyle name="Calculation 3 2" xfId="5711"/>
    <cellStyle name="Calculation 3 2 10" xfId="5712"/>
    <cellStyle name="Calculation 3 2 11" xfId="5713"/>
    <cellStyle name="Calculation 3 2 12" xfId="5714"/>
    <cellStyle name="Calculation 3 2 13" xfId="5715"/>
    <cellStyle name="Calculation 3 2 14" xfId="5716"/>
    <cellStyle name="Calculation 3 2 15" xfId="5717"/>
    <cellStyle name="Calculation 3 2 16" xfId="5718"/>
    <cellStyle name="Calculation 3 2 17" xfId="5719"/>
    <cellStyle name="Calculation 3 2 18" xfId="5720"/>
    <cellStyle name="Calculation 3 2 2" xfId="5721"/>
    <cellStyle name="Calculation 3 2 2 10" xfId="5722"/>
    <cellStyle name="Calculation 3 2 2 11" xfId="5723"/>
    <cellStyle name="Calculation 3 2 2 12" xfId="5724"/>
    <cellStyle name="Calculation 3 2 2 13" xfId="5725"/>
    <cellStyle name="Calculation 3 2 2 14" xfId="5726"/>
    <cellStyle name="Calculation 3 2 2 15" xfId="5727"/>
    <cellStyle name="Calculation 3 2 2 16" xfId="5728"/>
    <cellStyle name="Calculation 3 2 2 2" xfId="5729"/>
    <cellStyle name="Calculation 3 2 2 2 2" xfId="5730"/>
    <cellStyle name="Calculation 3 2 2 2 3" xfId="5731"/>
    <cellStyle name="Calculation 3 2 2 2 4" xfId="5732"/>
    <cellStyle name="Calculation 3 2 2 3" xfId="5733"/>
    <cellStyle name="Calculation 3 2 2 4" xfId="5734"/>
    <cellStyle name="Calculation 3 2 2 5" xfId="5735"/>
    <cellStyle name="Calculation 3 2 2 6" xfId="5736"/>
    <cellStyle name="Calculation 3 2 2 7" xfId="5737"/>
    <cellStyle name="Calculation 3 2 2 8" xfId="5738"/>
    <cellStyle name="Calculation 3 2 2 9" xfId="5739"/>
    <cellStyle name="Calculation 3 2 3" xfId="5740"/>
    <cellStyle name="Calculation 3 2 3 10" xfId="5741"/>
    <cellStyle name="Calculation 3 2 3 11" xfId="5742"/>
    <cellStyle name="Calculation 3 2 3 12" xfId="5743"/>
    <cellStyle name="Calculation 3 2 3 13" xfId="5744"/>
    <cellStyle name="Calculation 3 2 3 14" xfId="5745"/>
    <cellStyle name="Calculation 3 2 3 15" xfId="5746"/>
    <cellStyle name="Calculation 3 2 3 16" xfId="5747"/>
    <cellStyle name="Calculation 3 2 3 2" xfId="5748"/>
    <cellStyle name="Calculation 3 2 3 2 2" xfId="5749"/>
    <cellStyle name="Calculation 3 2 3 2 3" xfId="5750"/>
    <cellStyle name="Calculation 3 2 3 2 4" xfId="5751"/>
    <cellStyle name="Calculation 3 2 3 3" xfId="5752"/>
    <cellStyle name="Calculation 3 2 3 4" xfId="5753"/>
    <cellStyle name="Calculation 3 2 3 5" xfId="5754"/>
    <cellStyle name="Calculation 3 2 3 6" xfId="5755"/>
    <cellStyle name="Calculation 3 2 3 7" xfId="5756"/>
    <cellStyle name="Calculation 3 2 3 8" xfId="5757"/>
    <cellStyle name="Calculation 3 2 3 9" xfId="5758"/>
    <cellStyle name="Calculation 3 2 4" xfId="5759"/>
    <cellStyle name="Calculation 3 2 4 2" xfId="5760"/>
    <cellStyle name="Calculation 3 2 4 3" xfId="5761"/>
    <cellStyle name="Calculation 3 2 4 4" xfId="5762"/>
    <cellStyle name="Calculation 3 2 5" xfId="5763"/>
    <cellStyle name="Calculation 3 2 6" xfId="5764"/>
    <cellStyle name="Calculation 3 2 7" xfId="5765"/>
    <cellStyle name="Calculation 3 2 8" xfId="5766"/>
    <cellStyle name="Calculation 3 2 9" xfId="5767"/>
    <cellStyle name="Calculation 3 20" xfId="5768"/>
    <cellStyle name="Calculation 3 21" xfId="5769"/>
    <cellStyle name="Calculation 3 3" xfId="5770"/>
    <cellStyle name="Calculation 3 3 10" xfId="5771"/>
    <cellStyle name="Calculation 3 3 11" xfId="5772"/>
    <cellStyle name="Calculation 3 3 12" xfId="5773"/>
    <cellStyle name="Calculation 3 3 13" xfId="5774"/>
    <cellStyle name="Calculation 3 3 14" xfId="5775"/>
    <cellStyle name="Calculation 3 3 15" xfId="5776"/>
    <cellStyle name="Calculation 3 3 16" xfId="5777"/>
    <cellStyle name="Calculation 3 3 17" xfId="5778"/>
    <cellStyle name="Calculation 3 3 18" xfId="5779"/>
    <cellStyle name="Calculation 3 3 2" xfId="5780"/>
    <cellStyle name="Calculation 3 3 2 10" xfId="5781"/>
    <cellStyle name="Calculation 3 3 2 11" xfId="5782"/>
    <cellStyle name="Calculation 3 3 2 12" xfId="5783"/>
    <cellStyle name="Calculation 3 3 2 13" xfId="5784"/>
    <cellStyle name="Calculation 3 3 2 14" xfId="5785"/>
    <cellStyle name="Calculation 3 3 2 15" xfId="5786"/>
    <cellStyle name="Calculation 3 3 2 16" xfId="5787"/>
    <cellStyle name="Calculation 3 3 2 2" xfId="5788"/>
    <cellStyle name="Calculation 3 3 2 2 2" xfId="5789"/>
    <cellStyle name="Calculation 3 3 2 2 3" xfId="5790"/>
    <cellStyle name="Calculation 3 3 2 2 4" xfId="5791"/>
    <cellStyle name="Calculation 3 3 2 3" xfId="5792"/>
    <cellStyle name="Calculation 3 3 2 4" xfId="5793"/>
    <cellStyle name="Calculation 3 3 2 5" xfId="5794"/>
    <cellStyle name="Calculation 3 3 2 6" xfId="5795"/>
    <cellStyle name="Calculation 3 3 2 7" xfId="5796"/>
    <cellStyle name="Calculation 3 3 2 8" xfId="5797"/>
    <cellStyle name="Calculation 3 3 2 9" xfId="5798"/>
    <cellStyle name="Calculation 3 3 3" xfId="5799"/>
    <cellStyle name="Calculation 3 3 3 10" xfId="5800"/>
    <cellStyle name="Calculation 3 3 3 11" xfId="5801"/>
    <cellStyle name="Calculation 3 3 3 12" xfId="5802"/>
    <cellStyle name="Calculation 3 3 3 13" xfId="5803"/>
    <cellStyle name="Calculation 3 3 3 14" xfId="5804"/>
    <cellStyle name="Calculation 3 3 3 15" xfId="5805"/>
    <cellStyle name="Calculation 3 3 3 16" xfId="5806"/>
    <cellStyle name="Calculation 3 3 3 2" xfId="5807"/>
    <cellStyle name="Calculation 3 3 3 2 2" xfId="5808"/>
    <cellStyle name="Calculation 3 3 3 2 3" xfId="5809"/>
    <cellStyle name="Calculation 3 3 3 2 4" xfId="5810"/>
    <cellStyle name="Calculation 3 3 3 3" xfId="5811"/>
    <cellStyle name="Calculation 3 3 3 4" xfId="5812"/>
    <cellStyle name="Calculation 3 3 3 5" xfId="5813"/>
    <cellStyle name="Calculation 3 3 3 6" xfId="5814"/>
    <cellStyle name="Calculation 3 3 3 7" xfId="5815"/>
    <cellStyle name="Calculation 3 3 3 8" xfId="5816"/>
    <cellStyle name="Calculation 3 3 3 9" xfId="5817"/>
    <cellStyle name="Calculation 3 3 4" xfId="5818"/>
    <cellStyle name="Calculation 3 3 4 2" xfId="5819"/>
    <cellStyle name="Calculation 3 3 4 3" xfId="5820"/>
    <cellStyle name="Calculation 3 3 4 4" xfId="5821"/>
    <cellStyle name="Calculation 3 3 5" xfId="5822"/>
    <cellStyle name="Calculation 3 3 6" xfId="5823"/>
    <cellStyle name="Calculation 3 3 7" xfId="5824"/>
    <cellStyle name="Calculation 3 3 8" xfId="5825"/>
    <cellStyle name="Calculation 3 3 9" xfId="5826"/>
    <cellStyle name="Calculation 3 4" xfId="5827"/>
    <cellStyle name="Calculation 3 4 10" xfId="5828"/>
    <cellStyle name="Calculation 3 4 11" xfId="5829"/>
    <cellStyle name="Calculation 3 4 12" xfId="5830"/>
    <cellStyle name="Calculation 3 4 13" xfId="5831"/>
    <cellStyle name="Calculation 3 4 14" xfId="5832"/>
    <cellStyle name="Calculation 3 4 15" xfId="5833"/>
    <cellStyle name="Calculation 3 4 16" xfId="5834"/>
    <cellStyle name="Calculation 3 4 17" xfId="5835"/>
    <cellStyle name="Calculation 3 4 18" xfId="5836"/>
    <cellStyle name="Calculation 3 4 2" xfId="5837"/>
    <cellStyle name="Calculation 3 4 2 10" xfId="5838"/>
    <cellStyle name="Calculation 3 4 2 11" xfId="5839"/>
    <cellStyle name="Calculation 3 4 2 12" xfId="5840"/>
    <cellStyle name="Calculation 3 4 2 13" xfId="5841"/>
    <cellStyle name="Calculation 3 4 2 14" xfId="5842"/>
    <cellStyle name="Calculation 3 4 2 15" xfId="5843"/>
    <cellStyle name="Calculation 3 4 2 16" xfId="5844"/>
    <cellStyle name="Calculation 3 4 2 2" xfId="5845"/>
    <cellStyle name="Calculation 3 4 2 2 2" xfId="5846"/>
    <cellStyle name="Calculation 3 4 2 2 3" xfId="5847"/>
    <cellStyle name="Calculation 3 4 2 2 4" xfId="5848"/>
    <cellStyle name="Calculation 3 4 2 3" xfId="5849"/>
    <cellStyle name="Calculation 3 4 2 4" xfId="5850"/>
    <cellStyle name="Calculation 3 4 2 5" xfId="5851"/>
    <cellStyle name="Calculation 3 4 2 6" xfId="5852"/>
    <cellStyle name="Calculation 3 4 2 7" xfId="5853"/>
    <cellStyle name="Calculation 3 4 2 8" xfId="5854"/>
    <cellStyle name="Calculation 3 4 2 9" xfId="5855"/>
    <cellStyle name="Calculation 3 4 3" xfId="5856"/>
    <cellStyle name="Calculation 3 4 3 10" xfId="5857"/>
    <cellStyle name="Calculation 3 4 3 11" xfId="5858"/>
    <cellStyle name="Calculation 3 4 3 12" xfId="5859"/>
    <cellStyle name="Calculation 3 4 3 13" xfId="5860"/>
    <cellStyle name="Calculation 3 4 3 14" xfId="5861"/>
    <cellStyle name="Calculation 3 4 3 15" xfId="5862"/>
    <cellStyle name="Calculation 3 4 3 16" xfId="5863"/>
    <cellStyle name="Calculation 3 4 3 2" xfId="5864"/>
    <cellStyle name="Calculation 3 4 3 2 2" xfId="5865"/>
    <cellStyle name="Calculation 3 4 3 2 3" xfId="5866"/>
    <cellStyle name="Calculation 3 4 3 2 4" xfId="5867"/>
    <cellStyle name="Calculation 3 4 3 3" xfId="5868"/>
    <cellStyle name="Calculation 3 4 3 4" xfId="5869"/>
    <cellStyle name="Calculation 3 4 3 5" xfId="5870"/>
    <cellStyle name="Calculation 3 4 3 6" xfId="5871"/>
    <cellStyle name="Calculation 3 4 3 7" xfId="5872"/>
    <cellStyle name="Calculation 3 4 3 8" xfId="5873"/>
    <cellStyle name="Calculation 3 4 3 9" xfId="5874"/>
    <cellStyle name="Calculation 3 4 4" xfId="5875"/>
    <cellStyle name="Calculation 3 4 4 2" xfId="5876"/>
    <cellStyle name="Calculation 3 4 4 3" xfId="5877"/>
    <cellStyle name="Calculation 3 4 4 4" xfId="5878"/>
    <cellStyle name="Calculation 3 4 5" xfId="5879"/>
    <cellStyle name="Calculation 3 4 6" xfId="5880"/>
    <cellStyle name="Calculation 3 4 7" xfId="5881"/>
    <cellStyle name="Calculation 3 4 8" xfId="5882"/>
    <cellStyle name="Calculation 3 4 9" xfId="5883"/>
    <cellStyle name="Calculation 3 5" xfId="5884"/>
    <cellStyle name="Calculation 3 5 10" xfId="5885"/>
    <cellStyle name="Calculation 3 5 11" xfId="5886"/>
    <cellStyle name="Calculation 3 5 12" xfId="5887"/>
    <cellStyle name="Calculation 3 5 13" xfId="5888"/>
    <cellStyle name="Calculation 3 5 14" xfId="5889"/>
    <cellStyle name="Calculation 3 5 15" xfId="5890"/>
    <cellStyle name="Calculation 3 5 16" xfId="5891"/>
    <cellStyle name="Calculation 3 5 2" xfId="5892"/>
    <cellStyle name="Calculation 3 5 2 2" xfId="5893"/>
    <cellStyle name="Calculation 3 5 2 3" xfId="5894"/>
    <cellStyle name="Calculation 3 5 2 4" xfId="5895"/>
    <cellStyle name="Calculation 3 5 3" xfId="5896"/>
    <cellStyle name="Calculation 3 5 4" xfId="5897"/>
    <cellStyle name="Calculation 3 5 5" xfId="5898"/>
    <cellStyle name="Calculation 3 5 6" xfId="5899"/>
    <cellStyle name="Calculation 3 5 7" xfId="5900"/>
    <cellStyle name="Calculation 3 5 8" xfId="5901"/>
    <cellStyle name="Calculation 3 5 9" xfId="5902"/>
    <cellStyle name="Calculation 3 6" xfId="5903"/>
    <cellStyle name="Calculation 3 6 10" xfId="5904"/>
    <cellStyle name="Calculation 3 6 11" xfId="5905"/>
    <cellStyle name="Calculation 3 6 12" xfId="5906"/>
    <cellStyle name="Calculation 3 6 13" xfId="5907"/>
    <cellStyle name="Calculation 3 6 14" xfId="5908"/>
    <cellStyle name="Calculation 3 6 15" xfId="5909"/>
    <cellStyle name="Calculation 3 6 16" xfId="5910"/>
    <cellStyle name="Calculation 3 6 2" xfId="5911"/>
    <cellStyle name="Calculation 3 6 2 2" xfId="5912"/>
    <cellStyle name="Calculation 3 6 2 3" xfId="5913"/>
    <cellStyle name="Calculation 3 6 2 4" xfId="5914"/>
    <cellStyle name="Calculation 3 6 3" xfId="5915"/>
    <cellStyle name="Calculation 3 6 4" xfId="5916"/>
    <cellStyle name="Calculation 3 6 5" xfId="5917"/>
    <cellStyle name="Calculation 3 6 6" xfId="5918"/>
    <cellStyle name="Calculation 3 6 7" xfId="5919"/>
    <cellStyle name="Calculation 3 6 8" xfId="5920"/>
    <cellStyle name="Calculation 3 6 9" xfId="5921"/>
    <cellStyle name="Calculation 3 7" xfId="5922"/>
    <cellStyle name="Calculation 3 7 2" xfId="5923"/>
    <cellStyle name="Calculation 3 7 3" xfId="5924"/>
    <cellStyle name="Calculation 3 7 4" xfId="5925"/>
    <cellStyle name="Calculation 3 8" xfId="5926"/>
    <cellStyle name="Calculation 3 9" xfId="5927"/>
    <cellStyle name="Calculation 4" xfId="5928"/>
    <cellStyle name="Calculation 4 10" xfId="5929"/>
    <cellStyle name="Calculation 4 11" xfId="5930"/>
    <cellStyle name="Calculation 4 12" xfId="5931"/>
    <cellStyle name="Calculation 4 13" xfId="5932"/>
    <cellStyle name="Calculation 4 14" xfId="5933"/>
    <cellStyle name="Calculation 4 15" xfId="5934"/>
    <cellStyle name="Calculation 4 16" xfId="5935"/>
    <cellStyle name="Calculation 4 17" xfId="5936"/>
    <cellStyle name="Calculation 4 18" xfId="5937"/>
    <cellStyle name="Calculation 4 19" xfId="5938"/>
    <cellStyle name="Calculation 4 2" xfId="5939"/>
    <cellStyle name="Calculation 4 2 10" xfId="5940"/>
    <cellStyle name="Calculation 4 2 11" xfId="5941"/>
    <cellStyle name="Calculation 4 2 12" xfId="5942"/>
    <cellStyle name="Calculation 4 2 13" xfId="5943"/>
    <cellStyle name="Calculation 4 2 14" xfId="5944"/>
    <cellStyle name="Calculation 4 2 15" xfId="5945"/>
    <cellStyle name="Calculation 4 2 16" xfId="5946"/>
    <cellStyle name="Calculation 4 2 17" xfId="5947"/>
    <cellStyle name="Calculation 4 2 18" xfId="5948"/>
    <cellStyle name="Calculation 4 2 2" xfId="5949"/>
    <cellStyle name="Calculation 4 2 2 10" xfId="5950"/>
    <cellStyle name="Calculation 4 2 2 11" xfId="5951"/>
    <cellStyle name="Calculation 4 2 2 12" xfId="5952"/>
    <cellStyle name="Calculation 4 2 2 13" xfId="5953"/>
    <cellStyle name="Calculation 4 2 2 14" xfId="5954"/>
    <cellStyle name="Calculation 4 2 2 15" xfId="5955"/>
    <cellStyle name="Calculation 4 2 2 16" xfId="5956"/>
    <cellStyle name="Calculation 4 2 2 2" xfId="5957"/>
    <cellStyle name="Calculation 4 2 2 2 2" xfId="5958"/>
    <cellStyle name="Calculation 4 2 2 2 3" xfId="5959"/>
    <cellStyle name="Calculation 4 2 2 2 4" xfId="5960"/>
    <cellStyle name="Calculation 4 2 2 3" xfId="5961"/>
    <cellStyle name="Calculation 4 2 2 4" xfId="5962"/>
    <cellStyle name="Calculation 4 2 2 5" xfId="5963"/>
    <cellStyle name="Calculation 4 2 2 6" xfId="5964"/>
    <cellStyle name="Calculation 4 2 2 7" xfId="5965"/>
    <cellStyle name="Calculation 4 2 2 8" xfId="5966"/>
    <cellStyle name="Calculation 4 2 2 9" xfId="5967"/>
    <cellStyle name="Calculation 4 2 3" xfId="5968"/>
    <cellStyle name="Calculation 4 2 3 10" xfId="5969"/>
    <cellStyle name="Calculation 4 2 3 11" xfId="5970"/>
    <cellStyle name="Calculation 4 2 3 12" xfId="5971"/>
    <cellStyle name="Calculation 4 2 3 13" xfId="5972"/>
    <cellStyle name="Calculation 4 2 3 14" xfId="5973"/>
    <cellStyle name="Calculation 4 2 3 15" xfId="5974"/>
    <cellStyle name="Calculation 4 2 3 16" xfId="5975"/>
    <cellStyle name="Calculation 4 2 3 2" xfId="5976"/>
    <cellStyle name="Calculation 4 2 3 2 2" xfId="5977"/>
    <cellStyle name="Calculation 4 2 3 2 3" xfId="5978"/>
    <cellStyle name="Calculation 4 2 3 2 4" xfId="5979"/>
    <cellStyle name="Calculation 4 2 3 3" xfId="5980"/>
    <cellStyle name="Calculation 4 2 3 4" xfId="5981"/>
    <cellStyle name="Calculation 4 2 3 5" xfId="5982"/>
    <cellStyle name="Calculation 4 2 3 6" xfId="5983"/>
    <cellStyle name="Calculation 4 2 3 7" xfId="5984"/>
    <cellStyle name="Calculation 4 2 3 8" xfId="5985"/>
    <cellStyle name="Calculation 4 2 3 9" xfId="5986"/>
    <cellStyle name="Calculation 4 2 4" xfId="5987"/>
    <cellStyle name="Calculation 4 2 4 2" xfId="5988"/>
    <cellStyle name="Calculation 4 2 4 3" xfId="5989"/>
    <cellStyle name="Calculation 4 2 4 4" xfId="5990"/>
    <cellStyle name="Calculation 4 2 5" xfId="5991"/>
    <cellStyle name="Calculation 4 2 6" xfId="5992"/>
    <cellStyle name="Calculation 4 2 7" xfId="5993"/>
    <cellStyle name="Calculation 4 2 8" xfId="5994"/>
    <cellStyle name="Calculation 4 2 9" xfId="5995"/>
    <cellStyle name="Calculation 4 20" xfId="5996"/>
    <cellStyle name="Calculation 4 21" xfId="5997"/>
    <cellStyle name="Calculation 4 3" xfId="5998"/>
    <cellStyle name="Calculation 4 3 10" xfId="5999"/>
    <cellStyle name="Calculation 4 3 11" xfId="6000"/>
    <cellStyle name="Calculation 4 3 12" xfId="6001"/>
    <cellStyle name="Calculation 4 3 13" xfId="6002"/>
    <cellStyle name="Calculation 4 3 14" xfId="6003"/>
    <cellStyle name="Calculation 4 3 15" xfId="6004"/>
    <cellStyle name="Calculation 4 3 16" xfId="6005"/>
    <cellStyle name="Calculation 4 3 17" xfId="6006"/>
    <cellStyle name="Calculation 4 3 18" xfId="6007"/>
    <cellStyle name="Calculation 4 3 2" xfId="6008"/>
    <cellStyle name="Calculation 4 3 2 10" xfId="6009"/>
    <cellStyle name="Calculation 4 3 2 11" xfId="6010"/>
    <cellStyle name="Calculation 4 3 2 12" xfId="6011"/>
    <cellStyle name="Calculation 4 3 2 13" xfId="6012"/>
    <cellStyle name="Calculation 4 3 2 14" xfId="6013"/>
    <cellStyle name="Calculation 4 3 2 15" xfId="6014"/>
    <cellStyle name="Calculation 4 3 2 16" xfId="6015"/>
    <cellStyle name="Calculation 4 3 2 2" xfId="6016"/>
    <cellStyle name="Calculation 4 3 2 2 2" xfId="6017"/>
    <cellStyle name="Calculation 4 3 2 2 3" xfId="6018"/>
    <cellStyle name="Calculation 4 3 2 2 4" xfId="6019"/>
    <cellStyle name="Calculation 4 3 2 3" xfId="6020"/>
    <cellStyle name="Calculation 4 3 2 4" xfId="6021"/>
    <cellStyle name="Calculation 4 3 2 5" xfId="6022"/>
    <cellStyle name="Calculation 4 3 2 6" xfId="6023"/>
    <cellStyle name="Calculation 4 3 2 7" xfId="6024"/>
    <cellStyle name="Calculation 4 3 2 8" xfId="6025"/>
    <cellStyle name="Calculation 4 3 2 9" xfId="6026"/>
    <cellStyle name="Calculation 4 3 3" xfId="6027"/>
    <cellStyle name="Calculation 4 3 3 10" xfId="6028"/>
    <cellStyle name="Calculation 4 3 3 11" xfId="6029"/>
    <cellStyle name="Calculation 4 3 3 12" xfId="6030"/>
    <cellStyle name="Calculation 4 3 3 13" xfId="6031"/>
    <cellStyle name="Calculation 4 3 3 14" xfId="6032"/>
    <cellStyle name="Calculation 4 3 3 15" xfId="6033"/>
    <cellStyle name="Calculation 4 3 3 16" xfId="6034"/>
    <cellStyle name="Calculation 4 3 3 2" xfId="6035"/>
    <cellStyle name="Calculation 4 3 3 2 2" xfId="6036"/>
    <cellStyle name="Calculation 4 3 3 2 3" xfId="6037"/>
    <cellStyle name="Calculation 4 3 3 2 4" xfId="6038"/>
    <cellStyle name="Calculation 4 3 3 3" xfId="6039"/>
    <cellStyle name="Calculation 4 3 3 4" xfId="6040"/>
    <cellStyle name="Calculation 4 3 3 5" xfId="6041"/>
    <cellStyle name="Calculation 4 3 3 6" xfId="6042"/>
    <cellStyle name="Calculation 4 3 3 7" xfId="6043"/>
    <cellStyle name="Calculation 4 3 3 8" xfId="6044"/>
    <cellStyle name="Calculation 4 3 3 9" xfId="6045"/>
    <cellStyle name="Calculation 4 3 4" xfId="6046"/>
    <cellStyle name="Calculation 4 3 4 2" xfId="6047"/>
    <cellStyle name="Calculation 4 3 4 3" xfId="6048"/>
    <cellStyle name="Calculation 4 3 4 4" xfId="6049"/>
    <cellStyle name="Calculation 4 3 5" xfId="6050"/>
    <cellStyle name="Calculation 4 3 6" xfId="6051"/>
    <cellStyle name="Calculation 4 3 7" xfId="6052"/>
    <cellStyle name="Calculation 4 3 8" xfId="6053"/>
    <cellStyle name="Calculation 4 3 9" xfId="6054"/>
    <cellStyle name="Calculation 4 4" xfId="6055"/>
    <cellStyle name="Calculation 4 4 10" xfId="6056"/>
    <cellStyle name="Calculation 4 4 11" xfId="6057"/>
    <cellStyle name="Calculation 4 4 12" xfId="6058"/>
    <cellStyle name="Calculation 4 4 13" xfId="6059"/>
    <cellStyle name="Calculation 4 4 14" xfId="6060"/>
    <cellStyle name="Calculation 4 4 15" xfId="6061"/>
    <cellStyle name="Calculation 4 4 16" xfId="6062"/>
    <cellStyle name="Calculation 4 4 17" xfId="6063"/>
    <cellStyle name="Calculation 4 4 18" xfId="6064"/>
    <cellStyle name="Calculation 4 4 2" xfId="6065"/>
    <cellStyle name="Calculation 4 4 2 10" xfId="6066"/>
    <cellStyle name="Calculation 4 4 2 11" xfId="6067"/>
    <cellStyle name="Calculation 4 4 2 12" xfId="6068"/>
    <cellStyle name="Calculation 4 4 2 13" xfId="6069"/>
    <cellStyle name="Calculation 4 4 2 14" xfId="6070"/>
    <cellStyle name="Calculation 4 4 2 15" xfId="6071"/>
    <cellStyle name="Calculation 4 4 2 16" xfId="6072"/>
    <cellStyle name="Calculation 4 4 2 2" xfId="6073"/>
    <cellStyle name="Calculation 4 4 2 2 2" xfId="6074"/>
    <cellStyle name="Calculation 4 4 2 2 3" xfId="6075"/>
    <cellStyle name="Calculation 4 4 2 2 4" xfId="6076"/>
    <cellStyle name="Calculation 4 4 2 3" xfId="6077"/>
    <cellStyle name="Calculation 4 4 2 4" xfId="6078"/>
    <cellStyle name="Calculation 4 4 2 5" xfId="6079"/>
    <cellStyle name="Calculation 4 4 2 6" xfId="6080"/>
    <cellStyle name="Calculation 4 4 2 7" xfId="6081"/>
    <cellStyle name="Calculation 4 4 2 8" xfId="6082"/>
    <cellStyle name="Calculation 4 4 2 9" xfId="6083"/>
    <cellStyle name="Calculation 4 4 3" xfId="6084"/>
    <cellStyle name="Calculation 4 4 3 10" xfId="6085"/>
    <cellStyle name="Calculation 4 4 3 11" xfId="6086"/>
    <cellStyle name="Calculation 4 4 3 12" xfId="6087"/>
    <cellStyle name="Calculation 4 4 3 13" xfId="6088"/>
    <cellStyle name="Calculation 4 4 3 14" xfId="6089"/>
    <cellStyle name="Calculation 4 4 3 15" xfId="6090"/>
    <cellStyle name="Calculation 4 4 3 16" xfId="6091"/>
    <cellStyle name="Calculation 4 4 3 2" xfId="6092"/>
    <cellStyle name="Calculation 4 4 3 2 2" xfId="6093"/>
    <cellStyle name="Calculation 4 4 3 2 3" xfId="6094"/>
    <cellStyle name="Calculation 4 4 3 2 4" xfId="6095"/>
    <cellStyle name="Calculation 4 4 3 3" xfId="6096"/>
    <cellStyle name="Calculation 4 4 3 4" xfId="6097"/>
    <cellStyle name="Calculation 4 4 3 5" xfId="6098"/>
    <cellStyle name="Calculation 4 4 3 6" xfId="6099"/>
    <cellStyle name="Calculation 4 4 3 7" xfId="6100"/>
    <cellStyle name="Calculation 4 4 3 8" xfId="6101"/>
    <cellStyle name="Calculation 4 4 3 9" xfId="6102"/>
    <cellStyle name="Calculation 4 4 4" xfId="6103"/>
    <cellStyle name="Calculation 4 4 4 2" xfId="6104"/>
    <cellStyle name="Calculation 4 4 4 3" xfId="6105"/>
    <cellStyle name="Calculation 4 4 4 4" xfId="6106"/>
    <cellStyle name="Calculation 4 4 5" xfId="6107"/>
    <cellStyle name="Calculation 4 4 6" xfId="6108"/>
    <cellStyle name="Calculation 4 4 7" xfId="6109"/>
    <cellStyle name="Calculation 4 4 8" xfId="6110"/>
    <cellStyle name="Calculation 4 4 9" xfId="6111"/>
    <cellStyle name="Calculation 4 5" xfId="6112"/>
    <cellStyle name="Calculation 4 5 10" xfId="6113"/>
    <cellStyle name="Calculation 4 5 11" xfId="6114"/>
    <cellStyle name="Calculation 4 5 12" xfId="6115"/>
    <cellStyle name="Calculation 4 5 13" xfId="6116"/>
    <cellStyle name="Calculation 4 5 14" xfId="6117"/>
    <cellStyle name="Calculation 4 5 15" xfId="6118"/>
    <cellStyle name="Calculation 4 5 16" xfId="6119"/>
    <cellStyle name="Calculation 4 5 2" xfId="6120"/>
    <cellStyle name="Calculation 4 5 2 2" xfId="6121"/>
    <cellStyle name="Calculation 4 5 2 3" xfId="6122"/>
    <cellStyle name="Calculation 4 5 2 4" xfId="6123"/>
    <cellStyle name="Calculation 4 5 3" xfId="6124"/>
    <cellStyle name="Calculation 4 5 4" xfId="6125"/>
    <cellStyle name="Calculation 4 5 5" xfId="6126"/>
    <cellStyle name="Calculation 4 5 6" xfId="6127"/>
    <cellStyle name="Calculation 4 5 7" xfId="6128"/>
    <cellStyle name="Calculation 4 5 8" xfId="6129"/>
    <cellStyle name="Calculation 4 5 9" xfId="6130"/>
    <cellStyle name="Calculation 4 6" xfId="6131"/>
    <cellStyle name="Calculation 4 6 10" xfId="6132"/>
    <cellStyle name="Calculation 4 6 11" xfId="6133"/>
    <cellStyle name="Calculation 4 6 12" xfId="6134"/>
    <cellStyle name="Calculation 4 6 13" xfId="6135"/>
    <cellStyle name="Calculation 4 6 14" xfId="6136"/>
    <cellStyle name="Calculation 4 6 15" xfId="6137"/>
    <cellStyle name="Calculation 4 6 16" xfId="6138"/>
    <cellStyle name="Calculation 4 6 2" xfId="6139"/>
    <cellStyle name="Calculation 4 6 2 2" xfId="6140"/>
    <cellStyle name="Calculation 4 6 2 3" xfId="6141"/>
    <cellStyle name="Calculation 4 6 2 4" xfId="6142"/>
    <cellStyle name="Calculation 4 6 3" xfId="6143"/>
    <cellStyle name="Calculation 4 6 4" xfId="6144"/>
    <cellStyle name="Calculation 4 6 5" xfId="6145"/>
    <cellStyle name="Calculation 4 6 6" xfId="6146"/>
    <cellStyle name="Calculation 4 6 7" xfId="6147"/>
    <cellStyle name="Calculation 4 6 8" xfId="6148"/>
    <cellStyle name="Calculation 4 6 9" xfId="6149"/>
    <cellStyle name="Calculation 4 7" xfId="6150"/>
    <cellStyle name="Calculation 4 7 2" xfId="6151"/>
    <cellStyle name="Calculation 4 7 3" xfId="6152"/>
    <cellStyle name="Calculation 4 7 4" xfId="6153"/>
    <cellStyle name="Calculation 4 8" xfId="6154"/>
    <cellStyle name="Calculation 4 9" xfId="6155"/>
    <cellStyle name="Calculation 5" xfId="6156"/>
    <cellStyle name="Calculation 5 10" xfId="6157"/>
    <cellStyle name="Calculation 5 11" xfId="6158"/>
    <cellStyle name="Calculation 5 12" xfId="6159"/>
    <cellStyle name="Calculation 5 13" xfId="6160"/>
    <cellStyle name="Calculation 5 14" xfId="6161"/>
    <cellStyle name="Calculation 5 15" xfId="6162"/>
    <cellStyle name="Calculation 5 16" xfId="6163"/>
    <cellStyle name="Calculation 5 17" xfId="6164"/>
    <cellStyle name="Calculation 5 18" xfId="6165"/>
    <cellStyle name="Calculation 5 2" xfId="6166"/>
    <cellStyle name="Calculation 5 2 10" xfId="6167"/>
    <cellStyle name="Calculation 5 2 11" xfId="6168"/>
    <cellStyle name="Calculation 5 2 12" xfId="6169"/>
    <cellStyle name="Calculation 5 2 13" xfId="6170"/>
    <cellStyle name="Calculation 5 2 14" xfId="6171"/>
    <cellStyle name="Calculation 5 2 15" xfId="6172"/>
    <cellStyle name="Calculation 5 2 16" xfId="6173"/>
    <cellStyle name="Calculation 5 2 17" xfId="6174"/>
    <cellStyle name="Calculation 5 2 18" xfId="6175"/>
    <cellStyle name="Calculation 5 2 2" xfId="6176"/>
    <cellStyle name="Calculation 5 2 2 10" xfId="6177"/>
    <cellStyle name="Calculation 5 2 2 11" xfId="6178"/>
    <cellStyle name="Calculation 5 2 2 12" xfId="6179"/>
    <cellStyle name="Calculation 5 2 2 13" xfId="6180"/>
    <cellStyle name="Calculation 5 2 2 14" xfId="6181"/>
    <cellStyle name="Calculation 5 2 2 15" xfId="6182"/>
    <cellStyle name="Calculation 5 2 2 16" xfId="6183"/>
    <cellStyle name="Calculation 5 2 2 2" xfId="6184"/>
    <cellStyle name="Calculation 5 2 2 2 2" xfId="6185"/>
    <cellStyle name="Calculation 5 2 2 2 3" xfId="6186"/>
    <cellStyle name="Calculation 5 2 2 2 4" xfId="6187"/>
    <cellStyle name="Calculation 5 2 2 3" xfId="6188"/>
    <cellStyle name="Calculation 5 2 2 4" xfId="6189"/>
    <cellStyle name="Calculation 5 2 2 5" xfId="6190"/>
    <cellStyle name="Calculation 5 2 2 6" xfId="6191"/>
    <cellStyle name="Calculation 5 2 2 7" xfId="6192"/>
    <cellStyle name="Calculation 5 2 2 8" xfId="6193"/>
    <cellStyle name="Calculation 5 2 2 9" xfId="6194"/>
    <cellStyle name="Calculation 5 2 3" xfId="6195"/>
    <cellStyle name="Calculation 5 2 3 10" xfId="6196"/>
    <cellStyle name="Calculation 5 2 3 11" xfId="6197"/>
    <cellStyle name="Calculation 5 2 3 12" xfId="6198"/>
    <cellStyle name="Calculation 5 2 3 13" xfId="6199"/>
    <cellStyle name="Calculation 5 2 3 14" xfId="6200"/>
    <cellStyle name="Calculation 5 2 3 15" xfId="6201"/>
    <cellStyle name="Calculation 5 2 3 16" xfId="6202"/>
    <cellStyle name="Calculation 5 2 3 2" xfId="6203"/>
    <cellStyle name="Calculation 5 2 3 2 2" xfId="6204"/>
    <cellStyle name="Calculation 5 2 3 2 3" xfId="6205"/>
    <cellStyle name="Calculation 5 2 3 2 4" xfId="6206"/>
    <cellStyle name="Calculation 5 2 3 3" xfId="6207"/>
    <cellStyle name="Calculation 5 2 3 4" xfId="6208"/>
    <cellStyle name="Calculation 5 2 3 5" xfId="6209"/>
    <cellStyle name="Calculation 5 2 3 6" xfId="6210"/>
    <cellStyle name="Calculation 5 2 3 7" xfId="6211"/>
    <cellStyle name="Calculation 5 2 3 8" xfId="6212"/>
    <cellStyle name="Calculation 5 2 3 9" xfId="6213"/>
    <cellStyle name="Calculation 5 2 4" xfId="6214"/>
    <cellStyle name="Calculation 5 2 4 2" xfId="6215"/>
    <cellStyle name="Calculation 5 2 4 3" xfId="6216"/>
    <cellStyle name="Calculation 5 2 4 4" xfId="6217"/>
    <cellStyle name="Calculation 5 2 5" xfId="6218"/>
    <cellStyle name="Calculation 5 2 6" xfId="6219"/>
    <cellStyle name="Calculation 5 2 7" xfId="6220"/>
    <cellStyle name="Calculation 5 2 8" xfId="6221"/>
    <cellStyle name="Calculation 5 2 9" xfId="6222"/>
    <cellStyle name="Calculation 5 3" xfId="6223"/>
    <cellStyle name="Calculation 5 3 10" xfId="6224"/>
    <cellStyle name="Calculation 5 3 11" xfId="6225"/>
    <cellStyle name="Calculation 5 3 12" xfId="6226"/>
    <cellStyle name="Calculation 5 3 13" xfId="6227"/>
    <cellStyle name="Calculation 5 3 14" xfId="6228"/>
    <cellStyle name="Calculation 5 3 15" xfId="6229"/>
    <cellStyle name="Calculation 5 3 16" xfId="6230"/>
    <cellStyle name="Calculation 5 3 17" xfId="6231"/>
    <cellStyle name="Calculation 5 3 18" xfId="6232"/>
    <cellStyle name="Calculation 5 3 2" xfId="6233"/>
    <cellStyle name="Calculation 5 3 2 10" xfId="6234"/>
    <cellStyle name="Calculation 5 3 2 11" xfId="6235"/>
    <cellStyle name="Calculation 5 3 2 12" xfId="6236"/>
    <cellStyle name="Calculation 5 3 2 13" xfId="6237"/>
    <cellStyle name="Calculation 5 3 2 14" xfId="6238"/>
    <cellStyle name="Calculation 5 3 2 15" xfId="6239"/>
    <cellStyle name="Calculation 5 3 2 16" xfId="6240"/>
    <cellStyle name="Calculation 5 3 2 2" xfId="6241"/>
    <cellStyle name="Calculation 5 3 2 2 2" xfId="6242"/>
    <cellStyle name="Calculation 5 3 2 2 3" xfId="6243"/>
    <cellStyle name="Calculation 5 3 2 2 4" xfId="6244"/>
    <cellStyle name="Calculation 5 3 2 3" xfId="6245"/>
    <cellStyle name="Calculation 5 3 2 4" xfId="6246"/>
    <cellStyle name="Calculation 5 3 2 5" xfId="6247"/>
    <cellStyle name="Calculation 5 3 2 6" xfId="6248"/>
    <cellStyle name="Calculation 5 3 2 7" xfId="6249"/>
    <cellStyle name="Calculation 5 3 2 8" xfId="6250"/>
    <cellStyle name="Calculation 5 3 2 9" xfId="6251"/>
    <cellStyle name="Calculation 5 3 3" xfId="6252"/>
    <cellStyle name="Calculation 5 3 3 10" xfId="6253"/>
    <cellStyle name="Calculation 5 3 3 11" xfId="6254"/>
    <cellStyle name="Calculation 5 3 3 12" xfId="6255"/>
    <cellStyle name="Calculation 5 3 3 13" xfId="6256"/>
    <cellStyle name="Calculation 5 3 3 14" xfId="6257"/>
    <cellStyle name="Calculation 5 3 3 15" xfId="6258"/>
    <cellStyle name="Calculation 5 3 3 16" xfId="6259"/>
    <cellStyle name="Calculation 5 3 3 2" xfId="6260"/>
    <cellStyle name="Calculation 5 3 3 2 2" xfId="6261"/>
    <cellStyle name="Calculation 5 3 3 2 3" xfId="6262"/>
    <cellStyle name="Calculation 5 3 3 2 4" xfId="6263"/>
    <cellStyle name="Calculation 5 3 3 3" xfId="6264"/>
    <cellStyle name="Calculation 5 3 3 4" xfId="6265"/>
    <cellStyle name="Calculation 5 3 3 5" xfId="6266"/>
    <cellStyle name="Calculation 5 3 3 6" xfId="6267"/>
    <cellStyle name="Calculation 5 3 3 7" xfId="6268"/>
    <cellStyle name="Calculation 5 3 3 8" xfId="6269"/>
    <cellStyle name="Calculation 5 3 3 9" xfId="6270"/>
    <cellStyle name="Calculation 5 3 4" xfId="6271"/>
    <cellStyle name="Calculation 5 3 4 2" xfId="6272"/>
    <cellStyle name="Calculation 5 3 4 3" xfId="6273"/>
    <cellStyle name="Calculation 5 3 4 4" xfId="6274"/>
    <cellStyle name="Calculation 5 3 5" xfId="6275"/>
    <cellStyle name="Calculation 5 3 6" xfId="6276"/>
    <cellStyle name="Calculation 5 3 7" xfId="6277"/>
    <cellStyle name="Calculation 5 3 8" xfId="6278"/>
    <cellStyle name="Calculation 5 3 9" xfId="6279"/>
    <cellStyle name="Calculation 5 4" xfId="6280"/>
    <cellStyle name="Calculation 5 4 10" xfId="6281"/>
    <cellStyle name="Calculation 5 4 11" xfId="6282"/>
    <cellStyle name="Calculation 5 4 12" xfId="6283"/>
    <cellStyle name="Calculation 5 4 13" xfId="6284"/>
    <cellStyle name="Calculation 5 4 14" xfId="6285"/>
    <cellStyle name="Calculation 5 4 15" xfId="6286"/>
    <cellStyle name="Calculation 5 4 16" xfId="6287"/>
    <cellStyle name="Calculation 5 4 17" xfId="6288"/>
    <cellStyle name="Calculation 5 4 18" xfId="6289"/>
    <cellStyle name="Calculation 5 4 2" xfId="6290"/>
    <cellStyle name="Calculation 5 4 2 10" xfId="6291"/>
    <cellStyle name="Calculation 5 4 2 11" xfId="6292"/>
    <cellStyle name="Calculation 5 4 2 12" xfId="6293"/>
    <cellStyle name="Calculation 5 4 2 13" xfId="6294"/>
    <cellStyle name="Calculation 5 4 2 14" xfId="6295"/>
    <cellStyle name="Calculation 5 4 2 15" xfId="6296"/>
    <cellStyle name="Calculation 5 4 2 16" xfId="6297"/>
    <cellStyle name="Calculation 5 4 2 2" xfId="6298"/>
    <cellStyle name="Calculation 5 4 2 2 2" xfId="6299"/>
    <cellStyle name="Calculation 5 4 2 2 3" xfId="6300"/>
    <cellStyle name="Calculation 5 4 2 2 4" xfId="6301"/>
    <cellStyle name="Calculation 5 4 2 3" xfId="6302"/>
    <cellStyle name="Calculation 5 4 2 4" xfId="6303"/>
    <cellStyle name="Calculation 5 4 2 5" xfId="6304"/>
    <cellStyle name="Calculation 5 4 2 6" xfId="6305"/>
    <cellStyle name="Calculation 5 4 2 7" xfId="6306"/>
    <cellStyle name="Calculation 5 4 2 8" xfId="6307"/>
    <cellStyle name="Calculation 5 4 2 9" xfId="6308"/>
    <cellStyle name="Calculation 5 4 3" xfId="6309"/>
    <cellStyle name="Calculation 5 4 3 10" xfId="6310"/>
    <cellStyle name="Calculation 5 4 3 11" xfId="6311"/>
    <cellStyle name="Calculation 5 4 3 12" xfId="6312"/>
    <cellStyle name="Calculation 5 4 3 13" xfId="6313"/>
    <cellStyle name="Calculation 5 4 3 14" xfId="6314"/>
    <cellStyle name="Calculation 5 4 3 15" xfId="6315"/>
    <cellStyle name="Calculation 5 4 3 16" xfId="6316"/>
    <cellStyle name="Calculation 5 4 3 2" xfId="6317"/>
    <cellStyle name="Calculation 5 4 3 2 2" xfId="6318"/>
    <cellStyle name="Calculation 5 4 3 2 3" xfId="6319"/>
    <cellStyle name="Calculation 5 4 3 2 4" xfId="6320"/>
    <cellStyle name="Calculation 5 4 3 3" xfId="6321"/>
    <cellStyle name="Calculation 5 4 3 4" xfId="6322"/>
    <cellStyle name="Calculation 5 4 3 5" xfId="6323"/>
    <cellStyle name="Calculation 5 4 3 6" xfId="6324"/>
    <cellStyle name="Calculation 5 4 3 7" xfId="6325"/>
    <cellStyle name="Calculation 5 4 3 8" xfId="6326"/>
    <cellStyle name="Calculation 5 4 3 9" xfId="6327"/>
    <cellStyle name="Calculation 5 4 4" xfId="6328"/>
    <cellStyle name="Calculation 5 4 4 2" xfId="6329"/>
    <cellStyle name="Calculation 5 4 4 3" xfId="6330"/>
    <cellStyle name="Calculation 5 4 4 4" xfId="6331"/>
    <cellStyle name="Calculation 5 4 5" xfId="6332"/>
    <cellStyle name="Calculation 5 4 6" xfId="6333"/>
    <cellStyle name="Calculation 5 4 7" xfId="6334"/>
    <cellStyle name="Calculation 5 4 8" xfId="6335"/>
    <cellStyle name="Calculation 5 4 9" xfId="6336"/>
    <cellStyle name="Calculation 5 5" xfId="6337"/>
    <cellStyle name="Calculation 5 5 2" xfId="6338"/>
    <cellStyle name="Calculation 5 5 3" xfId="6339"/>
    <cellStyle name="Calculation 5 5 4" xfId="6340"/>
    <cellStyle name="Calculation 5 6" xfId="6341"/>
    <cellStyle name="Calculation 5 7" xfId="6342"/>
    <cellStyle name="Calculation 5 8" xfId="6343"/>
    <cellStyle name="Calculation 5 9" xfId="6344"/>
    <cellStyle name="Calculation 6" xfId="6345"/>
    <cellStyle name="Calculation 6 10" xfId="6346"/>
    <cellStyle name="Calculation 6 11" xfId="6347"/>
    <cellStyle name="Calculation 6 12" xfId="6348"/>
    <cellStyle name="Calculation 6 13" xfId="6349"/>
    <cellStyle name="Calculation 6 14" xfId="6350"/>
    <cellStyle name="Calculation 6 15" xfId="6351"/>
    <cellStyle name="Calculation 6 16" xfId="6352"/>
    <cellStyle name="Calculation 6 17" xfId="6353"/>
    <cellStyle name="Calculation 6 18" xfId="6354"/>
    <cellStyle name="Calculation 6 19" xfId="6355"/>
    <cellStyle name="Calculation 6 2" xfId="6356"/>
    <cellStyle name="Calculation 6 2 10" xfId="6357"/>
    <cellStyle name="Calculation 6 2 11" xfId="6358"/>
    <cellStyle name="Calculation 6 2 12" xfId="6359"/>
    <cellStyle name="Calculation 6 2 13" xfId="6360"/>
    <cellStyle name="Calculation 6 2 14" xfId="6361"/>
    <cellStyle name="Calculation 6 2 15" xfId="6362"/>
    <cellStyle name="Calculation 6 2 16" xfId="6363"/>
    <cellStyle name="Calculation 6 2 17" xfId="6364"/>
    <cellStyle name="Calculation 6 2 18" xfId="6365"/>
    <cellStyle name="Calculation 6 2 2" xfId="6366"/>
    <cellStyle name="Calculation 6 2 2 10" xfId="6367"/>
    <cellStyle name="Calculation 6 2 2 11" xfId="6368"/>
    <cellStyle name="Calculation 6 2 2 12" xfId="6369"/>
    <cellStyle name="Calculation 6 2 2 13" xfId="6370"/>
    <cellStyle name="Calculation 6 2 2 14" xfId="6371"/>
    <cellStyle name="Calculation 6 2 2 15" xfId="6372"/>
    <cellStyle name="Calculation 6 2 2 16" xfId="6373"/>
    <cellStyle name="Calculation 6 2 2 2" xfId="6374"/>
    <cellStyle name="Calculation 6 2 2 2 2" xfId="6375"/>
    <cellStyle name="Calculation 6 2 2 2 3" xfId="6376"/>
    <cellStyle name="Calculation 6 2 2 2 4" xfId="6377"/>
    <cellStyle name="Calculation 6 2 2 3" xfId="6378"/>
    <cellStyle name="Calculation 6 2 2 4" xfId="6379"/>
    <cellStyle name="Calculation 6 2 2 5" xfId="6380"/>
    <cellStyle name="Calculation 6 2 2 6" xfId="6381"/>
    <cellStyle name="Calculation 6 2 2 7" xfId="6382"/>
    <cellStyle name="Calculation 6 2 2 8" xfId="6383"/>
    <cellStyle name="Calculation 6 2 2 9" xfId="6384"/>
    <cellStyle name="Calculation 6 2 3" xfId="6385"/>
    <cellStyle name="Calculation 6 2 3 10" xfId="6386"/>
    <cellStyle name="Calculation 6 2 3 11" xfId="6387"/>
    <cellStyle name="Calculation 6 2 3 12" xfId="6388"/>
    <cellStyle name="Calculation 6 2 3 13" xfId="6389"/>
    <cellStyle name="Calculation 6 2 3 14" xfId="6390"/>
    <cellStyle name="Calculation 6 2 3 15" xfId="6391"/>
    <cellStyle name="Calculation 6 2 3 16" xfId="6392"/>
    <cellStyle name="Calculation 6 2 3 2" xfId="6393"/>
    <cellStyle name="Calculation 6 2 3 2 2" xfId="6394"/>
    <cellStyle name="Calculation 6 2 3 2 3" xfId="6395"/>
    <cellStyle name="Calculation 6 2 3 2 4" xfId="6396"/>
    <cellStyle name="Calculation 6 2 3 3" xfId="6397"/>
    <cellStyle name="Calculation 6 2 3 4" xfId="6398"/>
    <cellStyle name="Calculation 6 2 3 5" xfId="6399"/>
    <cellStyle name="Calculation 6 2 3 6" xfId="6400"/>
    <cellStyle name="Calculation 6 2 3 7" xfId="6401"/>
    <cellStyle name="Calculation 6 2 3 8" xfId="6402"/>
    <cellStyle name="Calculation 6 2 3 9" xfId="6403"/>
    <cellStyle name="Calculation 6 2 4" xfId="6404"/>
    <cellStyle name="Calculation 6 2 4 2" xfId="6405"/>
    <cellStyle name="Calculation 6 2 4 3" xfId="6406"/>
    <cellStyle name="Calculation 6 2 4 4" xfId="6407"/>
    <cellStyle name="Calculation 6 2 5" xfId="6408"/>
    <cellStyle name="Calculation 6 2 6" xfId="6409"/>
    <cellStyle name="Calculation 6 2 7" xfId="6410"/>
    <cellStyle name="Calculation 6 2 8" xfId="6411"/>
    <cellStyle name="Calculation 6 2 9" xfId="6412"/>
    <cellStyle name="Calculation 6 3" xfId="6413"/>
    <cellStyle name="Calculation 6 3 10" xfId="6414"/>
    <cellStyle name="Calculation 6 3 11" xfId="6415"/>
    <cellStyle name="Calculation 6 3 12" xfId="6416"/>
    <cellStyle name="Calculation 6 3 13" xfId="6417"/>
    <cellStyle name="Calculation 6 3 14" xfId="6418"/>
    <cellStyle name="Calculation 6 3 15" xfId="6419"/>
    <cellStyle name="Calculation 6 3 16" xfId="6420"/>
    <cellStyle name="Calculation 6 3 17" xfId="6421"/>
    <cellStyle name="Calculation 6 3 18" xfId="6422"/>
    <cellStyle name="Calculation 6 3 2" xfId="6423"/>
    <cellStyle name="Calculation 6 3 2 10" xfId="6424"/>
    <cellStyle name="Calculation 6 3 2 11" xfId="6425"/>
    <cellStyle name="Calculation 6 3 2 12" xfId="6426"/>
    <cellStyle name="Calculation 6 3 2 13" xfId="6427"/>
    <cellStyle name="Calculation 6 3 2 14" xfId="6428"/>
    <cellStyle name="Calculation 6 3 2 15" xfId="6429"/>
    <cellStyle name="Calculation 6 3 2 16" xfId="6430"/>
    <cellStyle name="Calculation 6 3 2 2" xfId="6431"/>
    <cellStyle name="Calculation 6 3 2 2 2" xfId="6432"/>
    <cellStyle name="Calculation 6 3 2 2 3" xfId="6433"/>
    <cellStyle name="Calculation 6 3 2 2 4" xfId="6434"/>
    <cellStyle name="Calculation 6 3 2 3" xfId="6435"/>
    <cellStyle name="Calculation 6 3 2 4" xfId="6436"/>
    <cellStyle name="Calculation 6 3 2 5" xfId="6437"/>
    <cellStyle name="Calculation 6 3 2 6" xfId="6438"/>
    <cellStyle name="Calculation 6 3 2 7" xfId="6439"/>
    <cellStyle name="Calculation 6 3 2 8" xfId="6440"/>
    <cellStyle name="Calculation 6 3 2 9" xfId="6441"/>
    <cellStyle name="Calculation 6 3 3" xfId="6442"/>
    <cellStyle name="Calculation 6 3 3 10" xfId="6443"/>
    <cellStyle name="Calculation 6 3 3 11" xfId="6444"/>
    <cellStyle name="Calculation 6 3 3 12" xfId="6445"/>
    <cellStyle name="Calculation 6 3 3 13" xfId="6446"/>
    <cellStyle name="Calculation 6 3 3 14" xfId="6447"/>
    <cellStyle name="Calculation 6 3 3 15" xfId="6448"/>
    <cellStyle name="Calculation 6 3 3 16" xfId="6449"/>
    <cellStyle name="Calculation 6 3 3 2" xfId="6450"/>
    <cellStyle name="Calculation 6 3 3 2 2" xfId="6451"/>
    <cellStyle name="Calculation 6 3 3 2 3" xfId="6452"/>
    <cellStyle name="Calculation 6 3 3 2 4" xfId="6453"/>
    <cellStyle name="Calculation 6 3 3 3" xfId="6454"/>
    <cellStyle name="Calculation 6 3 3 4" xfId="6455"/>
    <cellStyle name="Calculation 6 3 3 5" xfId="6456"/>
    <cellStyle name="Calculation 6 3 3 6" xfId="6457"/>
    <cellStyle name="Calculation 6 3 3 7" xfId="6458"/>
    <cellStyle name="Calculation 6 3 3 8" xfId="6459"/>
    <cellStyle name="Calculation 6 3 3 9" xfId="6460"/>
    <cellStyle name="Calculation 6 3 4" xfId="6461"/>
    <cellStyle name="Calculation 6 3 4 2" xfId="6462"/>
    <cellStyle name="Calculation 6 3 4 3" xfId="6463"/>
    <cellStyle name="Calculation 6 3 4 4" xfId="6464"/>
    <cellStyle name="Calculation 6 3 5" xfId="6465"/>
    <cellStyle name="Calculation 6 3 6" xfId="6466"/>
    <cellStyle name="Calculation 6 3 7" xfId="6467"/>
    <cellStyle name="Calculation 6 3 8" xfId="6468"/>
    <cellStyle name="Calculation 6 3 9" xfId="6469"/>
    <cellStyle name="Calculation 6 4" xfId="6470"/>
    <cellStyle name="Calculation 6 4 10" xfId="6471"/>
    <cellStyle name="Calculation 6 4 11" xfId="6472"/>
    <cellStyle name="Calculation 6 4 12" xfId="6473"/>
    <cellStyle name="Calculation 6 4 13" xfId="6474"/>
    <cellStyle name="Calculation 6 4 14" xfId="6475"/>
    <cellStyle name="Calculation 6 4 15" xfId="6476"/>
    <cellStyle name="Calculation 6 4 16" xfId="6477"/>
    <cellStyle name="Calculation 6 4 17" xfId="6478"/>
    <cellStyle name="Calculation 6 4 18" xfId="6479"/>
    <cellStyle name="Calculation 6 4 2" xfId="6480"/>
    <cellStyle name="Calculation 6 4 2 10" xfId="6481"/>
    <cellStyle name="Calculation 6 4 2 11" xfId="6482"/>
    <cellStyle name="Calculation 6 4 2 12" xfId="6483"/>
    <cellStyle name="Calculation 6 4 2 13" xfId="6484"/>
    <cellStyle name="Calculation 6 4 2 14" xfId="6485"/>
    <cellStyle name="Calculation 6 4 2 15" xfId="6486"/>
    <cellStyle name="Calculation 6 4 2 16" xfId="6487"/>
    <cellStyle name="Calculation 6 4 2 2" xfId="6488"/>
    <cellStyle name="Calculation 6 4 2 2 2" xfId="6489"/>
    <cellStyle name="Calculation 6 4 2 2 3" xfId="6490"/>
    <cellStyle name="Calculation 6 4 2 2 4" xfId="6491"/>
    <cellStyle name="Calculation 6 4 2 3" xfId="6492"/>
    <cellStyle name="Calculation 6 4 2 4" xfId="6493"/>
    <cellStyle name="Calculation 6 4 2 5" xfId="6494"/>
    <cellStyle name="Calculation 6 4 2 6" xfId="6495"/>
    <cellStyle name="Calculation 6 4 2 7" xfId="6496"/>
    <cellStyle name="Calculation 6 4 2 8" xfId="6497"/>
    <cellStyle name="Calculation 6 4 2 9" xfId="6498"/>
    <cellStyle name="Calculation 6 4 3" xfId="6499"/>
    <cellStyle name="Calculation 6 4 3 10" xfId="6500"/>
    <cellStyle name="Calculation 6 4 3 11" xfId="6501"/>
    <cellStyle name="Calculation 6 4 3 12" xfId="6502"/>
    <cellStyle name="Calculation 6 4 3 13" xfId="6503"/>
    <cellStyle name="Calculation 6 4 3 14" xfId="6504"/>
    <cellStyle name="Calculation 6 4 3 15" xfId="6505"/>
    <cellStyle name="Calculation 6 4 3 16" xfId="6506"/>
    <cellStyle name="Calculation 6 4 3 2" xfId="6507"/>
    <cellStyle name="Calculation 6 4 3 2 2" xfId="6508"/>
    <cellStyle name="Calculation 6 4 3 2 3" xfId="6509"/>
    <cellStyle name="Calculation 6 4 3 2 4" xfId="6510"/>
    <cellStyle name="Calculation 6 4 3 3" xfId="6511"/>
    <cellStyle name="Calculation 6 4 3 4" xfId="6512"/>
    <cellStyle name="Calculation 6 4 3 5" xfId="6513"/>
    <cellStyle name="Calculation 6 4 3 6" xfId="6514"/>
    <cellStyle name="Calculation 6 4 3 7" xfId="6515"/>
    <cellStyle name="Calculation 6 4 3 8" xfId="6516"/>
    <cellStyle name="Calculation 6 4 3 9" xfId="6517"/>
    <cellStyle name="Calculation 6 4 4" xfId="6518"/>
    <cellStyle name="Calculation 6 4 4 2" xfId="6519"/>
    <cellStyle name="Calculation 6 4 4 3" xfId="6520"/>
    <cellStyle name="Calculation 6 4 4 4" xfId="6521"/>
    <cellStyle name="Calculation 6 4 5" xfId="6522"/>
    <cellStyle name="Calculation 6 4 6" xfId="6523"/>
    <cellStyle name="Calculation 6 4 7" xfId="6524"/>
    <cellStyle name="Calculation 6 4 8" xfId="6525"/>
    <cellStyle name="Calculation 6 4 9" xfId="6526"/>
    <cellStyle name="Calculation 6 5" xfId="6527"/>
    <cellStyle name="Calculation 6 5 2" xfId="6528"/>
    <cellStyle name="Calculation 6 5 3" xfId="6529"/>
    <cellStyle name="Calculation 6 5 4" xfId="6530"/>
    <cellStyle name="Calculation 6 6" xfId="6531"/>
    <cellStyle name="Calculation 6 7" xfId="6532"/>
    <cellStyle name="Calculation 6 8" xfId="6533"/>
    <cellStyle name="Calculation 6 9" xfId="6534"/>
    <cellStyle name="Calculation 7 2" xfId="6535"/>
    <cellStyle name="Calculation 7 2 10" xfId="6536"/>
    <cellStyle name="Calculation 7 2 11" xfId="6537"/>
    <cellStyle name="Calculation 7 2 12" xfId="6538"/>
    <cellStyle name="Calculation 7 2 13" xfId="6539"/>
    <cellStyle name="Calculation 7 2 14" xfId="6540"/>
    <cellStyle name="Calculation 7 2 15" xfId="6541"/>
    <cellStyle name="Calculation 7 2 16" xfId="6542"/>
    <cellStyle name="Calculation 7 2 17" xfId="6543"/>
    <cellStyle name="Calculation 7 2 18" xfId="6544"/>
    <cellStyle name="Calculation 7 2 2" xfId="6545"/>
    <cellStyle name="Calculation 7 2 2 10" xfId="6546"/>
    <cellStyle name="Calculation 7 2 2 11" xfId="6547"/>
    <cellStyle name="Calculation 7 2 2 12" xfId="6548"/>
    <cellStyle name="Calculation 7 2 2 13" xfId="6549"/>
    <cellStyle name="Calculation 7 2 2 14" xfId="6550"/>
    <cellStyle name="Calculation 7 2 2 15" xfId="6551"/>
    <cellStyle name="Calculation 7 2 2 16" xfId="6552"/>
    <cellStyle name="Calculation 7 2 2 2" xfId="6553"/>
    <cellStyle name="Calculation 7 2 2 2 2" xfId="6554"/>
    <cellStyle name="Calculation 7 2 2 2 3" xfId="6555"/>
    <cellStyle name="Calculation 7 2 2 2 4" xfId="6556"/>
    <cellStyle name="Calculation 7 2 2 3" xfId="6557"/>
    <cellStyle name="Calculation 7 2 2 4" xfId="6558"/>
    <cellStyle name="Calculation 7 2 2 5" xfId="6559"/>
    <cellStyle name="Calculation 7 2 2 6" xfId="6560"/>
    <cellStyle name="Calculation 7 2 2 7" xfId="6561"/>
    <cellStyle name="Calculation 7 2 2 8" xfId="6562"/>
    <cellStyle name="Calculation 7 2 2 9" xfId="6563"/>
    <cellStyle name="Calculation 7 2 3" xfId="6564"/>
    <cellStyle name="Calculation 7 2 3 10" xfId="6565"/>
    <cellStyle name="Calculation 7 2 3 11" xfId="6566"/>
    <cellStyle name="Calculation 7 2 3 12" xfId="6567"/>
    <cellStyle name="Calculation 7 2 3 13" xfId="6568"/>
    <cellStyle name="Calculation 7 2 3 14" xfId="6569"/>
    <cellStyle name="Calculation 7 2 3 15" xfId="6570"/>
    <cellStyle name="Calculation 7 2 3 16" xfId="6571"/>
    <cellStyle name="Calculation 7 2 3 2" xfId="6572"/>
    <cellStyle name="Calculation 7 2 3 2 2" xfId="6573"/>
    <cellStyle name="Calculation 7 2 3 2 3" xfId="6574"/>
    <cellStyle name="Calculation 7 2 3 2 4" xfId="6575"/>
    <cellStyle name="Calculation 7 2 3 3" xfId="6576"/>
    <cellStyle name="Calculation 7 2 3 4" xfId="6577"/>
    <cellStyle name="Calculation 7 2 3 5" xfId="6578"/>
    <cellStyle name="Calculation 7 2 3 6" xfId="6579"/>
    <cellStyle name="Calculation 7 2 3 7" xfId="6580"/>
    <cellStyle name="Calculation 7 2 3 8" xfId="6581"/>
    <cellStyle name="Calculation 7 2 3 9" xfId="6582"/>
    <cellStyle name="Calculation 7 2 4" xfId="6583"/>
    <cellStyle name="Calculation 7 2 4 2" xfId="6584"/>
    <cellStyle name="Calculation 7 2 4 3" xfId="6585"/>
    <cellStyle name="Calculation 7 2 4 4" xfId="6586"/>
    <cellStyle name="Calculation 7 2 5" xfId="6587"/>
    <cellStyle name="Calculation 7 2 6" xfId="6588"/>
    <cellStyle name="Calculation 7 2 7" xfId="6589"/>
    <cellStyle name="Calculation 7 2 8" xfId="6590"/>
    <cellStyle name="Calculation 7 2 9" xfId="6591"/>
    <cellStyle name="Calculation 7 3" xfId="6592"/>
    <cellStyle name="Calculation 7 3 10" xfId="6593"/>
    <cellStyle name="Calculation 7 3 11" xfId="6594"/>
    <cellStyle name="Calculation 7 3 12" xfId="6595"/>
    <cellStyle name="Calculation 7 3 13" xfId="6596"/>
    <cellStyle name="Calculation 7 3 14" xfId="6597"/>
    <cellStyle name="Calculation 7 3 15" xfId="6598"/>
    <cellStyle name="Calculation 7 3 16" xfId="6599"/>
    <cellStyle name="Calculation 7 3 17" xfId="6600"/>
    <cellStyle name="Calculation 7 3 18" xfId="6601"/>
    <cellStyle name="Calculation 7 3 2" xfId="6602"/>
    <cellStyle name="Calculation 7 3 2 10" xfId="6603"/>
    <cellStyle name="Calculation 7 3 2 11" xfId="6604"/>
    <cellStyle name="Calculation 7 3 2 12" xfId="6605"/>
    <cellStyle name="Calculation 7 3 2 13" xfId="6606"/>
    <cellStyle name="Calculation 7 3 2 14" xfId="6607"/>
    <cellStyle name="Calculation 7 3 2 15" xfId="6608"/>
    <cellStyle name="Calculation 7 3 2 16" xfId="6609"/>
    <cellStyle name="Calculation 7 3 2 2" xfId="6610"/>
    <cellStyle name="Calculation 7 3 2 2 2" xfId="6611"/>
    <cellStyle name="Calculation 7 3 2 2 3" xfId="6612"/>
    <cellStyle name="Calculation 7 3 2 2 4" xfId="6613"/>
    <cellStyle name="Calculation 7 3 2 3" xfId="6614"/>
    <cellStyle name="Calculation 7 3 2 4" xfId="6615"/>
    <cellStyle name="Calculation 7 3 2 5" xfId="6616"/>
    <cellStyle name="Calculation 7 3 2 6" xfId="6617"/>
    <cellStyle name="Calculation 7 3 2 7" xfId="6618"/>
    <cellStyle name="Calculation 7 3 2 8" xfId="6619"/>
    <cellStyle name="Calculation 7 3 2 9" xfId="6620"/>
    <cellStyle name="Calculation 7 3 3" xfId="6621"/>
    <cellStyle name="Calculation 7 3 3 10" xfId="6622"/>
    <cellStyle name="Calculation 7 3 3 11" xfId="6623"/>
    <cellStyle name="Calculation 7 3 3 12" xfId="6624"/>
    <cellStyle name="Calculation 7 3 3 13" xfId="6625"/>
    <cellStyle name="Calculation 7 3 3 14" xfId="6626"/>
    <cellStyle name="Calculation 7 3 3 15" xfId="6627"/>
    <cellStyle name="Calculation 7 3 3 16" xfId="6628"/>
    <cellStyle name="Calculation 7 3 3 2" xfId="6629"/>
    <cellStyle name="Calculation 7 3 3 2 2" xfId="6630"/>
    <cellStyle name="Calculation 7 3 3 2 3" xfId="6631"/>
    <cellStyle name="Calculation 7 3 3 2 4" xfId="6632"/>
    <cellStyle name="Calculation 7 3 3 3" xfId="6633"/>
    <cellStyle name="Calculation 7 3 3 4" xfId="6634"/>
    <cellStyle name="Calculation 7 3 3 5" xfId="6635"/>
    <cellStyle name="Calculation 7 3 3 6" xfId="6636"/>
    <cellStyle name="Calculation 7 3 3 7" xfId="6637"/>
    <cellStyle name="Calculation 7 3 3 8" xfId="6638"/>
    <cellStyle name="Calculation 7 3 3 9" xfId="6639"/>
    <cellStyle name="Calculation 7 3 4" xfId="6640"/>
    <cellStyle name="Calculation 7 3 4 2" xfId="6641"/>
    <cellStyle name="Calculation 7 3 4 3" xfId="6642"/>
    <cellStyle name="Calculation 7 3 4 4" xfId="6643"/>
    <cellStyle name="Calculation 7 3 5" xfId="6644"/>
    <cellStyle name="Calculation 7 3 6" xfId="6645"/>
    <cellStyle name="Calculation 7 3 7" xfId="6646"/>
    <cellStyle name="Calculation 7 3 8" xfId="6647"/>
    <cellStyle name="Calculation 7 3 9" xfId="6648"/>
    <cellStyle name="Calculation 7 4" xfId="6649"/>
    <cellStyle name="Calculation 7 4 10" xfId="6650"/>
    <cellStyle name="Calculation 7 4 11" xfId="6651"/>
    <cellStyle name="Calculation 7 4 12" xfId="6652"/>
    <cellStyle name="Calculation 7 4 13" xfId="6653"/>
    <cellStyle name="Calculation 7 4 14" xfId="6654"/>
    <cellStyle name="Calculation 7 4 15" xfId="6655"/>
    <cellStyle name="Calculation 7 4 16" xfId="6656"/>
    <cellStyle name="Calculation 7 4 17" xfId="6657"/>
    <cellStyle name="Calculation 7 4 18" xfId="6658"/>
    <cellStyle name="Calculation 7 4 2" xfId="6659"/>
    <cellStyle name="Calculation 7 4 2 10" xfId="6660"/>
    <cellStyle name="Calculation 7 4 2 11" xfId="6661"/>
    <cellStyle name="Calculation 7 4 2 12" xfId="6662"/>
    <cellStyle name="Calculation 7 4 2 13" xfId="6663"/>
    <cellStyle name="Calculation 7 4 2 14" xfId="6664"/>
    <cellStyle name="Calculation 7 4 2 15" xfId="6665"/>
    <cellStyle name="Calculation 7 4 2 16" xfId="6666"/>
    <cellStyle name="Calculation 7 4 2 2" xfId="6667"/>
    <cellStyle name="Calculation 7 4 2 2 2" xfId="6668"/>
    <cellStyle name="Calculation 7 4 2 2 3" xfId="6669"/>
    <cellStyle name="Calculation 7 4 2 2 4" xfId="6670"/>
    <cellStyle name="Calculation 7 4 2 3" xfId="6671"/>
    <cellStyle name="Calculation 7 4 2 4" xfId="6672"/>
    <cellStyle name="Calculation 7 4 2 5" xfId="6673"/>
    <cellStyle name="Calculation 7 4 2 6" xfId="6674"/>
    <cellStyle name="Calculation 7 4 2 7" xfId="6675"/>
    <cellStyle name="Calculation 7 4 2 8" xfId="6676"/>
    <cellStyle name="Calculation 7 4 2 9" xfId="6677"/>
    <cellStyle name="Calculation 7 4 3" xfId="6678"/>
    <cellStyle name="Calculation 7 4 3 10" xfId="6679"/>
    <cellStyle name="Calculation 7 4 3 11" xfId="6680"/>
    <cellStyle name="Calculation 7 4 3 12" xfId="6681"/>
    <cellStyle name="Calculation 7 4 3 13" xfId="6682"/>
    <cellStyle name="Calculation 7 4 3 14" xfId="6683"/>
    <cellStyle name="Calculation 7 4 3 15" xfId="6684"/>
    <cellStyle name="Calculation 7 4 3 16" xfId="6685"/>
    <cellStyle name="Calculation 7 4 3 2" xfId="6686"/>
    <cellStyle name="Calculation 7 4 3 2 2" xfId="6687"/>
    <cellStyle name="Calculation 7 4 3 2 3" xfId="6688"/>
    <cellStyle name="Calculation 7 4 3 2 4" xfId="6689"/>
    <cellStyle name="Calculation 7 4 3 3" xfId="6690"/>
    <cellStyle name="Calculation 7 4 3 4" xfId="6691"/>
    <cellStyle name="Calculation 7 4 3 5" xfId="6692"/>
    <cellStyle name="Calculation 7 4 3 6" xfId="6693"/>
    <cellStyle name="Calculation 7 4 3 7" xfId="6694"/>
    <cellStyle name="Calculation 7 4 3 8" xfId="6695"/>
    <cellStyle name="Calculation 7 4 3 9" xfId="6696"/>
    <cellStyle name="Calculation 7 4 4" xfId="6697"/>
    <cellStyle name="Calculation 7 4 4 2" xfId="6698"/>
    <cellStyle name="Calculation 7 4 4 3" xfId="6699"/>
    <cellStyle name="Calculation 7 4 4 4" xfId="6700"/>
    <cellStyle name="Calculation 7 4 5" xfId="6701"/>
    <cellStyle name="Calculation 7 4 6" xfId="6702"/>
    <cellStyle name="Calculation 7 4 7" xfId="6703"/>
    <cellStyle name="Calculation 7 4 8" xfId="6704"/>
    <cellStyle name="Calculation 7 4 9" xfId="6705"/>
    <cellStyle name="Calculation 8 2" xfId="6706"/>
    <cellStyle name="Calculation 8 2 10" xfId="6707"/>
    <cellStyle name="Calculation 8 2 11" xfId="6708"/>
    <cellStyle name="Calculation 8 2 12" xfId="6709"/>
    <cellStyle name="Calculation 8 2 13" xfId="6710"/>
    <cellStyle name="Calculation 8 2 14" xfId="6711"/>
    <cellStyle name="Calculation 8 2 15" xfId="6712"/>
    <cellStyle name="Calculation 8 2 16" xfId="6713"/>
    <cellStyle name="Calculation 8 2 17" xfId="6714"/>
    <cellStyle name="Calculation 8 2 18" xfId="6715"/>
    <cellStyle name="Calculation 8 2 2" xfId="6716"/>
    <cellStyle name="Calculation 8 2 2 10" xfId="6717"/>
    <cellStyle name="Calculation 8 2 2 11" xfId="6718"/>
    <cellStyle name="Calculation 8 2 2 12" xfId="6719"/>
    <cellStyle name="Calculation 8 2 2 13" xfId="6720"/>
    <cellStyle name="Calculation 8 2 2 14" xfId="6721"/>
    <cellStyle name="Calculation 8 2 2 15" xfId="6722"/>
    <cellStyle name="Calculation 8 2 2 16" xfId="6723"/>
    <cellStyle name="Calculation 8 2 2 2" xfId="6724"/>
    <cellStyle name="Calculation 8 2 2 2 2" xfId="6725"/>
    <cellStyle name="Calculation 8 2 2 2 3" xfId="6726"/>
    <cellStyle name="Calculation 8 2 2 2 4" xfId="6727"/>
    <cellStyle name="Calculation 8 2 2 3" xfId="6728"/>
    <cellStyle name="Calculation 8 2 2 4" xfId="6729"/>
    <cellStyle name="Calculation 8 2 2 5" xfId="6730"/>
    <cellStyle name="Calculation 8 2 2 6" xfId="6731"/>
    <cellStyle name="Calculation 8 2 2 7" xfId="6732"/>
    <cellStyle name="Calculation 8 2 2 8" xfId="6733"/>
    <cellStyle name="Calculation 8 2 2 9" xfId="6734"/>
    <cellStyle name="Calculation 8 2 3" xfId="6735"/>
    <cellStyle name="Calculation 8 2 3 10" xfId="6736"/>
    <cellStyle name="Calculation 8 2 3 11" xfId="6737"/>
    <cellStyle name="Calculation 8 2 3 12" xfId="6738"/>
    <cellStyle name="Calculation 8 2 3 13" xfId="6739"/>
    <cellStyle name="Calculation 8 2 3 14" xfId="6740"/>
    <cellStyle name="Calculation 8 2 3 15" xfId="6741"/>
    <cellStyle name="Calculation 8 2 3 16" xfId="6742"/>
    <cellStyle name="Calculation 8 2 3 2" xfId="6743"/>
    <cellStyle name="Calculation 8 2 3 2 2" xfId="6744"/>
    <cellStyle name="Calculation 8 2 3 2 3" xfId="6745"/>
    <cellStyle name="Calculation 8 2 3 2 4" xfId="6746"/>
    <cellStyle name="Calculation 8 2 3 3" xfId="6747"/>
    <cellStyle name="Calculation 8 2 3 4" xfId="6748"/>
    <cellStyle name="Calculation 8 2 3 5" xfId="6749"/>
    <cellStyle name="Calculation 8 2 3 6" xfId="6750"/>
    <cellStyle name="Calculation 8 2 3 7" xfId="6751"/>
    <cellStyle name="Calculation 8 2 3 8" xfId="6752"/>
    <cellStyle name="Calculation 8 2 3 9" xfId="6753"/>
    <cellStyle name="Calculation 8 2 4" xfId="6754"/>
    <cellStyle name="Calculation 8 2 4 2" xfId="6755"/>
    <cellStyle name="Calculation 8 2 4 3" xfId="6756"/>
    <cellStyle name="Calculation 8 2 4 4" xfId="6757"/>
    <cellStyle name="Calculation 8 2 5" xfId="6758"/>
    <cellStyle name="Calculation 8 2 6" xfId="6759"/>
    <cellStyle name="Calculation 8 2 7" xfId="6760"/>
    <cellStyle name="Calculation 8 2 8" xfId="6761"/>
    <cellStyle name="Calculation 8 2 9" xfId="6762"/>
    <cellStyle name="Calculation 8 3" xfId="6763"/>
    <cellStyle name="Calculation 8 3 10" xfId="6764"/>
    <cellStyle name="Calculation 8 3 11" xfId="6765"/>
    <cellStyle name="Calculation 8 3 12" xfId="6766"/>
    <cellStyle name="Calculation 8 3 13" xfId="6767"/>
    <cellStyle name="Calculation 8 3 14" xfId="6768"/>
    <cellStyle name="Calculation 8 3 15" xfId="6769"/>
    <cellStyle name="Calculation 8 3 16" xfId="6770"/>
    <cellStyle name="Calculation 8 3 17" xfId="6771"/>
    <cellStyle name="Calculation 8 3 18" xfId="6772"/>
    <cellStyle name="Calculation 8 3 2" xfId="6773"/>
    <cellStyle name="Calculation 8 3 2 10" xfId="6774"/>
    <cellStyle name="Calculation 8 3 2 11" xfId="6775"/>
    <cellStyle name="Calculation 8 3 2 12" xfId="6776"/>
    <cellStyle name="Calculation 8 3 2 13" xfId="6777"/>
    <cellStyle name="Calculation 8 3 2 14" xfId="6778"/>
    <cellStyle name="Calculation 8 3 2 15" xfId="6779"/>
    <cellStyle name="Calculation 8 3 2 16" xfId="6780"/>
    <cellStyle name="Calculation 8 3 2 2" xfId="6781"/>
    <cellStyle name="Calculation 8 3 2 2 2" xfId="6782"/>
    <cellStyle name="Calculation 8 3 2 2 3" xfId="6783"/>
    <cellStyle name="Calculation 8 3 2 2 4" xfId="6784"/>
    <cellStyle name="Calculation 8 3 2 3" xfId="6785"/>
    <cellStyle name="Calculation 8 3 2 4" xfId="6786"/>
    <cellStyle name="Calculation 8 3 2 5" xfId="6787"/>
    <cellStyle name="Calculation 8 3 2 6" xfId="6788"/>
    <cellStyle name="Calculation 8 3 2 7" xfId="6789"/>
    <cellStyle name="Calculation 8 3 2 8" xfId="6790"/>
    <cellStyle name="Calculation 8 3 2 9" xfId="6791"/>
    <cellStyle name="Calculation 8 3 3" xfId="6792"/>
    <cellStyle name="Calculation 8 3 3 10" xfId="6793"/>
    <cellStyle name="Calculation 8 3 3 11" xfId="6794"/>
    <cellStyle name="Calculation 8 3 3 12" xfId="6795"/>
    <cellStyle name="Calculation 8 3 3 13" xfId="6796"/>
    <cellStyle name="Calculation 8 3 3 14" xfId="6797"/>
    <cellStyle name="Calculation 8 3 3 15" xfId="6798"/>
    <cellStyle name="Calculation 8 3 3 16" xfId="6799"/>
    <cellStyle name="Calculation 8 3 3 2" xfId="6800"/>
    <cellStyle name="Calculation 8 3 3 2 2" xfId="6801"/>
    <cellStyle name="Calculation 8 3 3 2 3" xfId="6802"/>
    <cellStyle name="Calculation 8 3 3 2 4" xfId="6803"/>
    <cellStyle name="Calculation 8 3 3 3" xfId="6804"/>
    <cellStyle name="Calculation 8 3 3 4" xfId="6805"/>
    <cellStyle name="Calculation 8 3 3 5" xfId="6806"/>
    <cellStyle name="Calculation 8 3 3 6" xfId="6807"/>
    <cellStyle name="Calculation 8 3 3 7" xfId="6808"/>
    <cellStyle name="Calculation 8 3 3 8" xfId="6809"/>
    <cellStyle name="Calculation 8 3 3 9" xfId="6810"/>
    <cellStyle name="Calculation 8 3 4" xfId="6811"/>
    <cellStyle name="Calculation 8 3 4 2" xfId="6812"/>
    <cellStyle name="Calculation 8 3 4 3" xfId="6813"/>
    <cellStyle name="Calculation 8 3 4 4" xfId="6814"/>
    <cellStyle name="Calculation 8 3 5" xfId="6815"/>
    <cellStyle name="Calculation 8 3 6" xfId="6816"/>
    <cellStyle name="Calculation 8 3 7" xfId="6817"/>
    <cellStyle name="Calculation 8 3 8" xfId="6818"/>
    <cellStyle name="Calculation 8 3 9" xfId="6819"/>
    <cellStyle name="Calculation 8 4" xfId="6820"/>
    <cellStyle name="Calculation 8 4 10" xfId="6821"/>
    <cellStyle name="Calculation 8 4 11" xfId="6822"/>
    <cellStyle name="Calculation 8 4 12" xfId="6823"/>
    <cellStyle name="Calculation 8 4 13" xfId="6824"/>
    <cellStyle name="Calculation 8 4 14" xfId="6825"/>
    <cellStyle name="Calculation 8 4 15" xfId="6826"/>
    <cellStyle name="Calculation 8 4 16" xfId="6827"/>
    <cellStyle name="Calculation 8 4 17" xfId="6828"/>
    <cellStyle name="Calculation 8 4 18" xfId="6829"/>
    <cellStyle name="Calculation 8 4 2" xfId="6830"/>
    <cellStyle name="Calculation 8 4 2 10" xfId="6831"/>
    <cellStyle name="Calculation 8 4 2 11" xfId="6832"/>
    <cellStyle name="Calculation 8 4 2 12" xfId="6833"/>
    <cellStyle name="Calculation 8 4 2 13" xfId="6834"/>
    <cellStyle name="Calculation 8 4 2 14" xfId="6835"/>
    <cellStyle name="Calculation 8 4 2 15" xfId="6836"/>
    <cellStyle name="Calculation 8 4 2 16" xfId="6837"/>
    <cellStyle name="Calculation 8 4 2 2" xfId="6838"/>
    <cellStyle name="Calculation 8 4 2 2 2" xfId="6839"/>
    <cellStyle name="Calculation 8 4 2 2 3" xfId="6840"/>
    <cellStyle name="Calculation 8 4 2 2 4" xfId="6841"/>
    <cellStyle name="Calculation 8 4 2 3" xfId="6842"/>
    <cellStyle name="Calculation 8 4 2 4" xfId="6843"/>
    <cellStyle name="Calculation 8 4 2 5" xfId="6844"/>
    <cellStyle name="Calculation 8 4 2 6" xfId="6845"/>
    <cellStyle name="Calculation 8 4 2 7" xfId="6846"/>
    <cellStyle name="Calculation 8 4 2 8" xfId="6847"/>
    <cellStyle name="Calculation 8 4 2 9" xfId="6848"/>
    <cellStyle name="Calculation 8 4 3" xfId="6849"/>
    <cellStyle name="Calculation 8 4 3 10" xfId="6850"/>
    <cellStyle name="Calculation 8 4 3 11" xfId="6851"/>
    <cellStyle name="Calculation 8 4 3 12" xfId="6852"/>
    <cellStyle name="Calculation 8 4 3 13" xfId="6853"/>
    <cellStyle name="Calculation 8 4 3 14" xfId="6854"/>
    <cellStyle name="Calculation 8 4 3 15" xfId="6855"/>
    <cellStyle name="Calculation 8 4 3 16" xfId="6856"/>
    <cellStyle name="Calculation 8 4 3 2" xfId="6857"/>
    <cellStyle name="Calculation 8 4 3 2 2" xfId="6858"/>
    <cellStyle name="Calculation 8 4 3 2 3" xfId="6859"/>
    <cellStyle name="Calculation 8 4 3 2 4" xfId="6860"/>
    <cellStyle name="Calculation 8 4 3 3" xfId="6861"/>
    <cellStyle name="Calculation 8 4 3 4" xfId="6862"/>
    <cellStyle name="Calculation 8 4 3 5" xfId="6863"/>
    <cellStyle name="Calculation 8 4 3 6" xfId="6864"/>
    <cellStyle name="Calculation 8 4 3 7" xfId="6865"/>
    <cellStyle name="Calculation 8 4 3 8" xfId="6866"/>
    <cellStyle name="Calculation 8 4 3 9" xfId="6867"/>
    <cellStyle name="Calculation 8 4 4" xfId="6868"/>
    <cellStyle name="Calculation 8 4 4 2" xfId="6869"/>
    <cellStyle name="Calculation 8 4 4 3" xfId="6870"/>
    <cellStyle name="Calculation 8 4 4 4" xfId="6871"/>
    <cellStyle name="Calculation 8 4 5" xfId="6872"/>
    <cellStyle name="Calculation 8 4 6" xfId="6873"/>
    <cellStyle name="Calculation 8 4 7" xfId="6874"/>
    <cellStyle name="Calculation 8 4 8" xfId="6875"/>
    <cellStyle name="Calculation 8 4 9" xfId="6876"/>
    <cellStyle name="Calculation 9 2" xfId="6877"/>
    <cellStyle name="Calculation 9 2 10" xfId="6878"/>
    <cellStyle name="Calculation 9 2 11" xfId="6879"/>
    <cellStyle name="Calculation 9 2 12" xfId="6880"/>
    <cellStyle name="Calculation 9 2 13" xfId="6881"/>
    <cellStyle name="Calculation 9 2 14" xfId="6882"/>
    <cellStyle name="Calculation 9 2 15" xfId="6883"/>
    <cellStyle name="Calculation 9 2 16" xfId="6884"/>
    <cellStyle name="Calculation 9 2 17" xfId="6885"/>
    <cellStyle name="Calculation 9 2 18" xfId="6886"/>
    <cellStyle name="Calculation 9 2 2" xfId="6887"/>
    <cellStyle name="Calculation 9 2 2 10" xfId="6888"/>
    <cellStyle name="Calculation 9 2 2 11" xfId="6889"/>
    <cellStyle name="Calculation 9 2 2 12" xfId="6890"/>
    <cellStyle name="Calculation 9 2 2 13" xfId="6891"/>
    <cellStyle name="Calculation 9 2 2 14" xfId="6892"/>
    <cellStyle name="Calculation 9 2 2 15" xfId="6893"/>
    <cellStyle name="Calculation 9 2 2 16" xfId="6894"/>
    <cellStyle name="Calculation 9 2 2 2" xfId="6895"/>
    <cellStyle name="Calculation 9 2 2 2 2" xfId="6896"/>
    <cellStyle name="Calculation 9 2 2 2 3" xfId="6897"/>
    <cellStyle name="Calculation 9 2 2 2 4" xfId="6898"/>
    <cellStyle name="Calculation 9 2 2 3" xfId="6899"/>
    <cellStyle name="Calculation 9 2 2 4" xfId="6900"/>
    <cellStyle name="Calculation 9 2 2 5" xfId="6901"/>
    <cellStyle name="Calculation 9 2 2 6" xfId="6902"/>
    <cellStyle name="Calculation 9 2 2 7" xfId="6903"/>
    <cellStyle name="Calculation 9 2 2 8" xfId="6904"/>
    <cellStyle name="Calculation 9 2 2 9" xfId="6905"/>
    <cellStyle name="Calculation 9 2 3" xfId="6906"/>
    <cellStyle name="Calculation 9 2 3 10" xfId="6907"/>
    <cellStyle name="Calculation 9 2 3 11" xfId="6908"/>
    <cellStyle name="Calculation 9 2 3 12" xfId="6909"/>
    <cellStyle name="Calculation 9 2 3 13" xfId="6910"/>
    <cellStyle name="Calculation 9 2 3 14" xfId="6911"/>
    <cellStyle name="Calculation 9 2 3 15" xfId="6912"/>
    <cellStyle name="Calculation 9 2 3 16" xfId="6913"/>
    <cellStyle name="Calculation 9 2 3 2" xfId="6914"/>
    <cellStyle name="Calculation 9 2 3 2 2" xfId="6915"/>
    <cellStyle name="Calculation 9 2 3 2 3" xfId="6916"/>
    <cellStyle name="Calculation 9 2 3 2 4" xfId="6917"/>
    <cellStyle name="Calculation 9 2 3 3" xfId="6918"/>
    <cellStyle name="Calculation 9 2 3 4" xfId="6919"/>
    <cellStyle name="Calculation 9 2 3 5" xfId="6920"/>
    <cellStyle name="Calculation 9 2 3 6" xfId="6921"/>
    <cellStyle name="Calculation 9 2 3 7" xfId="6922"/>
    <cellStyle name="Calculation 9 2 3 8" xfId="6923"/>
    <cellStyle name="Calculation 9 2 3 9" xfId="6924"/>
    <cellStyle name="Calculation 9 2 4" xfId="6925"/>
    <cellStyle name="Calculation 9 2 4 2" xfId="6926"/>
    <cellStyle name="Calculation 9 2 4 3" xfId="6927"/>
    <cellStyle name="Calculation 9 2 4 4" xfId="6928"/>
    <cellStyle name="Calculation 9 2 5" xfId="6929"/>
    <cellStyle name="Calculation 9 2 6" xfId="6930"/>
    <cellStyle name="Calculation 9 2 7" xfId="6931"/>
    <cellStyle name="Calculation 9 2 8" xfId="6932"/>
    <cellStyle name="Calculation 9 2 9" xfId="6933"/>
    <cellStyle name="Calculation 9 3" xfId="6934"/>
    <cellStyle name="Calculation 9 3 10" xfId="6935"/>
    <cellStyle name="Calculation 9 3 11" xfId="6936"/>
    <cellStyle name="Calculation 9 3 12" xfId="6937"/>
    <cellStyle name="Calculation 9 3 13" xfId="6938"/>
    <cellStyle name="Calculation 9 3 14" xfId="6939"/>
    <cellStyle name="Calculation 9 3 15" xfId="6940"/>
    <cellStyle name="Calculation 9 3 16" xfId="6941"/>
    <cellStyle name="Calculation 9 3 17" xfId="6942"/>
    <cellStyle name="Calculation 9 3 18" xfId="6943"/>
    <cellStyle name="Calculation 9 3 2" xfId="6944"/>
    <cellStyle name="Calculation 9 3 2 10" xfId="6945"/>
    <cellStyle name="Calculation 9 3 2 11" xfId="6946"/>
    <cellStyle name="Calculation 9 3 2 12" xfId="6947"/>
    <cellStyle name="Calculation 9 3 2 13" xfId="6948"/>
    <cellStyle name="Calculation 9 3 2 14" xfId="6949"/>
    <cellStyle name="Calculation 9 3 2 15" xfId="6950"/>
    <cellStyle name="Calculation 9 3 2 16" xfId="6951"/>
    <cellStyle name="Calculation 9 3 2 2" xfId="6952"/>
    <cellStyle name="Calculation 9 3 2 2 2" xfId="6953"/>
    <cellStyle name="Calculation 9 3 2 2 3" xfId="6954"/>
    <cellStyle name="Calculation 9 3 2 2 4" xfId="6955"/>
    <cellStyle name="Calculation 9 3 2 3" xfId="6956"/>
    <cellStyle name="Calculation 9 3 2 4" xfId="6957"/>
    <cellStyle name="Calculation 9 3 2 5" xfId="6958"/>
    <cellStyle name="Calculation 9 3 2 6" xfId="6959"/>
    <cellStyle name="Calculation 9 3 2 7" xfId="6960"/>
    <cellStyle name="Calculation 9 3 2 8" xfId="6961"/>
    <cellStyle name="Calculation 9 3 2 9" xfId="6962"/>
    <cellStyle name="Calculation 9 3 3" xfId="6963"/>
    <cellStyle name="Calculation 9 3 3 10" xfId="6964"/>
    <cellStyle name="Calculation 9 3 3 11" xfId="6965"/>
    <cellStyle name="Calculation 9 3 3 12" xfId="6966"/>
    <cellStyle name="Calculation 9 3 3 13" xfId="6967"/>
    <cellStyle name="Calculation 9 3 3 14" xfId="6968"/>
    <cellStyle name="Calculation 9 3 3 15" xfId="6969"/>
    <cellStyle name="Calculation 9 3 3 16" xfId="6970"/>
    <cellStyle name="Calculation 9 3 3 2" xfId="6971"/>
    <cellStyle name="Calculation 9 3 3 2 2" xfId="6972"/>
    <cellStyle name="Calculation 9 3 3 2 3" xfId="6973"/>
    <cellStyle name="Calculation 9 3 3 2 4" xfId="6974"/>
    <cellStyle name="Calculation 9 3 3 3" xfId="6975"/>
    <cellStyle name="Calculation 9 3 3 4" xfId="6976"/>
    <cellStyle name="Calculation 9 3 3 5" xfId="6977"/>
    <cellStyle name="Calculation 9 3 3 6" xfId="6978"/>
    <cellStyle name="Calculation 9 3 3 7" xfId="6979"/>
    <cellStyle name="Calculation 9 3 3 8" xfId="6980"/>
    <cellStyle name="Calculation 9 3 3 9" xfId="6981"/>
    <cellStyle name="Calculation 9 3 4" xfId="6982"/>
    <cellStyle name="Calculation 9 3 4 2" xfId="6983"/>
    <cellStyle name="Calculation 9 3 4 3" xfId="6984"/>
    <cellStyle name="Calculation 9 3 4 4" xfId="6985"/>
    <cellStyle name="Calculation 9 3 5" xfId="6986"/>
    <cellStyle name="Calculation 9 3 6" xfId="6987"/>
    <cellStyle name="Calculation 9 3 7" xfId="6988"/>
    <cellStyle name="Calculation 9 3 8" xfId="6989"/>
    <cellStyle name="Calculation 9 3 9" xfId="6990"/>
    <cellStyle name="Calculation 9 4" xfId="6991"/>
    <cellStyle name="Calculation 9 4 10" xfId="6992"/>
    <cellStyle name="Calculation 9 4 11" xfId="6993"/>
    <cellStyle name="Calculation 9 4 12" xfId="6994"/>
    <cellStyle name="Calculation 9 4 13" xfId="6995"/>
    <cellStyle name="Calculation 9 4 14" xfId="6996"/>
    <cellStyle name="Calculation 9 4 15" xfId="6997"/>
    <cellStyle name="Calculation 9 4 16" xfId="6998"/>
    <cellStyle name="Calculation 9 4 17" xfId="6999"/>
    <cellStyle name="Calculation 9 4 18" xfId="7000"/>
    <cellStyle name="Calculation 9 4 2" xfId="7001"/>
    <cellStyle name="Calculation 9 4 2 10" xfId="7002"/>
    <cellStyle name="Calculation 9 4 2 11" xfId="7003"/>
    <cellStyle name="Calculation 9 4 2 12" xfId="7004"/>
    <cellStyle name="Calculation 9 4 2 13" xfId="7005"/>
    <cellStyle name="Calculation 9 4 2 14" xfId="7006"/>
    <cellStyle name="Calculation 9 4 2 15" xfId="7007"/>
    <cellStyle name="Calculation 9 4 2 16" xfId="7008"/>
    <cellStyle name="Calculation 9 4 2 2" xfId="7009"/>
    <cellStyle name="Calculation 9 4 2 2 2" xfId="7010"/>
    <cellStyle name="Calculation 9 4 2 2 3" xfId="7011"/>
    <cellStyle name="Calculation 9 4 2 2 4" xfId="7012"/>
    <cellStyle name="Calculation 9 4 2 3" xfId="7013"/>
    <cellStyle name="Calculation 9 4 2 4" xfId="7014"/>
    <cellStyle name="Calculation 9 4 2 5" xfId="7015"/>
    <cellStyle name="Calculation 9 4 2 6" xfId="7016"/>
    <cellStyle name="Calculation 9 4 2 7" xfId="7017"/>
    <cellStyle name="Calculation 9 4 2 8" xfId="7018"/>
    <cellStyle name="Calculation 9 4 2 9" xfId="7019"/>
    <cellStyle name="Calculation 9 4 3" xfId="7020"/>
    <cellStyle name="Calculation 9 4 3 10" xfId="7021"/>
    <cellStyle name="Calculation 9 4 3 11" xfId="7022"/>
    <cellStyle name="Calculation 9 4 3 12" xfId="7023"/>
    <cellStyle name="Calculation 9 4 3 13" xfId="7024"/>
    <cellStyle name="Calculation 9 4 3 14" xfId="7025"/>
    <cellStyle name="Calculation 9 4 3 15" xfId="7026"/>
    <cellStyle name="Calculation 9 4 3 16" xfId="7027"/>
    <cellStyle name="Calculation 9 4 3 2" xfId="7028"/>
    <cellStyle name="Calculation 9 4 3 2 2" xfId="7029"/>
    <cellStyle name="Calculation 9 4 3 2 3" xfId="7030"/>
    <cellStyle name="Calculation 9 4 3 2 4" xfId="7031"/>
    <cellStyle name="Calculation 9 4 3 3" xfId="7032"/>
    <cellStyle name="Calculation 9 4 3 4" xfId="7033"/>
    <cellStyle name="Calculation 9 4 3 5" xfId="7034"/>
    <cellStyle name="Calculation 9 4 3 6" xfId="7035"/>
    <cellStyle name="Calculation 9 4 3 7" xfId="7036"/>
    <cellStyle name="Calculation 9 4 3 8" xfId="7037"/>
    <cellStyle name="Calculation 9 4 3 9" xfId="7038"/>
    <cellStyle name="Calculation 9 4 4" xfId="7039"/>
    <cellStyle name="Calculation 9 4 4 2" xfId="7040"/>
    <cellStyle name="Calculation 9 4 4 3" xfId="7041"/>
    <cellStyle name="Calculation 9 4 4 4" xfId="7042"/>
    <cellStyle name="Calculation 9 4 5" xfId="7043"/>
    <cellStyle name="Calculation 9 4 6" xfId="7044"/>
    <cellStyle name="Calculation 9 4 7" xfId="7045"/>
    <cellStyle name="Calculation 9 4 8" xfId="7046"/>
    <cellStyle name="Calculation 9 4 9" xfId="7047"/>
    <cellStyle name="Cancel" xfId="7048"/>
    <cellStyle name="category" xfId="7049"/>
    <cellStyle name="Cellule liée" xfId="7050"/>
    <cellStyle name="Cerrency_Sheet2_XANGDAU" xfId="7051"/>
    <cellStyle name="CExplanatory Text 2" xfId="7052"/>
    <cellStyle name="Check Cell 1" xfId="7053"/>
    <cellStyle name="Check Cell 1 2" xfId="7054"/>
    <cellStyle name="Check Cell 10 2" xfId="7055"/>
    <cellStyle name="Check Cell 10 2 2" xfId="7056"/>
    <cellStyle name="Check Cell 10 3" xfId="7057"/>
    <cellStyle name="Check Cell 10 3 2" xfId="7058"/>
    <cellStyle name="Check Cell 10 4" xfId="7059"/>
    <cellStyle name="Check Cell 10 4 2" xfId="7060"/>
    <cellStyle name="Check Cell 11 2" xfId="7061"/>
    <cellStyle name="Check Cell 11 2 2" xfId="7062"/>
    <cellStyle name="Check Cell 11 3" xfId="7063"/>
    <cellStyle name="Check Cell 11 3 2" xfId="7064"/>
    <cellStyle name="Check Cell 11 4" xfId="7065"/>
    <cellStyle name="Check Cell 12 2" xfId="7066"/>
    <cellStyle name="Check Cell 12 3" xfId="7067"/>
    <cellStyle name="Check Cell 12 4" xfId="7068"/>
    <cellStyle name="Check Cell 13 2" xfId="7069"/>
    <cellStyle name="Check Cell 13 2 2" xfId="7070"/>
    <cellStyle name="Check Cell 13 3" xfId="7071"/>
    <cellStyle name="Check Cell 13 4" xfId="7072"/>
    <cellStyle name="Check Cell 13 4 2" xfId="7073"/>
    <cellStyle name="Check Cell 14 2" xfId="7074"/>
    <cellStyle name="Check Cell 14 2 2" xfId="7075"/>
    <cellStyle name="Check Cell 14 3" xfId="7076"/>
    <cellStyle name="Check Cell 14 3 2" xfId="7077"/>
    <cellStyle name="Check Cell 14 4" xfId="7078"/>
    <cellStyle name="Check Cell 14 4 2" xfId="7079"/>
    <cellStyle name="Check Cell 15 2" xfId="7080"/>
    <cellStyle name="Check Cell 15 2 2" xfId="7081"/>
    <cellStyle name="Check Cell 15 3" xfId="7082"/>
    <cellStyle name="Check Cell 15 3 2" xfId="7083"/>
    <cellStyle name="Check Cell 15 4" xfId="7084"/>
    <cellStyle name="Check Cell 15 4 2" xfId="7085"/>
    <cellStyle name="Check Cell 16 2" xfId="7086"/>
    <cellStyle name="Check Cell 16 2 2" xfId="7087"/>
    <cellStyle name="Check Cell 16 3" xfId="7088"/>
    <cellStyle name="Check Cell 16 3 2" xfId="7089"/>
    <cellStyle name="Check Cell 16 4" xfId="7090"/>
    <cellStyle name="Check Cell 16 4 2" xfId="7091"/>
    <cellStyle name="Check Cell 17 2" xfId="7092"/>
    <cellStyle name="Check Cell 17 3" xfId="7093"/>
    <cellStyle name="Check Cell 17 4" xfId="7094"/>
    <cellStyle name="Check Cell 17 4 2" xfId="7095"/>
    <cellStyle name="Check Cell 17 4 2 2" xfId="7096"/>
    <cellStyle name="Check Cell 2" xfId="7097"/>
    <cellStyle name="Check Cell 2 2" xfId="7098"/>
    <cellStyle name="Check Cell 2 2 2" xfId="7099"/>
    <cellStyle name="Check Cell 2 3" xfId="7100"/>
    <cellStyle name="Check Cell 2 4" xfId="7101"/>
    <cellStyle name="Check Cell 2 5" xfId="7102"/>
    <cellStyle name="Check Cell 3" xfId="7103"/>
    <cellStyle name="Check Cell 3 2" xfId="7104"/>
    <cellStyle name="Check Cell 3 2 2" xfId="7105"/>
    <cellStyle name="Check Cell 3 3" xfId="7106"/>
    <cellStyle name="Check Cell 3 4" xfId="7107"/>
    <cellStyle name="Check Cell 3 5" xfId="7108"/>
    <cellStyle name="Check Cell 4" xfId="7109"/>
    <cellStyle name="Check Cell 4 2" xfId="7110"/>
    <cellStyle name="Check Cell 4 3" xfId="7111"/>
    <cellStyle name="Check Cell 4 3 2" xfId="7112"/>
    <cellStyle name="Check Cell 4 4" xfId="7113"/>
    <cellStyle name="Check Cell 4 5" xfId="7114"/>
    <cellStyle name="Check Cell 5" xfId="7115"/>
    <cellStyle name="Check Cell 5 2" xfId="7116"/>
    <cellStyle name="Check Cell 5 2 2" xfId="7117"/>
    <cellStyle name="Check Cell 5 3" xfId="7118"/>
    <cellStyle name="Check Cell 5 4" xfId="7119"/>
    <cellStyle name="Check Cell 6" xfId="7120"/>
    <cellStyle name="Check Cell 6 2" xfId="7121"/>
    <cellStyle name="Check Cell 6 3" xfId="7122"/>
    <cellStyle name="Check Cell 6 3 2" xfId="7123"/>
    <cellStyle name="Check Cell 6 4" xfId="7124"/>
    <cellStyle name="Check Cell 6 4 2" xfId="7125"/>
    <cellStyle name="Check Cell 7 2" xfId="7126"/>
    <cellStyle name="Check Cell 7 3" xfId="7127"/>
    <cellStyle name="Check Cell 7 3 2" xfId="7128"/>
    <cellStyle name="Check Cell 7 4" xfId="7129"/>
    <cellStyle name="Check Cell 7 4 2" xfId="7130"/>
    <cellStyle name="Check Cell 8 2" xfId="7131"/>
    <cellStyle name="Check Cell 8 2 2" xfId="7132"/>
    <cellStyle name="Check Cell 8 3" xfId="7133"/>
    <cellStyle name="Check Cell 8 4" xfId="7134"/>
    <cellStyle name="Check Cell 8 4 2" xfId="7135"/>
    <cellStyle name="Check Cell 9 2" xfId="7136"/>
    <cellStyle name="Check Cell 9 2 2" xfId="7137"/>
    <cellStyle name="Check Cell 9 3" xfId="7138"/>
    <cellStyle name="Check Cell 9 4" xfId="7139"/>
    <cellStyle name="Check Cell 9 4 2" xfId="7140"/>
    <cellStyle name="CHUONG" xfId="7141"/>
    <cellStyle name="CHUONG 2" xfId="7142"/>
    <cellStyle name="CHUONG 3" xfId="7143"/>
    <cellStyle name="CombinedVol_Data" xfId="7144"/>
    <cellStyle name="Comma" xfId="7145" builtinId="3"/>
    <cellStyle name="Comma  - Style1" xfId="7146"/>
    <cellStyle name="Comma  - Style2" xfId="7147"/>
    <cellStyle name="Comma  - Style3" xfId="7148"/>
    <cellStyle name="Comma  - Style4" xfId="7149"/>
    <cellStyle name="Comma  - Style5" xfId="7150"/>
    <cellStyle name="Comma  - Style6" xfId="7151"/>
    <cellStyle name="Comma  - Style7" xfId="7152"/>
    <cellStyle name="Comma  - Style8" xfId="7153"/>
    <cellStyle name="Comma [0] 10" xfId="7154"/>
    <cellStyle name="Comma [0] 10 2" xfId="7155"/>
    <cellStyle name="Comma [0] 11" xfId="7156"/>
    <cellStyle name="Comma [0] 11 2" xfId="7157"/>
    <cellStyle name="Comma [0] 11 3" xfId="7158"/>
    <cellStyle name="Comma [0] 11 4" xfId="7159"/>
    <cellStyle name="Comma [0] 11 5" xfId="7160"/>
    <cellStyle name="Comma [0] 12" xfId="7161"/>
    <cellStyle name="Comma [0] 12 2" xfId="7162"/>
    <cellStyle name="Comma [0] 12 3" xfId="7163"/>
    <cellStyle name="Comma [0] 12 4" xfId="7164"/>
    <cellStyle name="Comma [0] 12 5" xfId="7165"/>
    <cellStyle name="Comma [0] 12 6" xfId="7166"/>
    <cellStyle name="Comma [0] 13" xfId="7167"/>
    <cellStyle name="Comma [0] 13 2" xfId="7168"/>
    <cellStyle name="Comma [0] 13 3" xfId="7169"/>
    <cellStyle name="Comma [0] 13 4" xfId="7170"/>
    <cellStyle name="Comma [0] 13 5" xfId="7171"/>
    <cellStyle name="Comma [0] 13 6" xfId="7172"/>
    <cellStyle name="Comma [0] 14" xfId="7173"/>
    <cellStyle name="Comma [0] 14 2" xfId="7174"/>
    <cellStyle name="Comma [0] 14 2 2" xfId="7175"/>
    <cellStyle name="Comma [0] 14 2 3" xfId="7176"/>
    <cellStyle name="Comma [0] 14 3" xfId="7177"/>
    <cellStyle name="Comma [0] 14 4" xfId="7178"/>
    <cellStyle name="Comma [0] 15" xfId="7179"/>
    <cellStyle name="Comma [0] 16" xfId="7180"/>
    <cellStyle name="Comma [0] 16 2" xfId="7181"/>
    <cellStyle name="Comma [0] 17" xfId="7182"/>
    <cellStyle name="Comma [0] 17 2" xfId="7183"/>
    <cellStyle name="Comma [0] 18" xfId="7184"/>
    <cellStyle name="Comma [0] 18 2" xfId="7185"/>
    <cellStyle name="Comma [0] 19" xfId="7186"/>
    <cellStyle name="Comma [0] 19 2" xfId="7187"/>
    <cellStyle name="Comma [0] 2" xfId="7188"/>
    <cellStyle name="Comma [0] 2 10" xfId="7189"/>
    <cellStyle name="Comma [0] 2 10 10" xfId="7190"/>
    <cellStyle name="Comma [0] 2 10 10 2" xfId="7191"/>
    <cellStyle name="Comma [0] 2 10 11" xfId="7192"/>
    <cellStyle name="Comma [0] 2 10 12" xfId="7193"/>
    <cellStyle name="Comma [0] 2 10 2" xfId="7194"/>
    <cellStyle name="Comma [0] 2 10 2 2" xfId="7195"/>
    <cellStyle name="Comma [0] 2 10 2 2 2" xfId="7196"/>
    <cellStyle name="Comma [0] 2 10 2 2 3" xfId="7197"/>
    <cellStyle name="Comma [0] 2 10 2 2 4" xfId="7198"/>
    <cellStyle name="Comma [0] 2 10 2 3" xfId="7199"/>
    <cellStyle name="Comma [0] 2 10 2 4" xfId="7200"/>
    <cellStyle name="Comma [0] 2 10 2 5" xfId="7201"/>
    <cellStyle name="Comma [0] 2 10 2 6" xfId="7202"/>
    <cellStyle name="Comma [0] 2 10 2 7" xfId="7203"/>
    <cellStyle name="Comma [0] 2 10 2 8" xfId="7204"/>
    <cellStyle name="Comma [0] 2 10 2 9" xfId="7205"/>
    <cellStyle name="Comma [0] 2 10 3" xfId="7206"/>
    <cellStyle name="Comma [0] 2 10 3 2" xfId="7207"/>
    <cellStyle name="Comma [0] 2 10 3 3" xfId="7208"/>
    <cellStyle name="Comma [0] 2 10 3 4" xfId="7209"/>
    <cellStyle name="Comma [0] 2 10 3 5" xfId="7210"/>
    <cellStyle name="Comma [0] 2 10 3 6" xfId="7211"/>
    <cellStyle name="Comma [0] 2 10 3 7" xfId="7212"/>
    <cellStyle name="Comma [0] 2 10 3 8" xfId="7213"/>
    <cellStyle name="Comma [0] 2 10 3 9" xfId="7214"/>
    <cellStyle name="Comma [0] 2 10 4" xfId="7215"/>
    <cellStyle name="Comma [0] 2 10 4 2" xfId="7216"/>
    <cellStyle name="Comma [0] 2 10 4 3" xfId="7217"/>
    <cellStyle name="Comma [0] 2 10 4 4" xfId="7218"/>
    <cellStyle name="Comma [0] 2 10 4 5" xfId="7219"/>
    <cellStyle name="Comma [0] 2 10 5" xfId="7220"/>
    <cellStyle name="Comma [0] 2 10 5 2" xfId="7221"/>
    <cellStyle name="Comma [0] 2 10 5 3" xfId="7222"/>
    <cellStyle name="Comma [0] 2 10 5 4" xfId="7223"/>
    <cellStyle name="Comma [0] 2 10 5 5" xfId="7224"/>
    <cellStyle name="Comma [0] 2 10 5 6" xfId="7225"/>
    <cellStyle name="Comma [0] 2 10 6" xfId="7226"/>
    <cellStyle name="Comma [0] 2 10 6 2" xfId="7227"/>
    <cellStyle name="Comma [0] 2 10 6 3" xfId="7228"/>
    <cellStyle name="Comma [0] 2 10 6 4" xfId="7229"/>
    <cellStyle name="Comma [0] 2 10 6 5" xfId="7230"/>
    <cellStyle name="Comma [0] 2 10 6 6" xfId="7231"/>
    <cellStyle name="Comma [0] 2 10 7" xfId="7232"/>
    <cellStyle name="Comma [0] 2 10 8" xfId="7233"/>
    <cellStyle name="Comma [0] 2 10 8 2" xfId="7234"/>
    <cellStyle name="Comma [0] 2 10 9" xfId="7235"/>
    <cellStyle name="Comma [0] 2 11" xfId="7236"/>
    <cellStyle name="Comma [0] 2 11 10" xfId="7237"/>
    <cellStyle name="Comma [0] 2 11 11" xfId="7238"/>
    <cellStyle name="Comma [0] 2 11 2" xfId="7239"/>
    <cellStyle name="Comma [0] 2 11 2 2" xfId="7240"/>
    <cellStyle name="Comma [0] 2 11 2 3" xfId="7241"/>
    <cellStyle name="Comma [0] 2 11 2 4" xfId="7242"/>
    <cellStyle name="Comma [0] 2 11 2 5" xfId="7243"/>
    <cellStyle name="Comma [0] 2 11 3" xfId="7244"/>
    <cellStyle name="Comma [0] 2 11 3 2" xfId="7245"/>
    <cellStyle name="Comma [0] 2 11 3 3" xfId="7246"/>
    <cellStyle name="Comma [0] 2 11 3 4" xfId="7247"/>
    <cellStyle name="Comma [0] 2 11 3 5" xfId="7248"/>
    <cellStyle name="Comma [0] 2 11 3 6" xfId="7249"/>
    <cellStyle name="Comma [0] 2 11 4" xfId="7250"/>
    <cellStyle name="Comma [0] 2 11 4 2" xfId="7251"/>
    <cellStyle name="Comma [0] 2 11 5" xfId="7252"/>
    <cellStyle name="Comma [0] 2 11 5 2" xfId="7253"/>
    <cellStyle name="Comma [0] 2 11 6" xfId="7254"/>
    <cellStyle name="Comma [0] 2 11 7" xfId="7255"/>
    <cellStyle name="Comma [0] 2 11 7 2" xfId="7256"/>
    <cellStyle name="Comma [0] 2 11 8" xfId="7257"/>
    <cellStyle name="Comma [0] 2 11 8 2" xfId="7258"/>
    <cellStyle name="Comma [0] 2 11 9" xfId="7259"/>
    <cellStyle name="Comma [0] 2 12" xfId="7260"/>
    <cellStyle name="Comma [0] 2 12 10" xfId="7261"/>
    <cellStyle name="Comma [0] 2 12 11" xfId="7262"/>
    <cellStyle name="Comma [0] 2 12 2" xfId="7263"/>
    <cellStyle name="Comma [0] 2 12 2 2" xfId="7264"/>
    <cellStyle name="Comma [0] 2 12 2 3" xfId="7265"/>
    <cellStyle name="Comma [0] 2 12 2 4" xfId="7266"/>
    <cellStyle name="Comma [0] 2 12 2 5" xfId="7267"/>
    <cellStyle name="Comma [0] 2 12 2 6" xfId="7268"/>
    <cellStyle name="Comma [0] 2 12 2 7" xfId="7269"/>
    <cellStyle name="Comma [0] 2 12 2 8" xfId="7270"/>
    <cellStyle name="Comma [0] 2 12 3" xfId="7271"/>
    <cellStyle name="Comma [0] 2 12 3 2" xfId="7272"/>
    <cellStyle name="Comma [0] 2 12 3 3" xfId="7273"/>
    <cellStyle name="Comma [0] 2 12 3 4" xfId="7274"/>
    <cellStyle name="Comma [0] 2 12 3 5" xfId="7275"/>
    <cellStyle name="Comma [0] 2 12 3 6" xfId="7276"/>
    <cellStyle name="Comma [0] 2 12 4" xfId="7277"/>
    <cellStyle name="Comma [0] 2 12 4 2" xfId="7278"/>
    <cellStyle name="Comma [0] 2 12 4 3" xfId="7279"/>
    <cellStyle name="Comma [0] 2 12 4 4" xfId="7280"/>
    <cellStyle name="Comma [0] 2 12 4 5" xfId="7281"/>
    <cellStyle name="Comma [0] 2 12 5" xfId="7282"/>
    <cellStyle name="Comma [0] 2 12 5 2" xfId="7283"/>
    <cellStyle name="Comma [0] 2 12 5 3" xfId="7284"/>
    <cellStyle name="Comma [0] 2 12 5 4" xfId="7285"/>
    <cellStyle name="Comma [0] 2 12 5 5" xfId="7286"/>
    <cellStyle name="Comma [0] 2 12 5 6" xfId="7287"/>
    <cellStyle name="Comma [0] 2 12 6" xfId="7288"/>
    <cellStyle name="Comma [0] 2 12 6 2" xfId="7289"/>
    <cellStyle name="Comma [0] 2 12 7" xfId="7290"/>
    <cellStyle name="Comma [0] 2 12 7 2" xfId="7291"/>
    <cellStyle name="Comma [0] 2 12 8" xfId="7292"/>
    <cellStyle name="Comma [0] 2 12 9" xfId="7293"/>
    <cellStyle name="Comma [0] 2 13" xfId="7294"/>
    <cellStyle name="Comma [0] 2 13 10" xfId="7295"/>
    <cellStyle name="Comma [0] 2 13 11" xfId="7296"/>
    <cellStyle name="Comma [0] 2 13 2" xfId="7297"/>
    <cellStyle name="Comma [0] 2 13 2 2" xfId="7298"/>
    <cellStyle name="Comma [0] 2 13 2 3" xfId="7299"/>
    <cellStyle name="Comma [0] 2 13 2 4" xfId="7300"/>
    <cellStyle name="Comma [0] 2 13 2 5" xfId="7301"/>
    <cellStyle name="Comma [0] 2 13 2 6" xfId="7302"/>
    <cellStyle name="Comma [0] 2 13 2 7" xfId="7303"/>
    <cellStyle name="Comma [0] 2 13 2 8" xfId="7304"/>
    <cellStyle name="Comma [0] 2 13 3" xfId="7305"/>
    <cellStyle name="Comma [0] 2 13 3 2" xfId="7306"/>
    <cellStyle name="Comma [0] 2 13 3 3" xfId="7307"/>
    <cellStyle name="Comma [0] 2 13 3 4" xfId="7308"/>
    <cellStyle name="Comma [0] 2 13 3 5" xfId="7309"/>
    <cellStyle name="Comma [0] 2 13 3 6" xfId="7310"/>
    <cellStyle name="Comma [0] 2 13 4" xfId="7311"/>
    <cellStyle name="Comma [0] 2 13 4 2" xfId="7312"/>
    <cellStyle name="Comma [0] 2 13 4 3" xfId="7313"/>
    <cellStyle name="Comma [0] 2 13 4 4" xfId="7314"/>
    <cellStyle name="Comma [0] 2 13 4 5" xfId="7315"/>
    <cellStyle name="Comma [0] 2 13 4 6" xfId="7316"/>
    <cellStyle name="Comma [0] 2 13 5" xfId="7317"/>
    <cellStyle name="Comma [0] 2 13 5 2" xfId="7318"/>
    <cellStyle name="Comma [0] 2 13 5 3" xfId="7319"/>
    <cellStyle name="Comma [0] 2 13 5 4" xfId="7320"/>
    <cellStyle name="Comma [0] 2 13 5 5" xfId="7321"/>
    <cellStyle name="Comma [0] 2 13 5 6" xfId="7322"/>
    <cellStyle name="Comma [0] 2 13 6" xfId="7323"/>
    <cellStyle name="Comma [0] 2 13 7" xfId="7324"/>
    <cellStyle name="Comma [0] 2 13 8" xfId="7325"/>
    <cellStyle name="Comma [0] 2 13 9" xfId="7326"/>
    <cellStyle name="Comma [0] 2 14" xfId="7327"/>
    <cellStyle name="Comma [0] 2 14 10" xfId="7328"/>
    <cellStyle name="Comma [0] 2 14 11" xfId="7329"/>
    <cellStyle name="Comma [0] 2 14 12" xfId="7330"/>
    <cellStyle name="Comma [0] 2 14 2" xfId="7331"/>
    <cellStyle name="Comma [0] 2 14 2 2" xfId="7332"/>
    <cellStyle name="Comma [0] 2 14 2 3" xfId="7333"/>
    <cellStyle name="Comma [0] 2 14 2 4" xfId="7334"/>
    <cellStyle name="Comma [0] 2 14 2 5" xfId="7335"/>
    <cellStyle name="Comma [0] 2 14 2 6" xfId="7336"/>
    <cellStyle name="Comma [0] 2 14 3" xfId="7337"/>
    <cellStyle name="Comma [0] 2 14 3 2" xfId="7338"/>
    <cellStyle name="Comma [0] 2 14 3 3" xfId="7339"/>
    <cellStyle name="Comma [0] 2 14 3 4" xfId="7340"/>
    <cellStyle name="Comma [0] 2 14 3 5" xfId="7341"/>
    <cellStyle name="Comma [0] 2 14 3 6" xfId="7342"/>
    <cellStyle name="Comma [0] 2 14 4" xfId="7343"/>
    <cellStyle name="Comma [0] 2 14 4 2" xfId="7344"/>
    <cellStyle name="Comma [0] 2 14 4 3" xfId="7345"/>
    <cellStyle name="Comma [0] 2 14 4 4" xfId="7346"/>
    <cellStyle name="Comma [0] 2 14 4 5" xfId="7347"/>
    <cellStyle name="Comma [0] 2 14 5" xfId="7348"/>
    <cellStyle name="Comma [0] 2 14 6" xfId="7349"/>
    <cellStyle name="Comma [0] 2 14 6 2" xfId="7350"/>
    <cellStyle name="Comma [0] 2 14 7" xfId="7351"/>
    <cellStyle name="Comma [0] 2 14 7 2" xfId="7352"/>
    <cellStyle name="Comma [0] 2 14 8" xfId="7353"/>
    <cellStyle name="Comma [0] 2 14 8 2" xfId="7354"/>
    <cellStyle name="Comma [0] 2 14 9" xfId="7355"/>
    <cellStyle name="Comma [0] 2 15" xfId="7356"/>
    <cellStyle name="Comma [0] 2 15 10" xfId="7357"/>
    <cellStyle name="Comma [0] 2 15 11" xfId="7358"/>
    <cellStyle name="Comma [0] 2 15 12" xfId="7359"/>
    <cellStyle name="Comma [0] 2 15 2" xfId="7360"/>
    <cellStyle name="Comma [0] 2 15 2 2" xfId="7361"/>
    <cellStyle name="Comma [0] 2 15 2 3" xfId="7362"/>
    <cellStyle name="Comma [0] 2 15 2 4" xfId="7363"/>
    <cellStyle name="Comma [0] 2 15 2 5" xfId="7364"/>
    <cellStyle name="Comma [0] 2 15 2 6" xfId="7365"/>
    <cellStyle name="Comma [0] 2 15 3" xfId="7366"/>
    <cellStyle name="Comma [0] 2 15 3 2" xfId="7367"/>
    <cellStyle name="Comma [0] 2 15 3 3" xfId="7368"/>
    <cellStyle name="Comma [0] 2 15 3 4" xfId="7369"/>
    <cellStyle name="Comma [0] 2 15 3 5" xfId="7370"/>
    <cellStyle name="Comma [0] 2 15 4" xfId="7371"/>
    <cellStyle name="Comma [0] 2 15 4 2" xfId="7372"/>
    <cellStyle name="Comma [0] 2 15 4 3" xfId="7373"/>
    <cellStyle name="Comma [0] 2 15 4 4" xfId="7374"/>
    <cellStyle name="Comma [0] 2 15 4 5" xfId="7375"/>
    <cellStyle name="Comma [0] 2 15 5" xfId="7376"/>
    <cellStyle name="Comma [0] 2 15 5 2" xfId="7377"/>
    <cellStyle name="Comma [0] 2 15 6" xfId="7378"/>
    <cellStyle name="Comma [0] 2 15 6 2" xfId="7379"/>
    <cellStyle name="Comma [0] 2 15 7" xfId="7380"/>
    <cellStyle name="Comma [0] 2 15 7 2" xfId="7381"/>
    <cellStyle name="Comma [0] 2 15 8" xfId="7382"/>
    <cellStyle name="Comma [0] 2 15 8 2" xfId="7383"/>
    <cellStyle name="Comma [0] 2 15 9" xfId="7384"/>
    <cellStyle name="Comma [0] 2 16" xfId="7385"/>
    <cellStyle name="Comma [0] 2 16 10" xfId="7386"/>
    <cellStyle name="Comma [0] 2 16 11" xfId="7387"/>
    <cellStyle name="Comma [0] 2 16 12" xfId="7388"/>
    <cellStyle name="Comma [0] 2 16 2" xfId="7389"/>
    <cellStyle name="Comma [0] 2 16 3" xfId="7390"/>
    <cellStyle name="Comma [0] 2 16 4" xfId="7391"/>
    <cellStyle name="Comma [0] 2 16 5" xfId="7392"/>
    <cellStyle name="Comma [0] 2 16 5 2" xfId="7393"/>
    <cellStyle name="Comma [0] 2 16 6" xfId="7394"/>
    <cellStyle name="Comma [0] 2 16 6 2" xfId="7395"/>
    <cellStyle name="Comma [0] 2 16 7" xfId="7396"/>
    <cellStyle name="Comma [0] 2 16 7 2" xfId="7397"/>
    <cellStyle name="Comma [0] 2 16 8" xfId="7398"/>
    <cellStyle name="Comma [0] 2 16 8 2" xfId="7399"/>
    <cellStyle name="Comma [0] 2 16 9" xfId="7400"/>
    <cellStyle name="Comma [0] 2 17" xfId="7401"/>
    <cellStyle name="Comma [0] 2 17 10" xfId="7402"/>
    <cellStyle name="Comma [0] 2 17 11" xfId="7403"/>
    <cellStyle name="Comma [0] 2 17 12" xfId="7404"/>
    <cellStyle name="Comma [0] 2 17 2" xfId="7405"/>
    <cellStyle name="Comma [0] 2 17 2 2" xfId="7406"/>
    <cellStyle name="Comma [0] 2 17 3" xfId="7407"/>
    <cellStyle name="Comma [0] 2 17 3 2" xfId="7408"/>
    <cellStyle name="Comma [0] 2 17 4" xfId="7409"/>
    <cellStyle name="Comma [0] 2 17 4 2" xfId="7410"/>
    <cellStyle name="Comma [0] 2 17 5" xfId="7411"/>
    <cellStyle name="Comma [0] 2 17 5 2" xfId="7412"/>
    <cellStyle name="Comma [0] 2 17 6" xfId="7413"/>
    <cellStyle name="Comma [0] 2 17 6 2" xfId="7414"/>
    <cellStyle name="Comma [0] 2 17 7" xfId="7415"/>
    <cellStyle name="Comma [0] 2 17 7 2" xfId="7416"/>
    <cellStyle name="Comma [0] 2 17 8" xfId="7417"/>
    <cellStyle name="Comma [0] 2 17 8 2" xfId="7418"/>
    <cellStyle name="Comma [0] 2 17 9" xfId="7419"/>
    <cellStyle name="Comma [0] 2 18" xfId="7420"/>
    <cellStyle name="Comma [0] 2 18 10" xfId="7421"/>
    <cellStyle name="Comma [0] 2 18 11" xfId="7422"/>
    <cellStyle name="Comma [0] 2 18 12" xfId="7423"/>
    <cellStyle name="Comma [0] 2 18 2" xfId="7424"/>
    <cellStyle name="Comma [0] 2 18 3" xfId="7425"/>
    <cellStyle name="Comma [0] 2 18 4" xfId="7426"/>
    <cellStyle name="Comma [0] 2 18 4 2" xfId="7427"/>
    <cellStyle name="Comma [0] 2 18 5" xfId="7428"/>
    <cellStyle name="Comma [0] 2 18 5 2" xfId="7429"/>
    <cellStyle name="Comma [0] 2 18 6" xfId="7430"/>
    <cellStyle name="Comma [0] 2 18 6 2" xfId="7431"/>
    <cellStyle name="Comma [0] 2 18 7" xfId="7432"/>
    <cellStyle name="Comma [0] 2 18 8" xfId="7433"/>
    <cellStyle name="Comma [0] 2 18 8 2" xfId="7434"/>
    <cellStyle name="Comma [0] 2 18 9" xfId="7435"/>
    <cellStyle name="Comma [0] 2 19" xfId="7436"/>
    <cellStyle name="Comma [0] 2 19 10" xfId="7437"/>
    <cellStyle name="Comma [0] 2 19 11" xfId="7438"/>
    <cellStyle name="Comma [0] 2 19 2" xfId="7439"/>
    <cellStyle name="Comma [0] 2 19 3" xfId="7440"/>
    <cellStyle name="Comma [0] 2 19 4" xfId="7441"/>
    <cellStyle name="Comma [0] 2 19 4 2" xfId="7442"/>
    <cellStyle name="Comma [0] 2 19 5" xfId="7443"/>
    <cellStyle name="Comma [0] 2 19 5 2" xfId="7444"/>
    <cellStyle name="Comma [0] 2 19 6" xfId="7445"/>
    <cellStyle name="Comma [0] 2 19 6 2" xfId="7446"/>
    <cellStyle name="Comma [0] 2 19 7" xfId="7447"/>
    <cellStyle name="Comma [0] 2 19 8" xfId="7448"/>
    <cellStyle name="Comma [0] 2 19 9" xfId="7449"/>
    <cellStyle name="Comma [0] 2 2" xfId="7450"/>
    <cellStyle name="Comma [0] 2 2 10" xfId="7451"/>
    <cellStyle name="Comma [0] 2 2 10 2" xfId="7452"/>
    <cellStyle name="Comma [0] 2 2 10 2 2" xfId="7453"/>
    <cellStyle name="Comma [0] 2 2 10 2 3" xfId="7454"/>
    <cellStyle name="Comma [0] 2 2 10 2 4" xfId="7455"/>
    <cellStyle name="Comma [0] 2 2 10 3" xfId="7456"/>
    <cellStyle name="Comma [0] 2 2 10 4" xfId="7457"/>
    <cellStyle name="Comma [0] 2 2 10 5" xfId="7458"/>
    <cellStyle name="Comma [0] 2 2 10 6" xfId="7459"/>
    <cellStyle name="Comma [0] 2 2 10 7" xfId="7460"/>
    <cellStyle name="Comma [0] 2 2 10 8" xfId="7461"/>
    <cellStyle name="Comma [0] 2 2 10 9" xfId="7462"/>
    <cellStyle name="Comma [0] 2 2 11" xfId="7463"/>
    <cellStyle name="Comma [0] 2 2 11 2" xfId="7464"/>
    <cellStyle name="Comma [0] 2 2 11 3" xfId="7465"/>
    <cellStyle name="Comma [0] 2 2 11 4" xfId="7466"/>
    <cellStyle name="Comma [0] 2 2 11 5" xfId="7467"/>
    <cellStyle name="Comma [0] 2 2 11 6" xfId="7468"/>
    <cellStyle name="Comma [0] 2 2 11 7" xfId="7469"/>
    <cellStyle name="Comma [0] 2 2 11 8" xfId="7470"/>
    <cellStyle name="Comma [0] 2 2 12" xfId="7471"/>
    <cellStyle name="Comma [0] 2 2 12 2" xfId="7472"/>
    <cellStyle name="Comma [0] 2 2 12 3" xfId="7473"/>
    <cellStyle name="Comma [0] 2 2 12 4" xfId="7474"/>
    <cellStyle name="Comma [0] 2 2 12 5" xfId="7475"/>
    <cellStyle name="Comma [0] 2 2 12 6" xfId="7476"/>
    <cellStyle name="Comma [0] 2 2 12 7" xfId="7477"/>
    <cellStyle name="Comma [0] 2 2 12 8" xfId="7478"/>
    <cellStyle name="Comma [0] 2 2 12 9" xfId="7479"/>
    <cellStyle name="Comma [0] 2 2 13" xfId="7480"/>
    <cellStyle name="Comma [0] 2 2 13 2" xfId="7481"/>
    <cellStyle name="Comma [0] 2 2 13 3" xfId="7482"/>
    <cellStyle name="Comma [0] 2 2 13 4" xfId="7483"/>
    <cellStyle name="Comma [0] 2 2 13 5" xfId="7484"/>
    <cellStyle name="Comma [0] 2 2 13 6" xfId="7485"/>
    <cellStyle name="Comma [0] 2 2 13 7" xfId="7486"/>
    <cellStyle name="Comma [0] 2 2 13 8" xfId="7487"/>
    <cellStyle name="Comma [0] 2 2 14" xfId="7488"/>
    <cellStyle name="Comma [0] 2 2 14 2" xfId="7489"/>
    <cellStyle name="Comma [0] 2 2 14 3" xfId="7490"/>
    <cellStyle name="Comma [0] 2 2 14 4" xfId="7491"/>
    <cellStyle name="Comma [0] 2 2 14 5" xfId="7492"/>
    <cellStyle name="Comma [0] 2 2 15" xfId="7493"/>
    <cellStyle name="Comma [0] 2 2 15 2" xfId="7494"/>
    <cellStyle name="Comma [0] 2 2 15 3" xfId="7495"/>
    <cellStyle name="Comma [0] 2 2 15 4" xfId="7496"/>
    <cellStyle name="Comma [0] 2 2 15 5" xfId="7497"/>
    <cellStyle name="Comma [0] 2 2 16" xfId="7498"/>
    <cellStyle name="Comma [0] 2 2 17" xfId="7499"/>
    <cellStyle name="Comma [0] 2 2 18" xfId="7500"/>
    <cellStyle name="Comma [0] 2 2 19" xfId="7501"/>
    <cellStyle name="Comma [0] 2 2 2" xfId="7502"/>
    <cellStyle name="Comma [0] 2 2 2 10" xfId="7503"/>
    <cellStyle name="Comma [0] 2 2 2 11" xfId="7504"/>
    <cellStyle name="Comma [0] 2 2 2 12" xfId="7505"/>
    <cellStyle name="Comma [0] 2 2 2 13" xfId="7506"/>
    <cellStyle name="Comma [0] 2 2 2 14" xfId="7507"/>
    <cellStyle name="Comma [0] 2 2 2 15" xfId="7508"/>
    <cellStyle name="Comma [0] 2 2 2 16" xfId="7509"/>
    <cellStyle name="Comma [0] 2 2 2 17" xfId="7510"/>
    <cellStyle name="Comma [0] 2 2 2 18" xfId="7511"/>
    <cellStyle name="Comma [0] 2 2 2 2" xfId="7512"/>
    <cellStyle name="Comma [0] 2 2 2 2 10" xfId="7513"/>
    <cellStyle name="Comma [0] 2 2 2 2 2" xfId="7514"/>
    <cellStyle name="Comma [0] 2 2 2 2 2 2" xfId="7515"/>
    <cellStyle name="Comma [0] 2 2 2 2 2 2 2" xfId="7516"/>
    <cellStyle name="Comma [0] 2 2 2 2 2 2 2 2" xfId="7517"/>
    <cellStyle name="Comma [0] 2 2 2 2 2 2 2 3" xfId="7518"/>
    <cellStyle name="Comma [0] 2 2 2 2 2 2 2 4" xfId="7519"/>
    <cellStyle name="Comma [0] 2 2 2 2 2 2 3" xfId="7520"/>
    <cellStyle name="Comma [0] 2 2 2 2 2 2 4" xfId="7521"/>
    <cellStyle name="Comma [0] 2 2 2 2 2 2 5" xfId="7522"/>
    <cellStyle name="Comma [0] 2 2 2 2 2 3" xfId="7523"/>
    <cellStyle name="Comma [0] 2 2 2 2 2 3 2" xfId="7524"/>
    <cellStyle name="Comma [0] 2 2 2 2 2 3 3" xfId="7525"/>
    <cellStyle name="Comma [0] 2 2 2 2 2 3 4" xfId="7526"/>
    <cellStyle name="Comma [0] 2 2 2 2 2 4" xfId="7527"/>
    <cellStyle name="Comma [0] 2 2 2 2 2 5" xfId="7528"/>
    <cellStyle name="Comma [0] 2 2 2 2 2 6" xfId="7529"/>
    <cellStyle name="Comma [0] 2 2 2 2 3" xfId="7530"/>
    <cellStyle name="Comma [0] 2 2 2 2 3 2" xfId="7531"/>
    <cellStyle name="Comma [0] 2 2 2 2 3 2 2" xfId="7532"/>
    <cellStyle name="Comma [0] 2 2 2 2 3 2 2 2" xfId="7533"/>
    <cellStyle name="Comma [0] 2 2 2 2 3 2 2 3" xfId="7534"/>
    <cellStyle name="Comma [0] 2 2 2 2 3 2 2 4" xfId="7535"/>
    <cellStyle name="Comma [0] 2 2 2 2 3 2 3" xfId="7536"/>
    <cellStyle name="Comma [0] 2 2 2 2 3 2 4" xfId="7537"/>
    <cellStyle name="Comma [0] 2 2 2 2 3 2 5" xfId="7538"/>
    <cellStyle name="Comma [0] 2 2 2 2 3 3" xfId="7539"/>
    <cellStyle name="Comma [0] 2 2 2 2 3 3 2" xfId="7540"/>
    <cellStyle name="Comma [0] 2 2 2 2 3 3 3" xfId="7541"/>
    <cellStyle name="Comma [0] 2 2 2 2 3 3 4" xfId="7542"/>
    <cellStyle name="Comma [0] 2 2 2 2 3 4" xfId="7543"/>
    <cellStyle name="Comma [0] 2 2 2 2 3 5" xfId="7544"/>
    <cellStyle name="Comma [0] 2 2 2 2 3 6" xfId="7545"/>
    <cellStyle name="Comma [0] 2 2 2 2 4" xfId="7546"/>
    <cellStyle name="Comma [0] 2 2 2 2 4 2" xfId="7547"/>
    <cellStyle name="Comma [0] 2 2 2 2 4 2 2" xfId="7548"/>
    <cellStyle name="Comma [0] 2 2 2 2 4 2 3" xfId="7549"/>
    <cellStyle name="Comma [0] 2 2 2 2 4 2 4" xfId="7550"/>
    <cellStyle name="Comma [0] 2 2 2 2 4 3" xfId="7551"/>
    <cellStyle name="Comma [0] 2 2 2 2 4 4" xfId="7552"/>
    <cellStyle name="Comma [0] 2 2 2 2 4 5" xfId="7553"/>
    <cellStyle name="Comma [0] 2 2 2 2 5" xfId="7554"/>
    <cellStyle name="Comma [0] 2 2 2 2 5 2" xfId="7555"/>
    <cellStyle name="Comma [0] 2 2 2 2 5 2 2" xfId="7556"/>
    <cellStyle name="Comma [0] 2 2 2 2 5 2 3" xfId="7557"/>
    <cellStyle name="Comma [0] 2 2 2 2 5 2 4" xfId="7558"/>
    <cellStyle name="Comma [0] 2 2 2 2 5 3" xfId="7559"/>
    <cellStyle name="Comma [0] 2 2 2 2 5 4" xfId="7560"/>
    <cellStyle name="Comma [0] 2 2 2 2 5 5" xfId="7561"/>
    <cellStyle name="Comma [0] 2 2 2 2 6" xfId="7562"/>
    <cellStyle name="Comma [0] 2 2 2 2 6 2" xfId="7563"/>
    <cellStyle name="Comma [0] 2 2 2 2 6 3" xfId="7564"/>
    <cellStyle name="Comma [0] 2 2 2 2 6 4" xfId="7565"/>
    <cellStyle name="Comma [0] 2 2 2 2 7" xfId="7566"/>
    <cellStyle name="Comma [0] 2 2 2 2 7 2" xfId="7567"/>
    <cellStyle name="Comma [0] 2 2 2 2 7 3" xfId="7568"/>
    <cellStyle name="Comma [0] 2 2 2 2 7 4" xfId="7569"/>
    <cellStyle name="Comma [0] 2 2 2 2 8" xfId="7570"/>
    <cellStyle name="Comma [0] 2 2 2 2 9" xfId="7571"/>
    <cellStyle name="Comma [0] 2 2 2 3" xfId="7572"/>
    <cellStyle name="Comma [0] 2 2 2 4" xfId="7573"/>
    <cellStyle name="Comma [0] 2 2 2 4 2" xfId="7574"/>
    <cellStyle name="Comma [0] 2 2 2 4 2 2" xfId="7575"/>
    <cellStyle name="Comma [0] 2 2 2 4 2 2 2" xfId="7576"/>
    <cellStyle name="Comma [0] 2 2 2 4 2 2 3" xfId="7577"/>
    <cellStyle name="Comma [0] 2 2 2 4 2 2 4" xfId="7578"/>
    <cellStyle name="Comma [0] 2 2 2 4 2 3" xfId="7579"/>
    <cellStyle name="Comma [0] 2 2 2 4 2 4" xfId="7580"/>
    <cellStyle name="Comma [0] 2 2 2 4 2 5" xfId="7581"/>
    <cellStyle name="Comma [0] 2 2 2 4 3" xfId="7582"/>
    <cellStyle name="Comma [0] 2 2 2 4 3 2" xfId="7583"/>
    <cellStyle name="Comma [0] 2 2 2 4 3 3" xfId="7584"/>
    <cellStyle name="Comma [0] 2 2 2 4 3 4" xfId="7585"/>
    <cellStyle name="Comma [0] 2 2 2 4 4" xfId="7586"/>
    <cellStyle name="Comma [0] 2 2 2 4 5" xfId="7587"/>
    <cellStyle name="Comma [0] 2 2 2 4 6" xfId="7588"/>
    <cellStyle name="Comma [0] 2 2 2 5" xfId="7589"/>
    <cellStyle name="Comma [0] 2 2 2 5 2" xfId="7590"/>
    <cellStyle name="Comma [0] 2 2 2 5 2 2" xfId="7591"/>
    <cellStyle name="Comma [0] 2 2 2 5 2 2 2" xfId="7592"/>
    <cellStyle name="Comma [0] 2 2 2 5 2 2 3" xfId="7593"/>
    <cellStyle name="Comma [0] 2 2 2 5 2 2 4" xfId="7594"/>
    <cellStyle name="Comma [0] 2 2 2 5 2 3" xfId="7595"/>
    <cellStyle name="Comma [0] 2 2 2 5 2 4" xfId="7596"/>
    <cellStyle name="Comma [0] 2 2 2 5 2 5" xfId="7597"/>
    <cellStyle name="Comma [0] 2 2 2 5 3" xfId="7598"/>
    <cellStyle name="Comma [0] 2 2 2 5 3 2" xfId="7599"/>
    <cellStyle name="Comma [0] 2 2 2 5 3 3" xfId="7600"/>
    <cellStyle name="Comma [0] 2 2 2 5 3 4" xfId="7601"/>
    <cellStyle name="Comma [0] 2 2 2 5 4" xfId="7602"/>
    <cellStyle name="Comma [0] 2 2 2 5 5" xfId="7603"/>
    <cellStyle name="Comma [0] 2 2 2 5 6" xfId="7604"/>
    <cellStyle name="Comma [0] 2 2 2 6" xfId="7605"/>
    <cellStyle name="Comma [0] 2 2 2 6 2" xfId="7606"/>
    <cellStyle name="Comma [0] 2 2 2 6 2 2" xfId="7607"/>
    <cellStyle name="Comma [0] 2 2 2 6 2 3" xfId="7608"/>
    <cellStyle name="Comma [0] 2 2 2 6 2 4" xfId="7609"/>
    <cellStyle name="Comma [0] 2 2 2 6 3" xfId="7610"/>
    <cellStyle name="Comma [0] 2 2 2 6 4" xfId="7611"/>
    <cellStyle name="Comma [0] 2 2 2 6 5" xfId="7612"/>
    <cellStyle name="Comma [0] 2 2 2 7" xfId="7613"/>
    <cellStyle name="Comma [0] 2 2 2 7 2" xfId="7614"/>
    <cellStyle name="Comma [0] 2 2 2 7 2 2" xfId="7615"/>
    <cellStyle name="Comma [0] 2 2 2 7 2 3" xfId="7616"/>
    <cellStyle name="Comma [0] 2 2 2 7 2 4" xfId="7617"/>
    <cellStyle name="Comma [0] 2 2 2 7 3" xfId="7618"/>
    <cellStyle name="Comma [0] 2 2 2 7 4" xfId="7619"/>
    <cellStyle name="Comma [0] 2 2 2 7 5" xfId="7620"/>
    <cellStyle name="Comma [0] 2 2 2 8" xfId="7621"/>
    <cellStyle name="Comma [0] 2 2 2 8 2" xfId="7622"/>
    <cellStyle name="Comma [0] 2 2 2 8 3" xfId="7623"/>
    <cellStyle name="Comma [0] 2 2 2 8 4" xfId="7624"/>
    <cellStyle name="Comma [0] 2 2 2 9" xfId="7625"/>
    <cellStyle name="Comma [0] 2 2 2 9 2" xfId="7626"/>
    <cellStyle name="Comma [0] 2 2 2 9 3" xfId="7627"/>
    <cellStyle name="Comma [0] 2 2 2 9 4" xfId="7628"/>
    <cellStyle name="Comma [0] 2 2 20" xfId="7629"/>
    <cellStyle name="Comma [0] 2 2 21" xfId="7630"/>
    <cellStyle name="Comma [0] 2 2 22" xfId="7631"/>
    <cellStyle name="Comma [0] 2 2 23" xfId="7632"/>
    <cellStyle name="Comma [0] 2 2 24" xfId="7633"/>
    <cellStyle name="Comma [0] 2 2 25" xfId="7634"/>
    <cellStyle name="Comma [0] 2 2 3" xfId="7635"/>
    <cellStyle name="Comma [0] 2 2 3 10" xfId="7636"/>
    <cellStyle name="Comma [0] 2 2 3 11" xfId="7637"/>
    <cellStyle name="Comma [0] 2 2 3 12" xfId="7638"/>
    <cellStyle name="Comma [0] 2 2 3 13" xfId="7639"/>
    <cellStyle name="Comma [0] 2 2 3 2" xfId="7640"/>
    <cellStyle name="Comma [0] 2 2 3 2 2" xfId="7641"/>
    <cellStyle name="Comma [0] 2 2 3 3" xfId="7642"/>
    <cellStyle name="Comma [0] 2 2 3 3 2" xfId="7643"/>
    <cellStyle name="Comma [0] 2 2 3 3 2 2" xfId="7644"/>
    <cellStyle name="Comma [0] 2 2 3 3 2 2 2" xfId="7645"/>
    <cellStyle name="Comma [0] 2 2 3 3 2 2 3" xfId="7646"/>
    <cellStyle name="Comma [0] 2 2 3 3 2 2 4" xfId="7647"/>
    <cellStyle name="Comma [0] 2 2 3 3 2 3" xfId="7648"/>
    <cellStyle name="Comma [0] 2 2 3 3 2 4" xfId="7649"/>
    <cellStyle name="Comma [0] 2 2 3 3 2 5" xfId="7650"/>
    <cellStyle name="Comma [0] 2 2 3 3 3" xfId="7651"/>
    <cellStyle name="Comma [0] 2 2 3 3 3 2" xfId="7652"/>
    <cellStyle name="Comma [0] 2 2 3 3 3 3" xfId="7653"/>
    <cellStyle name="Comma [0] 2 2 3 3 3 4" xfId="7654"/>
    <cellStyle name="Comma [0] 2 2 3 3 4" xfId="7655"/>
    <cellStyle name="Comma [0] 2 2 3 3 5" xfId="7656"/>
    <cellStyle name="Comma [0] 2 2 3 3 6" xfId="7657"/>
    <cellStyle name="Comma [0] 2 2 3 4" xfId="7658"/>
    <cellStyle name="Comma [0] 2 2 3 4 2" xfId="7659"/>
    <cellStyle name="Comma [0] 2 2 3 4 2 2" xfId="7660"/>
    <cellStyle name="Comma [0] 2 2 3 4 2 2 2" xfId="7661"/>
    <cellStyle name="Comma [0] 2 2 3 4 2 2 3" xfId="7662"/>
    <cellStyle name="Comma [0] 2 2 3 4 2 2 4" xfId="7663"/>
    <cellStyle name="Comma [0] 2 2 3 4 2 3" xfId="7664"/>
    <cellStyle name="Comma [0] 2 2 3 4 2 4" xfId="7665"/>
    <cellStyle name="Comma [0] 2 2 3 4 2 5" xfId="7666"/>
    <cellStyle name="Comma [0] 2 2 3 4 3" xfId="7667"/>
    <cellStyle name="Comma [0] 2 2 3 4 3 2" xfId="7668"/>
    <cellStyle name="Comma [0] 2 2 3 4 3 3" xfId="7669"/>
    <cellStyle name="Comma [0] 2 2 3 4 3 4" xfId="7670"/>
    <cellStyle name="Comma [0] 2 2 3 4 4" xfId="7671"/>
    <cellStyle name="Comma [0] 2 2 3 4 5" xfId="7672"/>
    <cellStyle name="Comma [0] 2 2 3 4 6" xfId="7673"/>
    <cellStyle name="Comma [0] 2 2 3 5" xfId="7674"/>
    <cellStyle name="Comma [0] 2 2 3 5 2" xfId="7675"/>
    <cellStyle name="Comma [0] 2 2 3 5 2 2" xfId="7676"/>
    <cellStyle name="Comma [0] 2 2 3 5 2 3" xfId="7677"/>
    <cellStyle name="Comma [0] 2 2 3 5 2 4" xfId="7678"/>
    <cellStyle name="Comma [0] 2 2 3 5 3" xfId="7679"/>
    <cellStyle name="Comma [0] 2 2 3 5 4" xfId="7680"/>
    <cellStyle name="Comma [0] 2 2 3 5 5" xfId="7681"/>
    <cellStyle name="Comma [0] 2 2 3 6" xfId="7682"/>
    <cellStyle name="Comma [0] 2 2 3 6 2" xfId="7683"/>
    <cellStyle name="Comma [0] 2 2 3 6 2 2" xfId="7684"/>
    <cellStyle name="Comma [0] 2 2 3 6 2 3" xfId="7685"/>
    <cellStyle name="Comma [0] 2 2 3 6 2 4" xfId="7686"/>
    <cellStyle name="Comma [0] 2 2 3 6 3" xfId="7687"/>
    <cellStyle name="Comma [0] 2 2 3 6 4" xfId="7688"/>
    <cellStyle name="Comma [0] 2 2 3 6 5" xfId="7689"/>
    <cellStyle name="Comma [0] 2 2 3 7" xfId="7690"/>
    <cellStyle name="Comma [0] 2 2 3 7 2" xfId="7691"/>
    <cellStyle name="Comma [0] 2 2 3 7 3" xfId="7692"/>
    <cellStyle name="Comma [0] 2 2 3 7 4" xfId="7693"/>
    <cellStyle name="Comma [0] 2 2 3 8" xfId="7694"/>
    <cellStyle name="Comma [0] 2 2 3 8 2" xfId="7695"/>
    <cellStyle name="Comma [0] 2 2 3 8 3" xfId="7696"/>
    <cellStyle name="Comma [0] 2 2 3 8 4" xfId="7697"/>
    <cellStyle name="Comma [0] 2 2 3 9" xfId="7698"/>
    <cellStyle name="Comma [0] 2 2 4" xfId="7699"/>
    <cellStyle name="Comma [0] 2 2 4 10" xfId="7700"/>
    <cellStyle name="Comma [0] 2 2 4 2" xfId="7701"/>
    <cellStyle name="Comma [0] 2 2 4 2 2" xfId="7702"/>
    <cellStyle name="Comma [0] 2 2 4 2 2 2" xfId="7703"/>
    <cellStyle name="Comma [0] 2 2 4 2 2 2 2" xfId="7704"/>
    <cellStyle name="Comma [0] 2 2 4 2 2 2 3" xfId="7705"/>
    <cellStyle name="Comma [0] 2 2 4 2 2 2 4" xfId="7706"/>
    <cellStyle name="Comma [0] 2 2 4 2 2 3" xfId="7707"/>
    <cellStyle name="Comma [0] 2 2 4 2 2 4" xfId="7708"/>
    <cellStyle name="Comma [0] 2 2 4 2 2 5" xfId="7709"/>
    <cellStyle name="Comma [0] 2 2 4 2 3" xfId="7710"/>
    <cellStyle name="Comma [0] 2 2 4 2 3 2" xfId="7711"/>
    <cellStyle name="Comma [0] 2 2 4 2 3 3" xfId="7712"/>
    <cellStyle name="Comma [0] 2 2 4 2 3 4" xfId="7713"/>
    <cellStyle name="Comma [0] 2 2 4 2 4" xfId="7714"/>
    <cellStyle name="Comma [0] 2 2 4 2 5" xfId="7715"/>
    <cellStyle name="Comma [0] 2 2 4 2 6" xfId="7716"/>
    <cellStyle name="Comma [0] 2 2 4 3" xfId="7717"/>
    <cellStyle name="Comma [0] 2 2 4 3 2" xfId="7718"/>
    <cellStyle name="Comma [0] 2 2 4 3 2 2" xfId="7719"/>
    <cellStyle name="Comma [0] 2 2 4 3 2 2 2" xfId="7720"/>
    <cellStyle name="Comma [0] 2 2 4 3 2 2 3" xfId="7721"/>
    <cellStyle name="Comma [0] 2 2 4 3 2 2 4" xfId="7722"/>
    <cellStyle name="Comma [0] 2 2 4 3 2 3" xfId="7723"/>
    <cellStyle name="Comma [0] 2 2 4 3 2 4" xfId="7724"/>
    <cellStyle name="Comma [0] 2 2 4 3 2 5" xfId="7725"/>
    <cellStyle name="Comma [0] 2 2 4 3 3" xfId="7726"/>
    <cellStyle name="Comma [0] 2 2 4 3 3 2" xfId="7727"/>
    <cellStyle name="Comma [0] 2 2 4 3 3 3" xfId="7728"/>
    <cellStyle name="Comma [0] 2 2 4 3 3 4" xfId="7729"/>
    <cellStyle name="Comma [0] 2 2 4 3 4" xfId="7730"/>
    <cellStyle name="Comma [0] 2 2 4 3 5" xfId="7731"/>
    <cellStyle name="Comma [0] 2 2 4 3 6" xfId="7732"/>
    <cellStyle name="Comma [0] 2 2 4 4" xfId="7733"/>
    <cellStyle name="Comma [0] 2 2 4 4 2" xfId="7734"/>
    <cellStyle name="Comma [0] 2 2 4 4 2 2" xfId="7735"/>
    <cellStyle name="Comma [0] 2 2 4 4 2 3" xfId="7736"/>
    <cellStyle name="Comma [0] 2 2 4 4 2 4" xfId="7737"/>
    <cellStyle name="Comma [0] 2 2 4 4 3" xfId="7738"/>
    <cellStyle name="Comma [0] 2 2 4 4 4" xfId="7739"/>
    <cellStyle name="Comma [0] 2 2 4 4 5" xfId="7740"/>
    <cellStyle name="Comma [0] 2 2 4 5" xfId="7741"/>
    <cellStyle name="Comma [0] 2 2 4 5 2" xfId="7742"/>
    <cellStyle name="Comma [0] 2 2 4 5 2 2" xfId="7743"/>
    <cellStyle name="Comma [0] 2 2 4 5 2 3" xfId="7744"/>
    <cellStyle name="Comma [0] 2 2 4 5 2 4" xfId="7745"/>
    <cellStyle name="Comma [0] 2 2 4 5 3" xfId="7746"/>
    <cellStyle name="Comma [0] 2 2 4 5 4" xfId="7747"/>
    <cellStyle name="Comma [0] 2 2 4 5 5" xfId="7748"/>
    <cellStyle name="Comma [0] 2 2 4 6" xfId="7749"/>
    <cellStyle name="Comma [0] 2 2 4 6 2" xfId="7750"/>
    <cellStyle name="Comma [0] 2 2 4 6 3" xfId="7751"/>
    <cellStyle name="Comma [0] 2 2 4 6 4" xfId="7752"/>
    <cellStyle name="Comma [0] 2 2 4 7" xfId="7753"/>
    <cellStyle name="Comma [0] 2 2 4 7 2" xfId="7754"/>
    <cellStyle name="Comma [0] 2 2 4 7 3" xfId="7755"/>
    <cellStyle name="Comma [0] 2 2 4 7 4" xfId="7756"/>
    <cellStyle name="Comma [0] 2 2 4 8" xfId="7757"/>
    <cellStyle name="Comma [0] 2 2 4 9" xfId="7758"/>
    <cellStyle name="Comma [0] 2 2 5" xfId="7759"/>
    <cellStyle name="Comma [0] 2 2 5 10" xfId="7760"/>
    <cellStyle name="Comma [0] 2 2 5 2" xfId="7761"/>
    <cellStyle name="Comma [0] 2 2 5 2 2" xfId="7762"/>
    <cellStyle name="Comma [0] 2 2 5 2 2 2" xfId="7763"/>
    <cellStyle name="Comma [0] 2 2 5 2 2 2 2" xfId="7764"/>
    <cellStyle name="Comma [0] 2 2 5 2 2 2 3" xfId="7765"/>
    <cellStyle name="Comma [0] 2 2 5 2 2 2 4" xfId="7766"/>
    <cellStyle name="Comma [0] 2 2 5 2 2 3" xfId="7767"/>
    <cellStyle name="Comma [0] 2 2 5 2 2 4" xfId="7768"/>
    <cellStyle name="Comma [0] 2 2 5 2 2 5" xfId="7769"/>
    <cellStyle name="Comma [0] 2 2 5 2 3" xfId="7770"/>
    <cellStyle name="Comma [0] 2 2 5 2 3 2" xfId="7771"/>
    <cellStyle name="Comma [0] 2 2 5 2 3 3" xfId="7772"/>
    <cellStyle name="Comma [0] 2 2 5 2 3 4" xfId="7773"/>
    <cellStyle name="Comma [0] 2 2 5 2 4" xfId="7774"/>
    <cellStyle name="Comma [0] 2 2 5 2 5" xfId="7775"/>
    <cellStyle name="Comma [0] 2 2 5 2 6" xfId="7776"/>
    <cellStyle name="Comma [0] 2 2 5 3" xfId="7777"/>
    <cellStyle name="Comma [0] 2 2 5 3 2" xfId="7778"/>
    <cellStyle name="Comma [0] 2 2 5 3 2 2" xfId="7779"/>
    <cellStyle name="Comma [0] 2 2 5 3 2 2 2" xfId="7780"/>
    <cellStyle name="Comma [0] 2 2 5 3 2 2 3" xfId="7781"/>
    <cellStyle name="Comma [0] 2 2 5 3 2 2 4" xfId="7782"/>
    <cellStyle name="Comma [0] 2 2 5 3 2 3" xfId="7783"/>
    <cellStyle name="Comma [0] 2 2 5 3 2 4" xfId="7784"/>
    <cellStyle name="Comma [0] 2 2 5 3 2 5" xfId="7785"/>
    <cellStyle name="Comma [0] 2 2 5 3 3" xfId="7786"/>
    <cellStyle name="Comma [0] 2 2 5 3 3 2" xfId="7787"/>
    <cellStyle name="Comma [0] 2 2 5 3 3 3" xfId="7788"/>
    <cellStyle name="Comma [0] 2 2 5 3 3 3 2" xfId="7789"/>
    <cellStyle name="Comma [0] 2 2 5 3 3 4" xfId="7790"/>
    <cellStyle name="Comma [0] 2 2 5 3 4" xfId="7791"/>
    <cellStyle name="Comma [0] 2 2 5 3 5" xfId="7792"/>
    <cellStyle name="Comma [0] 2 2 5 3 6" xfId="7793"/>
    <cellStyle name="Comma [0] 2 2 5 4" xfId="7794"/>
    <cellStyle name="Comma [0] 2 2 5 4 2" xfId="7795"/>
    <cellStyle name="Comma [0] 2 2 5 4 2 2" xfId="7796"/>
    <cellStyle name="Comma [0] 2 2 5 4 2 3" xfId="7797"/>
    <cellStyle name="Comma [0] 2 2 5 4 2 4" xfId="7798"/>
    <cellStyle name="Comma [0] 2 2 5 4 3" xfId="7799"/>
    <cellStyle name="Comma [0] 2 2 5 4 4" xfId="7800"/>
    <cellStyle name="Comma [0] 2 2 5 4 5" xfId="7801"/>
    <cellStyle name="Comma [0] 2 2 5 5" xfId="7802"/>
    <cellStyle name="Comma [0] 2 2 5 5 2" xfId="7803"/>
    <cellStyle name="Comma [0] 2 2 5 5 2 2" xfId="7804"/>
    <cellStyle name="Comma [0] 2 2 5 5 2 3" xfId="7805"/>
    <cellStyle name="Comma [0] 2 2 5 5 2 4" xfId="7806"/>
    <cellStyle name="Comma [0] 2 2 5 5 3" xfId="7807"/>
    <cellStyle name="Comma [0] 2 2 5 5 4" xfId="7808"/>
    <cellStyle name="Comma [0] 2 2 5 5 5" xfId="7809"/>
    <cellStyle name="Comma [0] 2 2 5 6" xfId="7810"/>
    <cellStyle name="Comma [0] 2 2 5 6 2" xfId="7811"/>
    <cellStyle name="Comma [0] 2 2 5 6 3" xfId="7812"/>
    <cellStyle name="Comma [0] 2 2 5 6 4" xfId="7813"/>
    <cellStyle name="Comma [0] 2 2 5 7" xfId="7814"/>
    <cellStyle name="Comma [0] 2 2 5 7 2" xfId="7815"/>
    <cellStyle name="Comma [0] 2 2 5 7 3" xfId="7816"/>
    <cellStyle name="Comma [0] 2 2 5 7 4" xfId="7817"/>
    <cellStyle name="Comma [0] 2 2 5 8" xfId="7818"/>
    <cellStyle name="Comma [0] 2 2 5 9" xfId="7819"/>
    <cellStyle name="Comma [0] 2 2 6" xfId="7820"/>
    <cellStyle name="Comma [0] 2 2 6 2" xfId="7821"/>
    <cellStyle name="Comma [0] 2 2 6 3" xfId="7822"/>
    <cellStyle name="Comma [0] 2 2 6 4" xfId="7823"/>
    <cellStyle name="Comma [0] 2 2 6 5" xfId="7824"/>
    <cellStyle name="Comma [0] 2 2 6 6" xfId="7825"/>
    <cellStyle name="Comma [0] 2 2 7" xfId="7826"/>
    <cellStyle name="Comma [0] 2 2 7 2" xfId="7827"/>
    <cellStyle name="Comma [0] 2 2 7 2 2" xfId="7828"/>
    <cellStyle name="Comma [0] 2 2 7 2 2 2" xfId="7829"/>
    <cellStyle name="Comma [0] 2 2 7 2 2 3" xfId="7830"/>
    <cellStyle name="Comma [0] 2 2 7 2 2 4" xfId="7831"/>
    <cellStyle name="Comma [0] 2 2 7 2 3" xfId="7832"/>
    <cellStyle name="Comma [0] 2 2 7 2 4" xfId="7833"/>
    <cellStyle name="Comma [0] 2 2 7 2 5" xfId="7834"/>
    <cellStyle name="Comma [0] 2 2 7 3" xfId="7835"/>
    <cellStyle name="Comma [0] 2 2 7 3 2" xfId="7836"/>
    <cellStyle name="Comma [0] 2 2 7 3 3" xfId="7837"/>
    <cellStyle name="Comma [0] 2 2 7 3 4" xfId="7838"/>
    <cellStyle name="Comma [0] 2 2 7 4" xfId="7839"/>
    <cellStyle name="Comma [0] 2 2 7 5" xfId="7840"/>
    <cellStyle name="Comma [0] 2 2 7 6" xfId="7841"/>
    <cellStyle name="Comma [0] 2 2 8" xfId="7842"/>
    <cellStyle name="Comma [0] 2 2 8 10" xfId="7843"/>
    <cellStyle name="Comma [0] 2 2 8 10 2" xfId="7844"/>
    <cellStyle name="Comma [0] 2 2 8 11" xfId="7845"/>
    <cellStyle name="Comma [0] 2 2 8 11 2" xfId="7846"/>
    <cellStyle name="Comma [0] 2 2 8 11 3" xfId="7847"/>
    <cellStyle name="Comma [0] 2 2 8 2" xfId="7848"/>
    <cellStyle name="Comma [0] 2 2 8 2 2" xfId="7849"/>
    <cellStyle name="Comma [0] 2 2 8 2 2 2" xfId="7850"/>
    <cellStyle name="Comma [0] 2 2 8 2 2 3" xfId="7851"/>
    <cellStyle name="Comma [0] 2 2 8 2 2 4" xfId="7852"/>
    <cellStyle name="Comma [0] 2 2 8 2 3" xfId="7853"/>
    <cellStyle name="Comma [0] 2 2 8 2 4" xfId="7854"/>
    <cellStyle name="Comma [0] 2 2 8 2 5" xfId="7855"/>
    <cellStyle name="Comma [0] 2 2 8 3" xfId="7856"/>
    <cellStyle name="Comma [0] 2 2 8 3 2" xfId="7857"/>
    <cellStyle name="Comma [0] 2 2 8 3 3" xfId="7858"/>
    <cellStyle name="Comma [0] 2 2 8 3 4" xfId="7859"/>
    <cellStyle name="Comma [0] 2 2 8 3 5" xfId="7860"/>
    <cellStyle name="Comma [0] 2 2 8 4" xfId="7861"/>
    <cellStyle name="Comma [0] 2 2 8 4 2" xfId="7862"/>
    <cellStyle name="Comma [0] 2 2 8 5" xfId="7863"/>
    <cellStyle name="Comma [0] 2 2 8 5 2" xfId="7864"/>
    <cellStyle name="Comma [0] 2 2 8 5 3" xfId="7865"/>
    <cellStyle name="Comma [0] 2 2 8 5 4" xfId="7866"/>
    <cellStyle name="Comma [0] 2 2 8 5 5" xfId="7867"/>
    <cellStyle name="Comma [0] 2 2 8 5 6" xfId="7868"/>
    <cellStyle name="Comma [0] 2 2 8 6" xfId="7869"/>
    <cellStyle name="Comma [0] 2 2 8 6 2" xfId="7870"/>
    <cellStyle name="Comma [0] 2 2 8 6 3" xfId="7871"/>
    <cellStyle name="Comma [0] 2 2 8 6 4" xfId="7872"/>
    <cellStyle name="Comma [0] 2 2 8 6 5" xfId="7873"/>
    <cellStyle name="Comma [0] 2 2 8 6 6" xfId="7874"/>
    <cellStyle name="Comma [0] 2 2 8 7" xfId="7875"/>
    <cellStyle name="Comma [0] 2 2 8 7 2" xfId="7876"/>
    <cellStyle name="Comma [0] 2 2 8 7 3" xfId="7877"/>
    <cellStyle name="Comma [0] 2 2 8 7 4" xfId="7878"/>
    <cellStyle name="Comma [0] 2 2 8 7 5" xfId="7879"/>
    <cellStyle name="Comma [0] 2 2 8 7 6" xfId="7880"/>
    <cellStyle name="Comma [0] 2 2 8 7 7" xfId="7881"/>
    <cellStyle name="Comma [0] 2 2 8 8" xfId="7882"/>
    <cellStyle name="Comma [0] 2 2 8 8 2" xfId="7883"/>
    <cellStyle name="Comma [0] 2 2 8 9" xfId="7884"/>
    <cellStyle name="Comma [0] 2 2 8 9 2" xfId="7885"/>
    <cellStyle name="Comma [0] 2 2 9" xfId="7886"/>
    <cellStyle name="Comma [0] 2 2 9 2" xfId="7887"/>
    <cellStyle name="Comma [0] 2 2 9 2 2" xfId="7888"/>
    <cellStyle name="Comma [0] 2 2 9 2 3" xfId="7889"/>
    <cellStyle name="Comma [0] 2 2 9 2 4" xfId="7890"/>
    <cellStyle name="Comma [0] 2 2 9 3" xfId="7891"/>
    <cellStyle name="Comma [0] 2 2 9 4" xfId="7892"/>
    <cellStyle name="Comma [0] 2 2 9 5" xfId="7893"/>
    <cellStyle name="Comma [0] 2 2 9 6" xfId="7894"/>
    <cellStyle name="Comma [0] 2 2 9 7" xfId="7895"/>
    <cellStyle name="Comma [0] 2 2 9 8" xfId="7896"/>
    <cellStyle name="Comma [0] 2 2 9 9" xfId="7897"/>
    <cellStyle name="Comma [0] 2 20" xfId="7898"/>
    <cellStyle name="Comma [0] 2 20 10" xfId="7899"/>
    <cellStyle name="Comma [0] 2 20 11" xfId="7900"/>
    <cellStyle name="Comma [0] 2 20 12" xfId="7901"/>
    <cellStyle name="Comma [0] 2 20 2" xfId="7902"/>
    <cellStyle name="Comma [0] 2 20 2 2" xfId="7903"/>
    <cellStyle name="Comma [0] 2 20 3" xfId="7904"/>
    <cellStyle name="Comma [0] 2 20 4" xfId="7905"/>
    <cellStyle name="Comma [0] 2 20 5" xfId="7906"/>
    <cellStyle name="Comma [0] 2 20 5 2" xfId="7907"/>
    <cellStyle name="Comma [0] 2 20 6" xfId="7908"/>
    <cellStyle name="Comma [0] 2 20 6 2" xfId="7909"/>
    <cellStyle name="Comma [0] 2 20 7" xfId="7910"/>
    <cellStyle name="Comma [0] 2 20 7 2" xfId="7911"/>
    <cellStyle name="Comma [0] 2 20 8" xfId="7912"/>
    <cellStyle name="Comma [0] 2 20 8 2" xfId="7913"/>
    <cellStyle name="Comma [0] 2 20 9" xfId="7914"/>
    <cellStyle name="Comma [0] 2 21" xfId="7915"/>
    <cellStyle name="Comma [0] 2 21 2" xfId="7916"/>
    <cellStyle name="Comma [0] 2 21 3" xfId="7917"/>
    <cellStyle name="Comma [0] 2 21 4" xfId="7918"/>
    <cellStyle name="Comma [0] 2 21 5" xfId="7919"/>
    <cellStyle name="Comma [0] 2 21 5 2" xfId="7920"/>
    <cellStyle name="Comma [0] 2 21 6" xfId="7921"/>
    <cellStyle name="Comma [0] 2 21 6 2" xfId="7922"/>
    <cellStyle name="Comma [0] 2 21 7" xfId="7923"/>
    <cellStyle name="Comma [0] 2 21 7 2" xfId="7924"/>
    <cellStyle name="Comma [0] 2 21 8" xfId="7925"/>
    <cellStyle name="Comma [0] 2 21 8 2" xfId="7926"/>
    <cellStyle name="Comma [0] 2 22" xfId="7927"/>
    <cellStyle name="Comma [0] 2 22 2" xfId="7928"/>
    <cellStyle name="Comma [0] 2 22 2 2" xfId="7929"/>
    <cellStyle name="Comma [0] 2 22 3" xfId="7930"/>
    <cellStyle name="Comma [0] 2 22 3 2" xfId="7931"/>
    <cellStyle name="Comma [0] 2 22 4" xfId="7932"/>
    <cellStyle name="Comma [0] 2 22 4 2" xfId="7933"/>
    <cellStyle name="Comma [0] 2 22 5" xfId="7934"/>
    <cellStyle name="Comma [0] 2 22 5 2" xfId="7935"/>
    <cellStyle name="Comma [0] 2 22 6" xfId="7936"/>
    <cellStyle name="Comma [0] 2 22 6 2" xfId="7937"/>
    <cellStyle name="Comma [0] 2 22 7" xfId="7938"/>
    <cellStyle name="Comma [0] 2 22 7 2" xfId="7939"/>
    <cellStyle name="Comma [0] 2 22 8" xfId="7940"/>
    <cellStyle name="Comma [0] 2 22 8 2" xfId="7941"/>
    <cellStyle name="Comma [0] 2 22 9" xfId="7942"/>
    <cellStyle name="Comma [0] 2 23" xfId="7943"/>
    <cellStyle name="Comma [0] 2 23 2" xfId="7944"/>
    <cellStyle name="Comma [0] 2 23 3" xfId="7945"/>
    <cellStyle name="Comma [0] 2 23 4" xfId="7946"/>
    <cellStyle name="Comma [0] 2 23 4 2" xfId="7947"/>
    <cellStyle name="Comma [0] 2 23 5" xfId="7948"/>
    <cellStyle name="Comma [0] 2 23 5 2" xfId="7949"/>
    <cellStyle name="Comma [0] 2 23 6" xfId="7950"/>
    <cellStyle name="Comma [0] 2 23 6 2" xfId="7951"/>
    <cellStyle name="Comma [0] 2 23 7" xfId="7952"/>
    <cellStyle name="Comma [0] 2 23 8" xfId="7953"/>
    <cellStyle name="Comma [0] 2 23 8 2" xfId="7954"/>
    <cellStyle name="Comma [0] 2 24" xfId="7955"/>
    <cellStyle name="Comma [0] 2 24 2" xfId="7956"/>
    <cellStyle name="Comma [0] 2 24 3" xfId="7957"/>
    <cellStyle name="Comma [0] 2 24 4" xfId="7958"/>
    <cellStyle name="Comma [0] 2 24 4 2" xfId="7959"/>
    <cellStyle name="Comma [0] 2 24 5" xfId="7960"/>
    <cellStyle name="Comma [0] 2 24 5 2" xfId="7961"/>
    <cellStyle name="Comma [0] 2 24 6" xfId="7962"/>
    <cellStyle name="Comma [0] 2 24 6 2" xfId="7963"/>
    <cellStyle name="Comma [0] 2 24 7" xfId="7964"/>
    <cellStyle name="Comma [0] 2 24 8" xfId="7965"/>
    <cellStyle name="Comma [0] 2 25" xfId="7966"/>
    <cellStyle name="Comma [0] 2 25 2" xfId="7967"/>
    <cellStyle name="Comma [0] 2 25 2 2" xfId="7968"/>
    <cellStyle name="Comma [0] 2 25 3" xfId="7969"/>
    <cellStyle name="Comma [0] 2 25 3 2" xfId="7970"/>
    <cellStyle name="Comma [0] 2 25 4" xfId="7971"/>
    <cellStyle name="Comma [0] 2 25 4 2" xfId="7972"/>
    <cellStyle name="Comma [0] 2 25 5" xfId="7973"/>
    <cellStyle name="Comma [0] 2 25 5 2" xfId="7974"/>
    <cellStyle name="Comma [0] 2 25 6" xfId="7975"/>
    <cellStyle name="Comma [0] 2 25 6 2" xfId="7976"/>
    <cellStyle name="Comma [0] 2 25 7" xfId="7977"/>
    <cellStyle name="Comma [0] 2 25 7 2" xfId="7978"/>
    <cellStyle name="Comma [0] 2 25 8" xfId="7979"/>
    <cellStyle name="Comma [0] 2 25 8 2" xfId="7980"/>
    <cellStyle name="Comma [0] 2 25 9" xfId="7981"/>
    <cellStyle name="Comma [0] 2 26" xfId="7982"/>
    <cellStyle name="Comma [0] 2 26 2" xfId="7983"/>
    <cellStyle name="Comma [0] 2 26 2 2" xfId="7984"/>
    <cellStyle name="Comma [0] 2 26 3" xfId="7985"/>
    <cellStyle name="Comma [0] 2 26 3 2" xfId="7986"/>
    <cellStyle name="Comma [0] 2 26 4" xfId="7987"/>
    <cellStyle name="Comma [0] 2 26 4 2" xfId="7988"/>
    <cellStyle name="Comma [0] 2 26 5" xfId="7989"/>
    <cellStyle name="Comma [0] 2 26 5 2" xfId="7990"/>
    <cellStyle name="Comma [0] 2 26 6" xfId="7991"/>
    <cellStyle name="Comma [0] 2 26 6 2" xfId="7992"/>
    <cellStyle name="Comma [0] 2 26 7" xfId="7993"/>
    <cellStyle name="Comma [0] 2 26 7 2" xfId="7994"/>
    <cellStyle name="Comma [0] 2 26 8" xfId="7995"/>
    <cellStyle name="Comma [0] 2 26 8 2" xfId="7996"/>
    <cellStyle name="Comma [0] 2 26 9" xfId="7997"/>
    <cellStyle name="Comma [0] 2 27" xfId="7998"/>
    <cellStyle name="Comma [0] 2 27 2" xfId="7999"/>
    <cellStyle name="Comma [0] 2 27 2 2" xfId="8000"/>
    <cellStyle name="Comma [0] 2 27 3" xfId="8001"/>
    <cellStyle name="Comma [0] 2 27 3 2" xfId="8002"/>
    <cellStyle name="Comma [0] 2 27 4" xfId="8003"/>
    <cellStyle name="Comma [0] 2 27 4 2" xfId="8004"/>
    <cellStyle name="Comma [0] 2 27 5" xfId="8005"/>
    <cellStyle name="Comma [0] 2 27 5 2" xfId="8006"/>
    <cellStyle name="Comma [0] 2 27 6" xfId="8007"/>
    <cellStyle name="Comma [0] 2 27 6 2" xfId="8008"/>
    <cellStyle name="Comma [0] 2 27 7" xfId="8009"/>
    <cellStyle name="Comma [0] 2 27 7 2" xfId="8010"/>
    <cellStyle name="Comma [0] 2 27 8" xfId="8011"/>
    <cellStyle name="Comma [0] 2 27 8 2" xfId="8012"/>
    <cellStyle name="Comma [0] 2 27 9" xfId="8013"/>
    <cellStyle name="Comma [0] 2 28" xfId="8014"/>
    <cellStyle name="Comma [0] 2 28 2" xfId="8015"/>
    <cellStyle name="Comma [0] 2 28 2 2" xfId="8016"/>
    <cellStyle name="Comma [0] 2 28 3" xfId="8017"/>
    <cellStyle name="Comma [0] 2 28 3 2" xfId="8018"/>
    <cellStyle name="Comma [0] 2 28 4" xfId="8019"/>
    <cellStyle name="Comma [0] 2 28 4 2" xfId="8020"/>
    <cellStyle name="Comma [0] 2 28 5" xfId="8021"/>
    <cellStyle name="Comma [0] 2 28 5 2" xfId="8022"/>
    <cellStyle name="Comma [0] 2 28 6" xfId="8023"/>
    <cellStyle name="Comma [0] 2 28 6 2" xfId="8024"/>
    <cellStyle name="Comma [0] 2 28 7" xfId="8025"/>
    <cellStyle name="Comma [0] 2 28 7 2" xfId="8026"/>
    <cellStyle name="Comma [0] 2 28 8" xfId="8027"/>
    <cellStyle name="Comma [0] 2 28 8 2" xfId="8028"/>
    <cellStyle name="Comma [0] 2 28 9" xfId="8029"/>
    <cellStyle name="Comma [0] 2 29" xfId="8030"/>
    <cellStyle name="Comma [0] 2 29 2" xfId="8031"/>
    <cellStyle name="Comma [0] 2 29 2 2" xfId="8032"/>
    <cellStyle name="Comma [0] 2 29 3" xfId="8033"/>
    <cellStyle name="Comma [0] 2 29 3 2" xfId="8034"/>
    <cellStyle name="Comma [0] 2 29 4" xfId="8035"/>
    <cellStyle name="Comma [0] 2 29 4 2" xfId="8036"/>
    <cellStyle name="Comma [0] 2 29 5" xfId="8037"/>
    <cellStyle name="Comma [0] 2 29 5 2" xfId="8038"/>
    <cellStyle name="Comma [0] 2 29 6" xfId="8039"/>
    <cellStyle name="Comma [0] 2 29 6 2" xfId="8040"/>
    <cellStyle name="Comma [0] 2 29 7" xfId="8041"/>
    <cellStyle name="Comma [0] 2 29 7 2" xfId="8042"/>
    <cellStyle name="Comma [0] 2 29 8" xfId="8043"/>
    <cellStyle name="Comma [0] 2 29 8 2" xfId="8044"/>
    <cellStyle name="Comma [0] 2 29 9" xfId="8045"/>
    <cellStyle name="Comma [0] 2 3" xfId="8046"/>
    <cellStyle name="Comma [0] 2 3 10" xfId="8047"/>
    <cellStyle name="Comma [0] 2 3 10 2" xfId="8048"/>
    <cellStyle name="Comma [0] 2 3 10 2 2" xfId="8049"/>
    <cellStyle name="Comma [0] 2 3 10 2 3" xfId="8050"/>
    <cellStyle name="Comma [0] 2 3 10 2 4" xfId="8051"/>
    <cellStyle name="Comma [0] 2 3 10 3" xfId="8052"/>
    <cellStyle name="Comma [0] 2 3 10 4" xfId="8053"/>
    <cellStyle name="Comma [0] 2 3 10 5" xfId="8054"/>
    <cellStyle name="Comma [0] 2 3 11" xfId="8055"/>
    <cellStyle name="Comma [0] 2 3 11 2" xfId="8056"/>
    <cellStyle name="Comma [0] 2 3 11 3" xfId="8057"/>
    <cellStyle name="Comma [0] 2 3 11 4" xfId="8058"/>
    <cellStyle name="Comma [0] 2 3 12" xfId="8059"/>
    <cellStyle name="Comma [0] 2 3 12 2" xfId="8060"/>
    <cellStyle name="Comma [0] 2 3 12 3" xfId="8061"/>
    <cellStyle name="Comma [0] 2 3 12 4" xfId="8062"/>
    <cellStyle name="Comma [0] 2 3 13" xfId="8063"/>
    <cellStyle name="Comma [0] 2 3 14" xfId="8064"/>
    <cellStyle name="Comma [0] 2 3 15" xfId="8065"/>
    <cellStyle name="Comma [0] 2 3 16" xfId="8066"/>
    <cellStyle name="Comma [0] 2 3 17" xfId="8067"/>
    <cellStyle name="Comma [0] 2 3 18" xfId="8068"/>
    <cellStyle name="Comma [0] 2 3 19" xfId="8069"/>
    <cellStyle name="Comma [0] 2 3 2" xfId="8070"/>
    <cellStyle name="Comma [0] 2 3 2 10" xfId="8071"/>
    <cellStyle name="Comma [0] 2 3 2 11" xfId="8072"/>
    <cellStyle name="Comma [0] 2 3 2 12" xfId="8073"/>
    <cellStyle name="Comma [0] 2 3 2 13" xfId="8074"/>
    <cellStyle name="Comma [0] 2 3 2 14" xfId="8075"/>
    <cellStyle name="Comma [0] 2 3 2 15" xfId="8076"/>
    <cellStyle name="Comma [0] 2 3 2 16" xfId="8077"/>
    <cellStyle name="Comma [0] 2 3 2 17" xfId="8078"/>
    <cellStyle name="Comma [0] 2 3 2 18" xfId="8079"/>
    <cellStyle name="Comma [0] 2 3 2 19" xfId="8080"/>
    <cellStyle name="Comma [0] 2 3 2 2" xfId="8081"/>
    <cellStyle name="Comma [0] 2 3 2 2 2" xfId="8082"/>
    <cellStyle name="Comma [0] 2 3 2 20" xfId="8083"/>
    <cellStyle name="Comma [0] 2 3 2 21" xfId="8084"/>
    <cellStyle name="Comma [0] 2 3 2 3" xfId="8085"/>
    <cellStyle name="Comma [0] 2 3 2 3 2" xfId="8086"/>
    <cellStyle name="Comma [0] 2 3 2 3 2 2" xfId="8087"/>
    <cellStyle name="Comma [0] 2 3 2 3 2 2 2" xfId="8088"/>
    <cellStyle name="Comma [0] 2 3 2 3 2 2 3" xfId="8089"/>
    <cellStyle name="Comma [0] 2 3 2 3 2 2 4" xfId="8090"/>
    <cellStyle name="Comma [0] 2 3 2 3 2 3" xfId="8091"/>
    <cellStyle name="Comma [0] 2 3 2 3 2 4" xfId="8092"/>
    <cellStyle name="Comma [0] 2 3 2 3 2 5" xfId="8093"/>
    <cellStyle name="Comma [0] 2 3 2 3 3" xfId="8094"/>
    <cellStyle name="Comma [0] 2 3 2 3 3 2" xfId="8095"/>
    <cellStyle name="Comma [0] 2 3 2 3 3 3" xfId="8096"/>
    <cellStyle name="Comma [0] 2 3 2 3 3 4" xfId="8097"/>
    <cellStyle name="Comma [0] 2 3 2 3 4" xfId="8098"/>
    <cellStyle name="Comma [0] 2 3 2 3 5" xfId="8099"/>
    <cellStyle name="Comma [0] 2 3 2 3 6" xfId="8100"/>
    <cellStyle name="Comma [0] 2 3 2 3 7" xfId="8101"/>
    <cellStyle name="Comma [0] 2 3 2 4" xfId="8102"/>
    <cellStyle name="Comma [0] 2 3 2 4 2" xfId="8103"/>
    <cellStyle name="Comma [0] 2 3 2 4 2 2" xfId="8104"/>
    <cellStyle name="Comma [0] 2 3 2 4 2 2 2" xfId="8105"/>
    <cellStyle name="Comma [0] 2 3 2 4 2 2 3" xfId="8106"/>
    <cellStyle name="Comma [0] 2 3 2 4 2 2 4" xfId="8107"/>
    <cellStyle name="Comma [0] 2 3 2 4 2 3" xfId="8108"/>
    <cellStyle name="Comma [0] 2 3 2 4 2 4" xfId="8109"/>
    <cellStyle name="Comma [0] 2 3 2 4 2 5" xfId="8110"/>
    <cellStyle name="Comma [0] 2 3 2 4 3" xfId="8111"/>
    <cellStyle name="Comma [0] 2 3 2 4 3 2" xfId="8112"/>
    <cellStyle name="Comma [0] 2 3 2 4 3 3" xfId="8113"/>
    <cellStyle name="Comma [0] 2 3 2 4 3 4" xfId="8114"/>
    <cellStyle name="Comma [0] 2 3 2 4 4" xfId="8115"/>
    <cellStyle name="Comma [0] 2 3 2 4 5" xfId="8116"/>
    <cellStyle name="Comma [0] 2 3 2 4 6" xfId="8117"/>
    <cellStyle name="Comma [0] 2 3 2 4 7" xfId="8118"/>
    <cellStyle name="Comma [0] 2 3 2 4 8" xfId="8119"/>
    <cellStyle name="Comma [0] 2 3 2 5" xfId="8120"/>
    <cellStyle name="Comma [0] 2 3 2 5 2" xfId="8121"/>
    <cellStyle name="Comma [0] 2 3 2 5 2 2" xfId="8122"/>
    <cellStyle name="Comma [0] 2 3 2 5 2 3" xfId="8123"/>
    <cellStyle name="Comma [0] 2 3 2 5 2 4" xfId="8124"/>
    <cellStyle name="Comma [0] 2 3 2 5 3" xfId="8125"/>
    <cellStyle name="Comma [0] 2 3 2 5 4" xfId="8126"/>
    <cellStyle name="Comma [0] 2 3 2 5 5" xfId="8127"/>
    <cellStyle name="Comma [0] 2 3 2 6" xfId="8128"/>
    <cellStyle name="Comma [0] 2 3 2 6 2" xfId="8129"/>
    <cellStyle name="Comma [0] 2 3 2 6 2 2" xfId="8130"/>
    <cellStyle name="Comma [0] 2 3 2 6 2 3" xfId="8131"/>
    <cellStyle name="Comma [0] 2 3 2 6 2 4" xfId="8132"/>
    <cellStyle name="Comma [0] 2 3 2 6 3" xfId="8133"/>
    <cellStyle name="Comma [0] 2 3 2 6 4" xfId="8134"/>
    <cellStyle name="Comma [0] 2 3 2 6 5" xfId="8135"/>
    <cellStyle name="Comma [0] 2 3 2 7" xfId="8136"/>
    <cellStyle name="Comma [0] 2 3 2 7 2" xfId="8137"/>
    <cellStyle name="Comma [0] 2 3 2 7 3" xfId="8138"/>
    <cellStyle name="Comma [0] 2 3 2 7 4" xfId="8139"/>
    <cellStyle name="Comma [0] 2 3 2 8" xfId="8140"/>
    <cellStyle name="Comma [0] 2 3 2 8 2" xfId="8141"/>
    <cellStyle name="Comma [0] 2 3 2 8 3" xfId="8142"/>
    <cellStyle name="Comma [0] 2 3 2 8 4" xfId="8143"/>
    <cellStyle name="Comma [0] 2 3 2 9" xfId="8144"/>
    <cellStyle name="Comma [0] 2 3 20" xfId="8145"/>
    <cellStyle name="Comma [0] 2 3 21" xfId="8146"/>
    <cellStyle name="Comma [0] 2 3 3" xfId="8147"/>
    <cellStyle name="Comma [0] 2 3 3 10" xfId="8148"/>
    <cellStyle name="Comma [0] 2 3 3 11" xfId="8149"/>
    <cellStyle name="Comma [0] 2 3 3 12" xfId="8150"/>
    <cellStyle name="Comma [0] 2 3 3 13" xfId="8151"/>
    <cellStyle name="Comma [0] 2 3 3 14" xfId="8152"/>
    <cellStyle name="Comma [0] 2 3 3 15" xfId="8153"/>
    <cellStyle name="Comma [0] 2 3 3 2" xfId="8154"/>
    <cellStyle name="Comma [0] 2 3 3 3" xfId="8155"/>
    <cellStyle name="Comma [0] 2 3 3 3 2" xfId="8156"/>
    <cellStyle name="Comma [0] 2 3 3 3 2 2" xfId="8157"/>
    <cellStyle name="Comma [0] 2 3 3 3 2 2 2" xfId="8158"/>
    <cellStyle name="Comma [0] 2 3 3 3 2 2 3" xfId="8159"/>
    <cellStyle name="Comma [0] 2 3 3 3 2 2 4" xfId="8160"/>
    <cellStyle name="Comma [0] 2 3 3 3 2 3" xfId="8161"/>
    <cellStyle name="Comma [0] 2 3 3 3 2 4" xfId="8162"/>
    <cellStyle name="Comma [0] 2 3 3 3 2 5" xfId="8163"/>
    <cellStyle name="Comma [0] 2 3 3 3 3" xfId="8164"/>
    <cellStyle name="Comma [0] 2 3 3 3 3 2" xfId="8165"/>
    <cellStyle name="Comma [0] 2 3 3 3 3 3" xfId="8166"/>
    <cellStyle name="Comma [0] 2 3 3 3 3 4" xfId="8167"/>
    <cellStyle name="Comma [0] 2 3 3 3 4" xfId="8168"/>
    <cellStyle name="Comma [0] 2 3 3 3 5" xfId="8169"/>
    <cellStyle name="Comma [0] 2 3 3 3 6" xfId="8170"/>
    <cellStyle name="Comma [0] 2 3 3 4" xfId="8171"/>
    <cellStyle name="Comma [0] 2 3 3 4 2" xfId="8172"/>
    <cellStyle name="Comma [0] 2 3 3 4 2 2" xfId="8173"/>
    <cellStyle name="Comma [0] 2 3 3 4 2 2 2" xfId="8174"/>
    <cellStyle name="Comma [0] 2 3 3 4 2 2 3" xfId="8175"/>
    <cellStyle name="Comma [0] 2 3 3 4 2 2 4" xfId="8176"/>
    <cellStyle name="Comma [0] 2 3 3 4 2 3" xfId="8177"/>
    <cellStyle name="Comma [0] 2 3 3 4 2 4" xfId="8178"/>
    <cellStyle name="Comma [0] 2 3 3 4 2 5" xfId="8179"/>
    <cellStyle name="Comma [0] 2 3 3 4 3" xfId="8180"/>
    <cellStyle name="Comma [0] 2 3 3 4 3 2" xfId="8181"/>
    <cellStyle name="Comma [0] 2 3 3 4 3 3" xfId="8182"/>
    <cellStyle name="Comma [0] 2 3 3 4 3 4" xfId="8183"/>
    <cellStyle name="Comma [0] 2 3 3 4 4" xfId="8184"/>
    <cellStyle name="Comma [0] 2 3 3 4 5" xfId="8185"/>
    <cellStyle name="Comma [0] 2 3 3 4 6" xfId="8186"/>
    <cellStyle name="Comma [0] 2 3 3 5" xfId="8187"/>
    <cellStyle name="Comma [0] 2 3 3 5 2" xfId="8188"/>
    <cellStyle name="Comma [0] 2 3 3 5 2 2" xfId="8189"/>
    <cellStyle name="Comma [0] 2 3 3 5 2 3" xfId="8190"/>
    <cellStyle name="Comma [0] 2 3 3 5 2 4" xfId="8191"/>
    <cellStyle name="Comma [0] 2 3 3 5 3" xfId="8192"/>
    <cellStyle name="Comma [0] 2 3 3 5 4" xfId="8193"/>
    <cellStyle name="Comma [0] 2 3 3 5 5" xfId="8194"/>
    <cellStyle name="Comma [0] 2 3 3 6" xfId="8195"/>
    <cellStyle name="Comma [0] 2 3 3 6 2" xfId="8196"/>
    <cellStyle name="Comma [0] 2 3 3 6 2 2" xfId="8197"/>
    <cellStyle name="Comma [0] 2 3 3 6 2 3" xfId="8198"/>
    <cellStyle name="Comma [0] 2 3 3 6 2 4" xfId="8199"/>
    <cellStyle name="Comma [0] 2 3 3 6 3" xfId="8200"/>
    <cellStyle name="Comma [0] 2 3 3 6 4" xfId="8201"/>
    <cellStyle name="Comma [0] 2 3 3 6 5" xfId="8202"/>
    <cellStyle name="Comma [0] 2 3 3 7" xfId="8203"/>
    <cellStyle name="Comma [0] 2 3 3 7 2" xfId="8204"/>
    <cellStyle name="Comma [0] 2 3 3 7 3" xfId="8205"/>
    <cellStyle name="Comma [0] 2 3 3 7 4" xfId="8206"/>
    <cellStyle name="Comma [0] 2 3 3 8" xfId="8207"/>
    <cellStyle name="Comma [0] 2 3 3 8 2" xfId="8208"/>
    <cellStyle name="Comma [0] 2 3 3 8 3" xfId="8209"/>
    <cellStyle name="Comma [0] 2 3 3 8 4" xfId="8210"/>
    <cellStyle name="Comma [0] 2 3 3 9" xfId="8211"/>
    <cellStyle name="Comma [0] 2 3 4" xfId="8212"/>
    <cellStyle name="Comma [0] 2 3 4 10" xfId="8213"/>
    <cellStyle name="Comma [0] 2 3 4 11" xfId="8214"/>
    <cellStyle name="Comma [0] 2 3 4 12" xfId="8215"/>
    <cellStyle name="Comma [0] 2 3 4 13" xfId="8216"/>
    <cellStyle name="Comma [0] 2 3 4 14" xfId="8217"/>
    <cellStyle name="Comma [0] 2 3 4 2" xfId="8218"/>
    <cellStyle name="Comma [0] 2 3 4 2 2" xfId="8219"/>
    <cellStyle name="Comma [0] 2 3 4 2 2 2" xfId="8220"/>
    <cellStyle name="Comma [0] 2 3 4 2 2 2 2" xfId="8221"/>
    <cellStyle name="Comma [0] 2 3 4 2 2 2 3" xfId="8222"/>
    <cellStyle name="Comma [0] 2 3 4 2 2 2 4" xfId="8223"/>
    <cellStyle name="Comma [0] 2 3 4 2 2 3" xfId="8224"/>
    <cellStyle name="Comma [0] 2 3 4 2 2 4" xfId="8225"/>
    <cellStyle name="Comma [0] 2 3 4 2 2 5" xfId="8226"/>
    <cellStyle name="Comma [0] 2 3 4 2 3" xfId="8227"/>
    <cellStyle name="Comma [0] 2 3 4 2 3 2" xfId="8228"/>
    <cellStyle name="Comma [0] 2 3 4 2 3 3" xfId="8229"/>
    <cellStyle name="Comma [0] 2 3 4 2 3 4" xfId="8230"/>
    <cellStyle name="Comma [0] 2 3 4 2 4" xfId="8231"/>
    <cellStyle name="Comma [0] 2 3 4 2 5" xfId="8232"/>
    <cellStyle name="Comma [0] 2 3 4 2 6" xfId="8233"/>
    <cellStyle name="Comma [0] 2 3 4 3" xfId="8234"/>
    <cellStyle name="Comma [0] 2 3 4 3 2" xfId="8235"/>
    <cellStyle name="Comma [0] 2 3 4 3 2 2" xfId="8236"/>
    <cellStyle name="Comma [0] 2 3 4 3 2 2 2" xfId="8237"/>
    <cellStyle name="Comma [0] 2 3 4 3 2 2 3" xfId="8238"/>
    <cellStyle name="Comma [0] 2 3 4 3 2 2 4" xfId="8239"/>
    <cellStyle name="Comma [0] 2 3 4 3 2 3" xfId="8240"/>
    <cellStyle name="Comma [0] 2 3 4 3 2 4" xfId="8241"/>
    <cellStyle name="Comma [0] 2 3 4 3 2 5" xfId="8242"/>
    <cellStyle name="Comma [0] 2 3 4 3 3" xfId="8243"/>
    <cellStyle name="Comma [0] 2 3 4 3 3 2" xfId="8244"/>
    <cellStyle name="Comma [0] 2 3 4 3 3 3" xfId="8245"/>
    <cellStyle name="Comma [0] 2 3 4 3 3 4" xfId="8246"/>
    <cellStyle name="Comma [0] 2 3 4 3 4" xfId="8247"/>
    <cellStyle name="Comma [0] 2 3 4 3 5" xfId="8248"/>
    <cellStyle name="Comma [0] 2 3 4 3 6" xfId="8249"/>
    <cellStyle name="Comma [0] 2 3 4 4" xfId="8250"/>
    <cellStyle name="Comma [0] 2 3 4 4 2" xfId="8251"/>
    <cellStyle name="Comma [0] 2 3 4 4 2 2" xfId="8252"/>
    <cellStyle name="Comma [0] 2 3 4 4 2 3" xfId="8253"/>
    <cellStyle name="Comma [0] 2 3 4 4 2 4" xfId="8254"/>
    <cellStyle name="Comma [0] 2 3 4 4 3" xfId="8255"/>
    <cellStyle name="Comma [0] 2 3 4 4 4" xfId="8256"/>
    <cellStyle name="Comma [0] 2 3 4 4 5" xfId="8257"/>
    <cellStyle name="Comma [0] 2 3 4 5" xfId="8258"/>
    <cellStyle name="Comma [0] 2 3 4 5 2" xfId="8259"/>
    <cellStyle name="Comma [0] 2 3 4 5 2 2" xfId="8260"/>
    <cellStyle name="Comma [0] 2 3 4 5 2 3" xfId="8261"/>
    <cellStyle name="Comma [0] 2 3 4 5 2 4" xfId="8262"/>
    <cellStyle name="Comma [0] 2 3 4 5 3" xfId="8263"/>
    <cellStyle name="Comma [0] 2 3 4 5 4" xfId="8264"/>
    <cellStyle name="Comma [0] 2 3 4 5 5" xfId="8265"/>
    <cellStyle name="Comma [0] 2 3 4 6" xfId="8266"/>
    <cellStyle name="Comma [0] 2 3 4 6 2" xfId="8267"/>
    <cellStyle name="Comma [0] 2 3 4 6 3" xfId="8268"/>
    <cellStyle name="Comma [0] 2 3 4 6 4" xfId="8269"/>
    <cellStyle name="Comma [0] 2 3 4 7" xfId="8270"/>
    <cellStyle name="Comma [0] 2 3 4 7 2" xfId="8271"/>
    <cellStyle name="Comma [0] 2 3 4 7 3" xfId="8272"/>
    <cellStyle name="Comma [0] 2 3 4 7 4" xfId="8273"/>
    <cellStyle name="Comma [0] 2 3 4 8" xfId="8274"/>
    <cellStyle name="Comma [0] 2 3 4 9" xfId="8275"/>
    <cellStyle name="Comma [0] 2 3 5" xfId="8276"/>
    <cellStyle name="Comma [0] 2 3 5 10" xfId="8277"/>
    <cellStyle name="Comma [0] 2 3 5 11" xfId="8278"/>
    <cellStyle name="Comma [0] 2 3 5 12" xfId="8279"/>
    <cellStyle name="Comma [0] 2 3 5 13" xfId="8280"/>
    <cellStyle name="Comma [0] 2 3 5 14" xfId="8281"/>
    <cellStyle name="Comma [0] 2 3 5 2" xfId="8282"/>
    <cellStyle name="Comma [0] 2 3 5 2 2" xfId="8283"/>
    <cellStyle name="Comma [0] 2 3 5 2 2 2" xfId="8284"/>
    <cellStyle name="Comma [0] 2 3 5 2 2 2 2" xfId="8285"/>
    <cellStyle name="Comma [0] 2 3 5 2 2 2 3" xfId="8286"/>
    <cellStyle name="Comma [0] 2 3 5 2 2 2 4" xfId="8287"/>
    <cellStyle name="Comma [0] 2 3 5 2 2 3" xfId="8288"/>
    <cellStyle name="Comma [0] 2 3 5 2 2 4" xfId="8289"/>
    <cellStyle name="Comma [0] 2 3 5 2 2 5" xfId="8290"/>
    <cellStyle name="Comma [0] 2 3 5 2 3" xfId="8291"/>
    <cellStyle name="Comma [0] 2 3 5 2 3 2" xfId="8292"/>
    <cellStyle name="Comma [0] 2 3 5 2 3 3" xfId="8293"/>
    <cellStyle name="Comma [0] 2 3 5 2 3 4" xfId="8294"/>
    <cellStyle name="Comma [0] 2 3 5 2 4" xfId="8295"/>
    <cellStyle name="Comma [0] 2 3 5 2 5" xfId="8296"/>
    <cellStyle name="Comma [0] 2 3 5 2 6" xfId="8297"/>
    <cellStyle name="Comma [0] 2 3 5 3" xfId="8298"/>
    <cellStyle name="Comma [0] 2 3 5 3 2" xfId="8299"/>
    <cellStyle name="Comma [0] 2 3 5 3 2 2" xfId="8300"/>
    <cellStyle name="Comma [0] 2 3 5 3 2 2 2" xfId="8301"/>
    <cellStyle name="Comma [0] 2 3 5 3 2 2 3" xfId="8302"/>
    <cellStyle name="Comma [0] 2 3 5 3 2 2 4" xfId="8303"/>
    <cellStyle name="Comma [0] 2 3 5 3 2 3" xfId="8304"/>
    <cellStyle name="Comma [0] 2 3 5 3 2 4" xfId="8305"/>
    <cellStyle name="Comma [0] 2 3 5 3 2 5" xfId="8306"/>
    <cellStyle name="Comma [0] 2 3 5 3 3" xfId="8307"/>
    <cellStyle name="Comma [0] 2 3 5 3 3 2" xfId="8308"/>
    <cellStyle name="Comma [0] 2 3 5 3 3 3" xfId="8309"/>
    <cellStyle name="Comma [0] 2 3 5 3 3 4" xfId="8310"/>
    <cellStyle name="Comma [0] 2 3 5 3 4" xfId="8311"/>
    <cellStyle name="Comma [0] 2 3 5 3 5" xfId="8312"/>
    <cellStyle name="Comma [0] 2 3 5 3 6" xfId="8313"/>
    <cellStyle name="Comma [0] 2 3 5 4" xfId="8314"/>
    <cellStyle name="Comma [0] 2 3 5 4 2" xfId="8315"/>
    <cellStyle name="Comma [0] 2 3 5 4 2 2" xfId="8316"/>
    <cellStyle name="Comma [0] 2 3 5 4 2 3" xfId="8317"/>
    <cellStyle name="Comma [0] 2 3 5 4 2 4" xfId="8318"/>
    <cellStyle name="Comma [0] 2 3 5 4 3" xfId="8319"/>
    <cellStyle name="Comma [0] 2 3 5 4 4" xfId="8320"/>
    <cellStyle name="Comma [0] 2 3 5 4 5" xfId="8321"/>
    <cellStyle name="Comma [0] 2 3 5 5" xfId="8322"/>
    <cellStyle name="Comma [0] 2 3 5 5 2" xfId="8323"/>
    <cellStyle name="Comma [0] 2 3 5 5 2 2" xfId="8324"/>
    <cellStyle name="Comma [0] 2 3 5 5 2 3" xfId="8325"/>
    <cellStyle name="Comma [0] 2 3 5 5 2 4" xfId="8326"/>
    <cellStyle name="Comma [0] 2 3 5 5 3" xfId="8327"/>
    <cellStyle name="Comma [0] 2 3 5 5 4" xfId="8328"/>
    <cellStyle name="Comma [0] 2 3 5 5 5" xfId="8329"/>
    <cellStyle name="Comma [0] 2 3 5 6" xfId="8330"/>
    <cellStyle name="Comma [0] 2 3 5 6 2" xfId="8331"/>
    <cellStyle name="Comma [0] 2 3 5 6 3" xfId="8332"/>
    <cellStyle name="Comma [0] 2 3 5 6 4" xfId="8333"/>
    <cellStyle name="Comma [0] 2 3 5 7" xfId="8334"/>
    <cellStyle name="Comma [0] 2 3 5 7 2" xfId="8335"/>
    <cellStyle name="Comma [0] 2 3 5 7 3" xfId="8336"/>
    <cellStyle name="Comma [0] 2 3 5 7 4" xfId="8337"/>
    <cellStyle name="Comma [0] 2 3 5 8" xfId="8338"/>
    <cellStyle name="Comma [0] 2 3 5 9" xfId="8339"/>
    <cellStyle name="Comma [0] 2 3 6" xfId="8340"/>
    <cellStyle name="Comma [0] 2 3 6 2" xfId="8341"/>
    <cellStyle name="Comma [0] 2 3 6 3" xfId="8342"/>
    <cellStyle name="Comma [0] 2 3 6 4" xfId="8343"/>
    <cellStyle name="Comma [0] 2 3 6 5" xfId="8344"/>
    <cellStyle name="Comma [0] 2 3 7" xfId="8345"/>
    <cellStyle name="Comma [0] 2 3 7 10" xfId="8346"/>
    <cellStyle name="Comma [0] 2 3 7 2" xfId="8347"/>
    <cellStyle name="Comma [0] 2 3 7 2 2" xfId="8348"/>
    <cellStyle name="Comma [0] 2 3 7 2 2 2" xfId="8349"/>
    <cellStyle name="Comma [0] 2 3 7 2 2 3" xfId="8350"/>
    <cellStyle name="Comma [0] 2 3 7 2 2 4" xfId="8351"/>
    <cellStyle name="Comma [0] 2 3 7 2 3" xfId="8352"/>
    <cellStyle name="Comma [0] 2 3 7 2 4" xfId="8353"/>
    <cellStyle name="Comma [0] 2 3 7 2 5" xfId="8354"/>
    <cellStyle name="Comma [0] 2 3 7 3" xfId="8355"/>
    <cellStyle name="Comma [0] 2 3 7 3 2" xfId="8356"/>
    <cellStyle name="Comma [0] 2 3 7 3 3" xfId="8357"/>
    <cellStyle name="Comma [0] 2 3 7 3 4" xfId="8358"/>
    <cellStyle name="Comma [0] 2 3 7 4" xfId="8359"/>
    <cellStyle name="Comma [0] 2 3 7 5" xfId="8360"/>
    <cellStyle name="Comma [0] 2 3 7 6" xfId="8361"/>
    <cellStyle name="Comma [0] 2 3 7 7" xfId="8362"/>
    <cellStyle name="Comma [0] 2 3 7 8" xfId="8363"/>
    <cellStyle name="Comma [0] 2 3 7 9" xfId="8364"/>
    <cellStyle name="Comma [0] 2 3 8" xfId="8365"/>
    <cellStyle name="Comma [0] 2 3 8 10" xfId="8366"/>
    <cellStyle name="Comma [0] 2 3 8 2" xfId="8367"/>
    <cellStyle name="Comma [0] 2 3 8 2 2" xfId="8368"/>
    <cellStyle name="Comma [0] 2 3 8 2 2 2" xfId="8369"/>
    <cellStyle name="Comma [0] 2 3 8 2 2 3" xfId="8370"/>
    <cellStyle name="Comma [0] 2 3 8 2 2 4" xfId="8371"/>
    <cellStyle name="Comma [0] 2 3 8 2 3" xfId="8372"/>
    <cellStyle name="Comma [0] 2 3 8 2 4" xfId="8373"/>
    <cellStyle name="Comma [0] 2 3 8 2 5" xfId="8374"/>
    <cellStyle name="Comma [0] 2 3 8 3" xfId="8375"/>
    <cellStyle name="Comma [0] 2 3 8 3 2" xfId="8376"/>
    <cellStyle name="Comma [0] 2 3 8 3 3" xfId="8377"/>
    <cellStyle name="Comma [0] 2 3 8 3 4" xfId="8378"/>
    <cellStyle name="Comma [0] 2 3 8 4" xfId="8379"/>
    <cellStyle name="Comma [0] 2 3 8 5" xfId="8380"/>
    <cellStyle name="Comma [0] 2 3 8 6" xfId="8381"/>
    <cellStyle name="Comma [0] 2 3 8 7" xfId="8382"/>
    <cellStyle name="Comma [0] 2 3 8 8" xfId="8383"/>
    <cellStyle name="Comma [0] 2 3 8 9" xfId="8384"/>
    <cellStyle name="Comma [0] 2 3 9" xfId="8385"/>
    <cellStyle name="Comma [0] 2 3 9 2" xfId="8386"/>
    <cellStyle name="Comma [0] 2 3 9 2 2" xfId="8387"/>
    <cellStyle name="Comma [0] 2 3 9 2 3" xfId="8388"/>
    <cellStyle name="Comma [0] 2 3 9 2 4" xfId="8389"/>
    <cellStyle name="Comma [0] 2 3 9 3" xfId="8390"/>
    <cellStyle name="Comma [0] 2 3 9 4" xfId="8391"/>
    <cellStyle name="Comma [0] 2 3 9 5" xfId="8392"/>
    <cellStyle name="Comma [0] 2 30" xfId="8393"/>
    <cellStyle name="Comma [0] 2 30 2" xfId="8394"/>
    <cellStyle name="Comma [0] 2 30 2 2" xfId="8395"/>
    <cellStyle name="Comma [0] 2 30 3" xfId="8396"/>
    <cellStyle name="Comma [0] 2 30 3 2" xfId="8397"/>
    <cellStyle name="Comma [0] 2 30 4" xfId="8398"/>
    <cellStyle name="Comma [0] 2 30 4 2" xfId="8399"/>
    <cellStyle name="Comma [0] 2 30 5" xfId="8400"/>
    <cellStyle name="Comma [0] 2 30 5 2" xfId="8401"/>
    <cellStyle name="Comma [0] 2 30 6" xfId="8402"/>
    <cellStyle name="Comma [0] 2 30 6 2" xfId="8403"/>
    <cellStyle name="Comma [0] 2 30 7" xfId="8404"/>
    <cellStyle name="Comma [0] 2 30 7 2" xfId="8405"/>
    <cellStyle name="Comma [0] 2 30 8" xfId="8406"/>
    <cellStyle name="Comma [0] 2 30 8 2" xfId="8407"/>
    <cellStyle name="Comma [0] 2 30 9" xfId="8408"/>
    <cellStyle name="Comma [0] 2 31" xfId="8409"/>
    <cellStyle name="Comma [0] 2 31 2" xfId="8410"/>
    <cellStyle name="Comma [0] 2 31 2 2" xfId="8411"/>
    <cellStyle name="Comma [0] 2 31 3" xfId="8412"/>
    <cellStyle name="Comma [0] 2 31 3 2" xfId="8413"/>
    <cellStyle name="Comma [0] 2 31 4" xfId="8414"/>
    <cellStyle name="Comma [0] 2 31 4 2" xfId="8415"/>
    <cellStyle name="Comma [0] 2 31 5" xfId="8416"/>
    <cellStyle name="Comma [0] 2 31 5 2" xfId="8417"/>
    <cellStyle name="Comma [0] 2 31 6" xfId="8418"/>
    <cellStyle name="Comma [0] 2 31 6 2" xfId="8419"/>
    <cellStyle name="Comma [0] 2 31 7" xfId="8420"/>
    <cellStyle name="Comma [0] 2 31 7 2" xfId="8421"/>
    <cellStyle name="Comma [0] 2 31 8" xfId="8422"/>
    <cellStyle name="Comma [0] 2 31 8 2" xfId="8423"/>
    <cellStyle name="Comma [0] 2 31 9" xfId="8424"/>
    <cellStyle name="Comma [0] 2 32" xfId="8425"/>
    <cellStyle name="Comma [0] 2 32 2" xfId="8426"/>
    <cellStyle name="Comma [0] 2 32 2 2" xfId="8427"/>
    <cellStyle name="Comma [0] 2 32 3" xfId="8428"/>
    <cellStyle name="Comma [0] 2 32 3 2" xfId="8429"/>
    <cellStyle name="Comma [0] 2 32 4" xfId="8430"/>
    <cellStyle name="Comma [0] 2 32 4 2" xfId="8431"/>
    <cellStyle name="Comma [0] 2 32 5" xfId="8432"/>
    <cellStyle name="Comma [0] 2 32 5 2" xfId="8433"/>
    <cellStyle name="Comma [0] 2 32 6" xfId="8434"/>
    <cellStyle name="Comma [0] 2 32 6 2" xfId="8435"/>
    <cellStyle name="Comma [0] 2 32 7" xfId="8436"/>
    <cellStyle name="Comma [0] 2 32 7 2" xfId="8437"/>
    <cellStyle name="Comma [0] 2 32 8" xfId="8438"/>
    <cellStyle name="Comma [0] 2 32 8 2" xfId="8439"/>
    <cellStyle name="Comma [0] 2 32 9" xfId="8440"/>
    <cellStyle name="Comma [0] 2 33" xfId="8441"/>
    <cellStyle name="Comma [0] 2 33 2" xfId="8442"/>
    <cellStyle name="Comma [0] 2 33 2 2" xfId="8443"/>
    <cellStyle name="Comma [0] 2 33 3" xfId="8444"/>
    <cellStyle name="Comma [0] 2 33 3 2" xfId="8445"/>
    <cellStyle name="Comma [0] 2 33 4" xfId="8446"/>
    <cellStyle name="Comma [0] 2 33 4 2" xfId="8447"/>
    <cellStyle name="Comma [0] 2 33 5" xfId="8448"/>
    <cellStyle name="Comma [0] 2 33 5 2" xfId="8449"/>
    <cellStyle name="Comma [0] 2 33 6" xfId="8450"/>
    <cellStyle name="Comma [0] 2 33 6 2" xfId="8451"/>
    <cellStyle name="Comma [0] 2 33 7" xfId="8452"/>
    <cellStyle name="Comma [0] 2 33 7 2" xfId="8453"/>
    <cellStyle name="Comma [0] 2 33 8" xfId="8454"/>
    <cellStyle name="Comma [0] 2 33 8 2" xfId="8455"/>
    <cellStyle name="Comma [0] 2 33 9" xfId="8456"/>
    <cellStyle name="Comma [0] 2 34" xfId="8457"/>
    <cellStyle name="Comma [0] 2 34 2" xfId="8458"/>
    <cellStyle name="Comma [0] 2 35" xfId="8459"/>
    <cellStyle name="Comma [0] 2 35 2" xfId="8460"/>
    <cellStyle name="Comma [0] 2 36" xfId="8461"/>
    <cellStyle name="Comma [0] 2 36 2" xfId="8462"/>
    <cellStyle name="Comma [0] 2 37" xfId="8463"/>
    <cellStyle name="Comma [0] 2 37 2" xfId="8464"/>
    <cellStyle name="Comma [0] 2 38" xfId="8465"/>
    <cellStyle name="Comma [0] 2 38 2" xfId="8466"/>
    <cellStyle name="Comma [0] 2 39" xfId="8467"/>
    <cellStyle name="Comma [0] 2 39 2" xfId="8468"/>
    <cellStyle name="Comma [0] 2 4" xfId="8469"/>
    <cellStyle name="Comma [0] 2 4 10" xfId="8470"/>
    <cellStyle name="Comma [0] 2 4 11" xfId="8471"/>
    <cellStyle name="Comma [0] 2 4 12" xfId="8472"/>
    <cellStyle name="Comma [0] 2 4 13" xfId="8473"/>
    <cellStyle name="Comma [0] 2 4 14" xfId="8474"/>
    <cellStyle name="Comma [0] 2 4 15" xfId="8475"/>
    <cellStyle name="Comma [0] 2 4 16" xfId="8476"/>
    <cellStyle name="Comma [0] 2 4 17" xfId="8477"/>
    <cellStyle name="Comma [0] 2 4 18" xfId="8478"/>
    <cellStyle name="Comma [0] 2 4 19" xfId="8479"/>
    <cellStyle name="Comma [0] 2 4 2" xfId="8480"/>
    <cellStyle name="Comma [0] 2 4 2 2" xfId="8481"/>
    <cellStyle name="Comma [0] 2 4 2 3" xfId="8482"/>
    <cellStyle name="Comma [0] 2 4 2 4" xfId="8483"/>
    <cellStyle name="Comma [0] 2 4 2 5" xfId="8484"/>
    <cellStyle name="Comma [0] 2 4 2 6" xfId="8485"/>
    <cellStyle name="Comma [0] 2 4 3" xfId="8486"/>
    <cellStyle name="Comma [0] 2 4 3 10" xfId="8487"/>
    <cellStyle name="Comma [0] 2 4 3 2" xfId="8488"/>
    <cellStyle name="Comma [0] 2 4 3 2 2" xfId="8489"/>
    <cellStyle name="Comma [0] 2 4 3 2 2 2" xfId="8490"/>
    <cellStyle name="Comma [0] 2 4 3 2 2 3" xfId="8491"/>
    <cellStyle name="Comma [0] 2 4 3 2 2 4" xfId="8492"/>
    <cellStyle name="Comma [0] 2 4 3 2 3" xfId="8493"/>
    <cellStyle name="Comma [0] 2 4 3 2 4" xfId="8494"/>
    <cellStyle name="Comma [0] 2 4 3 2 5" xfId="8495"/>
    <cellStyle name="Comma [0] 2 4 3 3" xfId="8496"/>
    <cellStyle name="Comma [0] 2 4 3 3 2" xfId="8497"/>
    <cellStyle name="Comma [0] 2 4 3 3 3" xfId="8498"/>
    <cellStyle name="Comma [0] 2 4 3 3 4" xfId="8499"/>
    <cellStyle name="Comma [0] 2 4 3 4" xfId="8500"/>
    <cellStyle name="Comma [0] 2 4 3 5" xfId="8501"/>
    <cellStyle name="Comma [0] 2 4 3 6" xfId="8502"/>
    <cellStyle name="Comma [0] 2 4 3 7" xfId="8503"/>
    <cellStyle name="Comma [0] 2 4 3 8" xfId="8504"/>
    <cellStyle name="Comma [0] 2 4 3 9" xfId="8505"/>
    <cellStyle name="Comma [0] 2 4 4" xfId="8506"/>
    <cellStyle name="Comma [0] 2 4 4 10" xfId="8507"/>
    <cellStyle name="Comma [0] 2 4 4 11" xfId="8508"/>
    <cellStyle name="Comma [0] 2 4 4 2" xfId="8509"/>
    <cellStyle name="Comma [0] 2 4 4 2 2" xfId="8510"/>
    <cellStyle name="Comma [0] 2 4 4 2 2 2" xfId="8511"/>
    <cellStyle name="Comma [0] 2 4 4 2 2 3" xfId="8512"/>
    <cellStyle name="Comma [0] 2 4 4 2 2 4" xfId="8513"/>
    <cellStyle name="Comma [0] 2 4 4 2 3" xfId="8514"/>
    <cellStyle name="Comma [0] 2 4 4 2 4" xfId="8515"/>
    <cellStyle name="Comma [0] 2 4 4 2 5" xfId="8516"/>
    <cellStyle name="Comma [0] 2 4 4 3" xfId="8517"/>
    <cellStyle name="Comma [0] 2 4 4 3 2" xfId="8518"/>
    <cellStyle name="Comma [0] 2 4 4 3 3" xfId="8519"/>
    <cellStyle name="Comma [0] 2 4 4 3 4" xfId="8520"/>
    <cellStyle name="Comma [0] 2 4 4 4" xfId="8521"/>
    <cellStyle name="Comma [0] 2 4 4 5" xfId="8522"/>
    <cellStyle name="Comma [0] 2 4 4 6" xfId="8523"/>
    <cellStyle name="Comma [0] 2 4 4 7" xfId="8524"/>
    <cellStyle name="Comma [0] 2 4 4 8" xfId="8525"/>
    <cellStyle name="Comma [0] 2 4 4 9" xfId="8526"/>
    <cellStyle name="Comma [0] 2 4 5" xfId="8527"/>
    <cellStyle name="Comma [0] 2 4 5 2" xfId="8528"/>
    <cellStyle name="Comma [0] 2 4 5 2 2" xfId="8529"/>
    <cellStyle name="Comma [0] 2 4 5 2 3" xfId="8530"/>
    <cellStyle name="Comma [0] 2 4 5 2 4" xfId="8531"/>
    <cellStyle name="Comma [0] 2 4 5 3" xfId="8532"/>
    <cellStyle name="Comma [0] 2 4 5 4" xfId="8533"/>
    <cellStyle name="Comma [0] 2 4 5 5" xfId="8534"/>
    <cellStyle name="Comma [0] 2 4 5 6" xfId="8535"/>
    <cellStyle name="Comma [0] 2 4 5 7" xfId="8536"/>
    <cellStyle name="Comma [0] 2 4 5 8" xfId="8537"/>
    <cellStyle name="Comma [0] 2 4 5 9" xfId="8538"/>
    <cellStyle name="Comma [0] 2 4 6" xfId="8539"/>
    <cellStyle name="Comma [0] 2 4 6 2" xfId="8540"/>
    <cellStyle name="Comma [0] 2 4 6 2 2" xfId="8541"/>
    <cellStyle name="Comma [0] 2 4 6 2 3" xfId="8542"/>
    <cellStyle name="Comma [0] 2 4 6 2 4" xfId="8543"/>
    <cellStyle name="Comma [0] 2 4 6 3" xfId="8544"/>
    <cellStyle name="Comma [0] 2 4 6 4" xfId="8545"/>
    <cellStyle name="Comma [0] 2 4 6 5" xfId="8546"/>
    <cellStyle name="Comma [0] 2 4 6 6" xfId="8547"/>
    <cellStyle name="Comma [0] 2 4 6 7" xfId="8548"/>
    <cellStyle name="Comma [0] 2 4 6 8" xfId="8549"/>
    <cellStyle name="Comma [0] 2 4 6 9" xfId="8550"/>
    <cellStyle name="Comma [0] 2 4 7" xfId="8551"/>
    <cellStyle name="Comma [0] 2 4 7 2" xfId="8552"/>
    <cellStyle name="Comma [0] 2 4 7 3" xfId="8553"/>
    <cellStyle name="Comma [0] 2 4 7 4" xfId="8554"/>
    <cellStyle name="Comma [0] 2 4 7 5" xfId="8555"/>
    <cellStyle name="Comma [0] 2 4 7 6" xfId="8556"/>
    <cellStyle name="Comma [0] 2 4 7 7" xfId="8557"/>
    <cellStyle name="Comma [0] 2 4 7 8" xfId="8558"/>
    <cellStyle name="Comma [0] 2 4 8" xfId="8559"/>
    <cellStyle name="Comma [0] 2 4 8 2" xfId="8560"/>
    <cellStyle name="Comma [0] 2 4 8 3" xfId="8561"/>
    <cellStyle name="Comma [0] 2 4 8 4" xfId="8562"/>
    <cellStyle name="Comma [0] 2 4 8 5" xfId="8563"/>
    <cellStyle name="Comma [0] 2 4 8 6" xfId="8564"/>
    <cellStyle name="Comma [0] 2 4 8 7" xfId="8565"/>
    <cellStyle name="Comma [0] 2 4 8 8" xfId="8566"/>
    <cellStyle name="Comma [0] 2 4 8 9" xfId="8567"/>
    <cellStyle name="Comma [0] 2 4 9" xfId="8568"/>
    <cellStyle name="Comma [0] 2 40" xfId="8569"/>
    <cellStyle name="Comma [0] 2 40 2" xfId="8570"/>
    <cellStyle name="Comma [0] 2 41" xfId="8571"/>
    <cellStyle name="Comma [0] 2 41 2" xfId="8572"/>
    <cellStyle name="Comma [0] 2 42" xfId="8573"/>
    <cellStyle name="Comma [0] 2 42 2" xfId="8574"/>
    <cellStyle name="Comma [0] 2 43" xfId="8575"/>
    <cellStyle name="Comma [0] 2 43 10" xfId="8576"/>
    <cellStyle name="Comma [0] 2 43 11" xfId="8577"/>
    <cellStyle name="Comma [0] 2 43 12" xfId="8578"/>
    <cellStyle name="Comma [0] 2 43 13" xfId="8579"/>
    <cellStyle name="Comma [0] 2 43 2" xfId="8580"/>
    <cellStyle name="Comma [0] 2 43 3" xfId="8581"/>
    <cellStyle name="Comma [0] 2 43 3 2" xfId="8582"/>
    <cellStyle name="Comma [0] 2 43 4" xfId="8583"/>
    <cellStyle name="Comma [0] 2 43 4 2" xfId="8584"/>
    <cellStyle name="Comma [0] 2 43 5" xfId="8585"/>
    <cellStyle name="Comma [0] 2 43 5 2" xfId="8586"/>
    <cellStyle name="Comma [0] 2 43 6" xfId="8587"/>
    <cellStyle name="Comma [0] 2 43 6 2" xfId="8588"/>
    <cellStyle name="Comma [0] 2 43 7" xfId="8589"/>
    <cellStyle name="Comma [0] 2 43 7 2" xfId="8590"/>
    <cellStyle name="Comma [0] 2 43 8" xfId="8591"/>
    <cellStyle name="Comma [0] 2 43 8 2" xfId="8592"/>
    <cellStyle name="Comma [0] 2 43 9" xfId="8593"/>
    <cellStyle name="Comma [0] 2 44" xfId="8594"/>
    <cellStyle name="Comma [0] 2 44 2" xfId="8595"/>
    <cellStyle name="Comma [0] 2 45" xfId="8596"/>
    <cellStyle name="Comma [0] 2 45 2" xfId="8597"/>
    <cellStyle name="Comma [0] 2 46" xfId="8598"/>
    <cellStyle name="Comma [0] 2 46 2" xfId="8599"/>
    <cellStyle name="Comma [0] 2 47" xfId="8600"/>
    <cellStyle name="Comma [0] 2 47 2" xfId="8601"/>
    <cellStyle name="Comma [0] 2 48" xfId="8602"/>
    <cellStyle name="Comma [0] 2 49" xfId="8603"/>
    <cellStyle name="Comma [0] 2 49 2" xfId="8604"/>
    <cellStyle name="Comma [0] 2 5" xfId="8605"/>
    <cellStyle name="Comma [0] 2 5 10" xfId="8606"/>
    <cellStyle name="Comma [0] 2 5 11" xfId="8607"/>
    <cellStyle name="Comma [0] 2 5 12" xfId="8608"/>
    <cellStyle name="Comma [0] 2 5 13" xfId="8609"/>
    <cellStyle name="Comma [0] 2 5 14" xfId="8610"/>
    <cellStyle name="Comma [0] 2 5 15" xfId="8611"/>
    <cellStyle name="Comma [0] 2 5 16" xfId="8612"/>
    <cellStyle name="Comma [0] 2 5 17" xfId="8613"/>
    <cellStyle name="Comma [0] 2 5 2" xfId="8614"/>
    <cellStyle name="Comma [0] 2 5 2 2" xfId="8615"/>
    <cellStyle name="Comma [0] 2 5 2 3" xfId="8616"/>
    <cellStyle name="Comma [0] 2 5 2 4" xfId="8617"/>
    <cellStyle name="Comma [0] 2 5 2 5" xfId="8618"/>
    <cellStyle name="Comma [0] 2 5 2 6" xfId="8619"/>
    <cellStyle name="Comma [0] 2 5 3" xfId="8620"/>
    <cellStyle name="Comma [0] 2 5 3 10" xfId="8621"/>
    <cellStyle name="Comma [0] 2 5 3 11" xfId="8622"/>
    <cellStyle name="Comma [0] 2 5 3 2" xfId="8623"/>
    <cellStyle name="Comma [0] 2 5 3 2 2" xfId="8624"/>
    <cellStyle name="Comma [0] 2 5 3 2 2 2" xfId="8625"/>
    <cellStyle name="Comma [0] 2 5 3 2 2 3" xfId="8626"/>
    <cellStyle name="Comma [0] 2 5 3 2 2 4" xfId="8627"/>
    <cellStyle name="Comma [0] 2 5 3 2 3" xfId="8628"/>
    <cellStyle name="Comma [0] 2 5 3 2 4" xfId="8629"/>
    <cellStyle name="Comma [0] 2 5 3 2 5" xfId="8630"/>
    <cellStyle name="Comma [0] 2 5 3 3" xfId="8631"/>
    <cellStyle name="Comma [0] 2 5 3 3 2" xfId="8632"/>
    <cellStyle name="Comma [0] 2 5 3 3 3" xfId="8633"/>
    <cellStyle name="Comma [0] 2 5 3 3 4" xfId="8634"/>
    <cellStyle name="Comma [0] 2 5 3 4" xfId="8635"/>
    <cellStyle name="Comma [0] 2 5 3 5" xfId="8636"/>
    <cellStyle name="Comma [0] 2 5 3 6" xfId="8637"/>
    <cellStyle name="Comma [0] 2 5 3 7" xfId="8638"/>
    <cellStyle name="Comma [0] 2 5 3 8" xfId="8639"/>
    <cellStyle name="Comma [0] 2 5 3 9" xfId="8640"/>
    <cellStyle name="Comma [0] 2 5 4" xfId="8641"/>
    <cellStyle name="Comma [0] 2 5 4 10" xfId="8642"/>
    <cellStyle name="Comma [0] 2 5 4 2" xfId="8643"/>
    <cellStyle name="Comma [0] 2 5 4 2 2" xfId="8644"/>
    <cellStyle name="Comma [0] 2 5 4 2 2 2" xfId="8645"/>
    <cellStyle name="Comma [0] 2 5 4 2 2 3" xfId="8646"/>
    <cellStyle name="Comma [0] 2 5 4 2 2 4" xfId="8647"/>
    <cellStyle name="Comma [0] 2 5 4 2 3" xfId="8648"/>
    <cellStyle name="Comma [0] 2 5 4 2 4" xfId="8649"/>
    <cellStyle name="Comma [0] 2 5 4 2 5" xfId="8650"/>
    <cellStyle name="Comma [0] 2 5 4 3" xfId="8651"/>
    <cellStyle name="Comma [0] 2 5 4 3 2" xfId="8652"/>
    <cellStyle name="Comma [0] 2 5 4 3 3" xfId="8653"/>
    <cellStyle name="Comma [0] 2 5 4 3 4" xfId="8654"/>
    <cellStyle name="Comma [0] 2 5 4 4" xfId="8655"/>
    <cellStyle name="Comma [0] 2 5 4 5" xfId="8656"/>
    <cellStyle name="Comma [0] 2 5 4 6" xfId="8657"/>
    <cellStyle name="Comma [0] 2 5 4 7" xfId="8658"/>
    <cellStyle name="Comma [0] 2 5 4 8" xfId="8659"/>
    <cellStyle name="Comma [0] 2 5 4 9" xfId="8660"/>
    <cellStyle name="Comma [0] 2 5 5" xfId="8661"/>
    <cellStyle name="Comma [0] 2 5 5 10" xfId="8662"/>
    <cellStyle name="Comma [0] 2 5 5 2" xfId="8663"/>
    <cellStyle name="Comma [0] 2 5 5 2 2" xfId="8664"/>
    <cellStyle name="Comma [0] 2 5 5 2 3" xfId="8665"/>
    <cellStyle name="Comma [0] 2 5 5 2 4" xfId="8666"/>
    <cellStyle name="Comma [0] 2 5 5 3" xfId="8667"/>
    <cellStyle name="Comma [0] 2 5 5 4" xfId="8668"/>
    <cellStyle name="Comma [0] 2 5 5 5" xfId="8669"/>
    <cellStyle name="Comma [0] 2 5 5 6" xfId="8670"/>
    <cellStyle name="Comma [0] 2 5 5 7" xfId="8671"/>
    <cellStyle name="Comma [0] 2 5 5 8" xfId="8672"/>
    <cellStyle name="Comma [0] 2 5 5 9" xfId="8673"/>
    <cellStyle name="Comma [0] 2 5 6" xfId="8674"/>
    <cellStyle name="Comma [0] 2 5 6 2" xfId="8675"/>
    <cellStyle name="Comma [0] 2 5 6 2 2" xfId="8676"/>
    <cellStyle name="Comma [0] 2 5 6 2 3" xfId="8677"/>
    <cellStyle name="Comma [0] 2 5 6 2 4" xfId="8678"/>
    <cellStyle name="Comma [0] 2 5 6 2 4 2" xfId="8679"/>
    <cellStyle name="Comma [0] 2 5 6 3" xfId="8680"/>
    <cellStyle name="Comma [0] 2 5 6 4" xfId="8681"/>
    <cellStyle name="Comma [0] 2 5 6 5" xfId="8682"/>
    <cellStyle name="Comma [0] 2 5 6 6" xfId="8683"/>
    <cellStyle name="Comma [0] 2 5 6 7" xfId="8684"/>
    <cellStyle name="Comma [0] 2 5 6 8" xfId="8685"/>
    <cellStyle name="Comma [0] 2 5 6 9" xfId="8686"/>
    <cellStyle name="Comma [0] 2 5 7" xfId="8687"/>
    <cellStyle name="Comma [0] 2 5 7 2" xfId="8688"/>
    <cellStyle name="Comma [0] 2 5 7 3" xfId="8689"/>
    <cellStyle name="Comma [0] 2 5 7 4" xfId="8690"/>
    <cellStyle name="Comma [0] 2 5 7 5" xfId="8691"/>
    <cellStyle name="Comma [0] 2 5 7 6" xfId="8692"/>
    <cellStyle name="Comma [0] 2 5 7 7" xfId="8693"/>
    <cellStyle name="Comma [0] 2 5 7 8" xfId="8694"/>
    <cellStyle name="Comma [0] 2 5 8" xfId="8695"/>
    <cellStyle name="Comma [0] 2 5 8 2" xfId="8696"/>
    <cellStyle name="Comma [0] 2 5 8 3" xfId="8697"/>
    <cellStyle name="Comma [0] 2 5 8 4" xfId="8698"/>
    <cellStyle name="Comma [0] 2 5 8 5" xfId="8699"/>
    <cellStyle name="Comma [0] 2 5 8 6" xfId="8700"/>
    <cellStyle name="Comma [0] 2 5 8 7" xfId="8701"/>
    <cellStyle name="Comma [0] 2 5 8 8" xfId="8702"/>
    <cellStyle name="Comma [0] 2 5 8 9" xfId="8703"/>
    <cellStyle name="Comma [0] 2 5 9" xfId="8704"/>
    <cellStyle name="Comma [0] 2 50" xfId="8705"/>
    <cellStyle name="Comma [0] 2 50 2" xfId="8706"/>
    <cellStyle name="Comma [0] 2 51" xfId="8707"/>
    <cellStyle name="Comma [0] 2 51 2" xfId="8708"/>
    <cellStyle name="Comma [0] 2 52" xfId="8709"/>
    <cellStyle name="Comma [0] 2 53" xfId="8710"/>
    <cellStyle name="Comma [0] 2 53 2" xfId="8711"/>
    <cellStyle name="Comma [0] 2 54" xfId="8712"/>
    <cellStyle name="Comma [0] 2 55" xfId="8713"/>
    <cellStyle name="Comma [0] 2 56" xfId="8714"/>
    <cellStyle name="Comma [0] 2 57" xfId="8715"/>
    <cellStyle name="Comma [0] 2 6" xfId="8716"/>
    <cellStyle name="Comma [0] 2 6 10" xfId="8717"/>
    <cellStyle name="Comma [0] 2 6 11" xfId="8718"/>
    <cellStyle name="Comma [0] 2 6 12" xfId="8719"/>
    <cellStyle name="Comma [0] 2 6 13" xfId="8720"/>
    <cellStyle name="Comma [0] 2 6 14" xfId="8721"/>
    <cellStyle name="Comma [0] 2 6 15" xfId="8722"/>
    <cellStyle name="Comma [0] 2 6 16" xfId="8723"/>
    <cellStyle name="Comma [0] 2 6 2" xfId="8724"/>
    <cellStyle name="Comma [0] 2 6 2 10" xfId="8725"/>
    <cellStyle name="Comma [0] 2 6 2 2" xfId="8726"/>
    <cellStyle name="Comma [0] 2 6 2 2 2" xfId="8727"/>
    <cellStyle name="Comma [0] 2 6 2 2 2 2" xfId="8728"/>
    <cellStyle name="Comma [0] 2 6 2 2 2 3" xfId="8729"/>
    <cellStyle name="Comma [0] 2 6 2 2 2 4" xfId="8730"/>
    <cellStyle name="Comma [0] 2 6 2 2 3" xfId="8731"/>
    <cellStyle name="Comma [0] 2 6 2 2 4" xfId="8732"/>
    <cellStyle name="Comma [0] 2 6 2 2 5" xfId="8733"/>
    <cellStyle name="Comma [0] 2 6 2 3" xfId="8734"/>
    <cellStyle name="Comma [0] 2 6 2 3 2" xfId="8735"/>
    <cellStyle name="Comma [0] 2 6 2 3 3" xfId="8736"/>
    <cellStyle name="Comma [0] 2 6 2 3 4" xfId="8737"/>
    <cellStyle name="Comma [0] 2 6 2 4" xfId="8738"/>
    <cellStyle name="Comma [0] 2 6 2 5" xfId="8739"/>
    <cellStyle name="Comma [0] 2 6 2 6" xfId="8740"/>
    <cellStyle name="Comma [0] 2 6 2 7" xfId="8741"/>
    <cellStyle name="Comma [0] 2 6 2 8" xfId="8742"/>
    <cellStyle name="Comma [0] 2 6 2 9" xfId="8743"/>
    <cellStyle name="Comma [0] 2 6 3" xfId="8744"/>
    <cellStyle name="Comma [0] 2 6 3 10" xfId="8745"/>
    <cellStyle name="Comma [0] 2 6 3 2" xfId="8746"/>
    <cellStyle name="Comma [0] 2 6 3 2 2" xfId="8747"/>
    <cellStyle name="Comma [0] 2 6 3 2 2 2" xfId="8748"/>
    <cellStyle name="Comma [0] 2 6 3 2 2 3" xfId="8749"/>
    <cellStyle name="Comma [0] 2 6 3 2 2 4" xfId="8750"/>
    <cellStyle name="Comma [0] 2 6 3 2 3" xfId="8751"/>
    <cellStyle name="Comma [0] 2 6 3 2 4" xfId="8752"/>
    <cellStyle name="Comma [0] 2 6 3 2 5" xfId="8753"/>
    <cellStyle name="Comma [0] 2 6 3 3" xfId="8754"/>
    <cellStyle name="Comma [0] 2 6 3 3 2" xfId="8755"/>
    <cellStyle name="Comma [0] 2 6 3 3 3" xfId="8756"/>
    <cellStyle name="Comma [0] 2 6 3 3 4" xfId="8757"/>
    <cellStyle name="Comma [0] 2 6 3 4" xfId="8758"/>
    <cellStyle name="Comma [0] 2 6 3 5" xfId="8759"/>
    <cellStyle name="Comma [0] 2 6 3 6" xfId="8760"/>
    <cellStyle name="Comma [0] 2 6 3 7" xfId="8761"/>
    <cellStyle name="Comma [0] 2 6 3 8" xfId="8762"/>
    <cellStyle name="Comma [0] 2 6 3 9" xfId="8763"/>
    <cellStyle name="Comma [0] 2 6 4" xfId="8764"/>
    <cellStyle name="Comma [0] 2 6 4 2" xfId="8765"/>
    <cellStyle name="Comma [0] 2 6 4 2 2" xfId="8766"/>
    <cellStyle name="Comma [0] 2 6 4 2 3" xfId="8767"/>
    <cellStyle name="Comma [0] 2 6 4 2 4" xfId="8768"/>
    <cellStyle name="Comma [0] 2 6 4 3" xfId="8769"/>
    <cellStyle name="Comma [0] 2 6 4 4" xfId="8770"/>
    <cellStyle name="Comma [0] 2 6 4 5" xfId="8771"/>
    <cellStyle name="Comma [0] 2 6 4 6" xfId="8772"/>
    <cellStyle name="Comma [0] 2 6 4 7" xfId="8773"/>
    <cellStyle name="Comma [0] 2 6 4 8" xfId="8774"/>
    <cellStyle name="Comma [0] 2 6 4 9" xfId="8775"/>
    <cellStyle name="Comma [0] 2 6 5" xfId="8776"/>
    <cellStyle name="Comma [0] 2 6 5 2" xfId="8777"/>
    <cellStyle name="Comma [0] 2 6 5 2 2" xfId="8778"/>
    <cellStyle name="Comma [0] 2 6 5 2 3" xfId="8779"/>
    <cellStyle name="Comma [0] 2 6 5 2 4" xfId="8780"/>
    <cellStyle name="Comma [0] 2 6 5 3" xfId="8781"/>
    <cellStyle name="Comma [0] 2 6 5 4" xfId="8782"/>
    <cellStyle name="Comma [0] 2 6 5 5" xfId="8783"/>
    <cellStyle name="Comma [0] 2 6 5 6" xfId="8784"/>
    <cellStyle name="Comma [0] 2 6 5 7" xfId="8785"/>
    <cellStyle name="Comma [0] 2 6 5 8" xfId="8786"/>
    <cellStyle name="Comma [0] 2 6 5 9" xfId="8787"/>
    <cellStyle name="Comma [0] 2 6 6" xfId="8788"/>
    <cellStyle name="Comma [0] 2 6 6 2" xfId="8789"/>
    <cellStyle name="Comma [0] 2 6 6 3" xfId="8790"/>
    <cellStyle name="Comma [0] 2 6 6 4" xfId="8791"/>
    <cellStyle name="Comma [0] 2 6 6 5" xfId="8792"/>
    <cellStyle name="Comma [0] 2 6 6 6" xfId="8793"/>
    <cellStyle name="Comma [0] 2 6 6 7" xfId="8794"/>
    <cellStyle name="Comma [0] 2 6 6 8" xfId="8795"/>
    <cellStyle name="Comma [0] 2 6 7" xfId="8796"/>
    <cellStyle name="Comma [0] 2 6 7 2" xfId="8797"/>
    <cellStyle name="Comma [0] 2 6 7 3" xfId="8798"/>
    <cellStyle name="Comma [0] 2 6 7 4" xfId="8799"/>
    <cellStyle name="Comma [0] 2 6 7 5" xfId="8800"/>
    <cellStyle name="Comma [0] 2 6 7 6" xfId="8801"/>
    <cellStyle name="Comma [0] 2 6 7 7" xfId="8802"/>
    <cellStyle name="Comma [0] 2 6 7 8" xfId="8803"/>
    <cellStyle name="Comma [0] 2 6 8" xfId="8804"/>
    <cellStyle name="Comma [0] 2 6 8 2" xfId="8805"/>
    <cellStyle name="Comma [0] 2 6 8 3" xfId="8806"/>
    <cellStyle name="Comma [0] 2 6 8 4" xfId="8807"/>
    <cellStyle name="Comma [0] 2 6 8 5" xfId="8808"/>
    <cellStyle name="Comma [0] 2 6 8 6" xfId="8809"/>
    <cellStyle name="Comma [0] 2 6 9" xfId="8810"/>
    <cellStyle name="Comma [0] 2 7" xfId="8811"/>
    <cellStyle name="Comma [0] 2 7 10" xfId="8812"/>
    <cellStyle name="Comma [0] 2 7 11" xfId="8813"/>
    <cellStyle name="Comma [0] 2 7 12" xfId="8814"/>
    <cellStyle name="Comma [0] 2 7 13" xfId="8815"/>
    <cellStyle name="Comma [0] 2 7 14" xfId="8816"/>
    <cellStyle name="Comma [0] 2 7 15" xfId="8817"/>
    <cellStyle name="Comma [0] 2 7 16" xfId="8818"/>
    <cellStyle name="Comma [0] 2 7 2" xfId="8819"/>
    <cellStyle name="Comma [0] 2 7 2 10" xfId="8820"/>
    <cellStyle name="Comma [0] 2 7 2 11" xfId="8821"/>
    <cellStyle name="Comma [0] 2 7 2 2" xfId="8822"/>
    <cellStyle name="Comma [0] 2 7 2 2 2" xfId="8823"/>
    <cellStyle name="Comma [0] 2 7 2 2 2 2" xfId="8824"/>
    <cellStyle name="Comma [0] 2 7 2 2 2 3" xfId="8825"/>
    <cellStyle name="Comma [0] 2 7 2 2 2 4" xfId="8826"/>
    <cellStyle name="Comma [0] 2 7 2 2 3" xfId="8827"/>
    <cellStyle name="Comma [0] 2 7 2 2 4" xfId="8828"/>
    <cellStyle name="Comma [0] 2 7 2 2 5" xfId="8829"/>
    <cellStyle name="Comma [0] 2 7 2 3" xfId="8830"/>
    <cellStyle name="Comma [0] 2 7 2 3 2" xfId="8831"/>
    <cellStyle name="Comma [0] 2 7 2 3 3" xfId="8832"/>
    <cellStyle name="Comma [0] 2 7 2 3 4" xfId="8833"/>
    <cellStyle name="Comma [0] 2 7 2 4" xfId="8834"/>
    <cellStyle name="Comma [0] 2 7 2 5" xfId="8835"/>
    <cellStyle name="Comma [0] 2 7 2 6" xfId="8836"/>
    <cellStyle name="Comma [0] 2 7 2 7" xfId="8837"/>
    <cellStyle name="Comma [0] 2 7 2 8" xfId="8838"/>
    <cellStyle name="Comma [0] 2 7 2 9" xfId="8839"/>
    <cellStyle name="Comma [0] 2 7 3" xfId="8840"/>
    <cellStyle name="Comma [0] 2 7 3 10" xfId="8841"/>
    <cellStyle name="Comma [0] 2 7 3 11" xfId="8842"/>
    <cellStyle name="Comma [0] 2 7 3 2" xfId="8843"/>
    <cellStyle name="Comma [0] 2 7 3 2 2" xfId="8844"/>
    <cellStyle name="Comma [0] 2 7 3 2 2 2" xfId="8845"/>
    <cellStyle name="Comma [0] 2 7 3 2 2 3" xfId="8846"/>
    <cellStyle name="Comma [0] 2 7 3 2 2 4" xfId="8847"/>
    <cellStyle name="Comma [0] 2 7 3 2 3" xfId="8848"/>
    <cellStyle name="Comma [0] 2 7 3 2 4" xfId="8849"/>
    <cellStyle name="Comma [0] 2 7 3 2 5" xfId="8850"/>
    <cellStyle name="Comma [0] 2 7 3 3" xfId="8851"/>
    <cellStyle name="Comma [0] 2 7 3 3 2" xfId="8852"/>
    <cellStyle name="Comma [0] 2 7 3 3 3" xfId="8853"/>
    <cellStyle name="Comma [0] 2 7 3 3 4" xfId="8854"/>
    <cellStyle name="Comma [0] 2 7 3 4" xfId="8855"/>
    <cellStyle name="Comma [0] 2 7 3 5" xfId="8856"/>
    <cellStyle name="Comma [0] 2 7 3 6" xfId="8857"/>
    <cellStyle name="Comma [0] 2 7 3 7" xfId="8858"/>
    <cellStyle name="Comma [0] 2 7 3 8" xfId="8859"/>
    <cellStyle name="Comma [0] 2 7 3 9" xfId="8860"/>
    <cellStyle name="Comma [0] 2 7 4" xfId="8861"/>
    <cellStyle name="Comma [0] 2 7 4 2" xfId="8862"/>
    <cellStyle name="Comma [0] 2 7 4 2 2" xfId="8863"/>
    <cellStyle name="Comma [0] 2 7 4 2 3" xfId="8864"/>
    <cellStyle name="Comma [0] 2 7 4 2 4" xfId="8865"/>
    <cellStyle name="Comma [0] 2 7 4 3" xfId="8866"/>
    <cellStyle name="Comma [0] 2 7 4 4" xfId="8867"/>
    <cellStyle name="Comma [0] 2 7 4 5" xfId="8868"/>
    <cellStyle name="Comma [0] 2 7 4 6" xfId="8869"/>
    <cellStyle name="Comma [0] 2 7 4 7" xfId="8870"/>
    <cellStyle name="Comma [0] 2 7 4 8" xfId="8871"/>
    <cellStyle name="Comma [0] 2 7 4 9" xfId="8872"/>
    <cellStyle name="Comma [0] 2 7 5" xfId="8873"/>
    <cellStyle name="Comma [0] 2 7 5 10" xfId="8874"/>
    <cellStyle name="Comma [0] 2 7 5 2" xfId="8875"/>
    <cellStyle name="Comma [0] 2 7 5 2 2" xfId="8876"/>
    <cellStyle name="Comma [0] 2 7 5 2 3" xfId="8877"/>
    <cellStyle name="Comma [0] 2 7 5 2 4" xfId="8878"/>
    <cellStyle name="Comma [0] 2 7 5 3" xfId="8879"/>
    <cellStyle name="Comma [0] 2 7 5 4" xfId="8880"/>
    <cellStyle name="Comma [0] 2 7 5 5" xfId="8881"/>
    <cellStyle name="Comma [0] 2 7 5 6" xfId="8882"/>
    <cellStyle name="Comma [0] 2 7 5 7" xfId="8883"/>
    <cellStyle name="Comma [0] 2 7 5 8" xfId="8884"/>
    <cellStyle name="Comma [0] 2 7 5 9" xfId="8885"/>
    <cellStyle name="Comma [0] 2 7 6" xfId="8886"/>
    <cellStyle name="Comma [0] 2 7 6 2" xfId="8887"/>
    <cellStyle name="Comma [0] 2 7 6 3" xfId="8888"/>
    <cellStyle name="Comma [0] 2 7 6 4" xfId="8889"/>
    <cellStyle name="Comma [0] 2 7 6 5" xfId="8890"/>
    <cellStyle name="Comma [0] 2 7 6 6" xfId="8891"/>
    <cellStyle name="Comma [0] 2 7 6 7" xfId="8892"/>
    <cellStyle name="Comma [0] 2 7 6 8" xfId="8893"/>
    <cellStyle name="Comma [0] 2 7 6 9" xfId="8894"/>
    <cellStyle name="Comma [0] 2 7 7" xfId="8895"/>
    <cellStyle name="Comma [0] 2 7 7 2" xfId="8896"/>
    <cellStyle name="Comma [0] 2 7 7 3" xfId="8897"/>
    <cellStyle name="Comma [0] 2 7 7 4" xfId="8898"/>
    <cellStyle name="Comma [0] 2 7 7 5" xfId="8899"/>
    <cellStyle name="Comma [0] 2 7 7 6" xfId="8900"/>
    <cellStyle name="Comma [0] 2 7 7 7" xfId="8901"/>
    <cellStyle name="Comma [0] 2 7 7 8" xfId="8902"/>
    <cellStyle name="Comma [0] 2 7 7 9" xfId="8903"/>
    <cellStyle name="Comma [0] 2 7 8" xfId="8904"/>
    <cellStyle name="Comma [0] 2 7 8 2" xfId="8905"/>
    <cellStyle name="Comma [0] 2 7 8 3" xfId="8906"/>
    <cellStyle name="Comma [0] 2 7 8 4" xfId="8907"/>
    <cellStyle name="Comma [0] 2 7 8 5" xfId="8908"/>
    <cellStyle name="Comma [0] 2 7 8 6" xfId="8909"/>
    <cellStyle name="Comma [0] 2 7 9" xfId="8910"/>
    <cellStyle name="Comma [0] 2 8" xfId="8911"/>
    <cellStyle name="Comma [0] 2 8 10" xfId="8912"/>
    <cellStyle name="Comma [0] 2 8 11" xfId="8913"/>
    <cellStyle name="Comma [0] 2 8 12" xfId="8914"/>
    <cellStyle name="Comma [0] 2 8 13" xfId="8915"/>
    <cellStyle name="Comma [0] 2 8 2" xfId="8916"/>
    <cellStyle name="Comma [0] 2 8 2 2" xfId="8917"/>
    <cellStyle name="Comma [0] 2 8 3" xfId="8918"/>
    <cellStyle name="Comma [0] 2 8 3 2" xfId="8919"/>
    <cellStyle name="Comma [0] 2 8 4" xfId="8920"/>
    <cellStyle name="Comma [0] 2 8 4 2" xfId="8921"/>
    <cellStyle name="Comma [0] 2 8 5" xfId="8922"/>
    <cellStyle name="Comma [0] 2 8 5 2" xfId="8923"/>
    <cellStyle name="Comma [0] 2 8 6" xfId="8924"/>
    <cellStyle name="Comma [0] 2 8 6 2" xfId="8925"/>
    <cellStyle name="Comma [0] 2 8 7" xfId="8926"/>
    <cellStyle name="Comma [0] 2 8 7 2" xfId="8927"/>
    <cellStyle name="Comma [0] 2 8 8" xfId="8928"/>
    <cellStyle name="Comma [0] 2 8 8 2" xfId="8929"/>
    <cellStyle name="Comma [0] 2 8 9" xfId="8930"/>
    <cellStyle name="Comma [0] 2 9" xfId="8931"/>
    <cellStyle name="Comma [0] 2 9 10" xfId="8932"/>
    <cellStyle name="Comma [0] 2 9 11" xfId="8933"/>
    <cellStyle name="Comma [0] 2 9 12" xfId="8934"/>
    <cellStyle name="Comma [0] 2 9 13" xfId="8935"/>
    <cellStyle name="Comma [0] 2 9 2" xfId="8936"/>
    <cellStyle name="Comma [0] 2 9 2 10" xfId="8937"/>
    <cellStyle name="Comma [0] 2 9 2 2" xfId="8938"/>
    <cellStyle name="Comma [0] 2 9 2 2 2" xfId="8939"/>
    <cellStyle name="Comma [0] 2 9 2 2 3" xfId="8940"/>
    <cellStyle name="Comma [0] 2 9 2 2 4" xfId="8941"/>
    <cellStyle name="Comma [0] 2 9 2 3" xfId="8942"/>
    <cellStyle name="Comma [0] 2 9 2 4" xfId="8943"/>
    <cellStyle name="Comma [0] 2 9 2 5" xfId="8944"/>
    <cellStyle name="Comma [0] 2 9 2 6" xfId="8945"/>
    <cellStyle name="Comma [0] 2 9 2 7" xfId="8946"/>
    <cellStyle name="Comma [0] 2 9 2 8" xfId="8947"/>
    <cellStyle name="Comma [0] 2 9 2 9" xfId="8948"/>
    <cellStyle name="Comma [0] 2 9 3" xfId="8949"/>
    <cellStyle name="Comma [0] 2 9 3 2" xfId="8950"/>
    <cellStyle name="Comma [0] 2 9 3 3" xfId="8951"/>
    <cellStyle name="Comma [0] 2 9 3 4" xfId="8952"/>
    <cellStyle name="Comma [0] 2 9 3 5" xfId="8953"/>
    <cellStyle name="Comma [0] 2 9 3 6" xfId="8954"/>
    <cellStyle name="Comma [0] 2 9 3 7" xfId="8955"/>
    <cellStyle name="Comma [0] 2 9 3 8" xfId="8956"/>
    <cellStyle name="Comma [0] 2 9 3 9" xfId="8957"/>
    <cellStyle name="Comma [0] 2 9 4" xfId="8958"/>
    <cellStyle name="Comma [0] 2 9 4 2" xfId="8959"/>
    <cellStyle name="Comma [0] 2 9 4 3" xfId="8960"/>
    <cellStyle name="Comma [0] 2 9 4 4" xfId="8961"/>
    <cellStyle name="Comma [0] 2 9 4 5" xfId="8962"/>
    <cellStyle name="Comma [0] 2 9 4 6" xfId="8963"/>
    <cellStyle name="Comma [0] 2 9 5" xfId="8964"/>
    <cellStyle name="Comma [0] 2 9 5 2" xfId="8965"/>
    <cellStyle name="Comma [0] 2 9 5 3" xfId="8966"/>
    <cellStyle name="Comma [0] 2 9 5 4" xfId="8967"/>
    <cellStyle name="Comma [0] 2 9 5 5" xfId="8968"/>
    <cellStyle name="Comma [0] 2 9 5 6" xfId="8969"/>
    <cellStyle name="Comma [0] 2 9 6" xfId="8970"/>
    <cellStyle name="Comma [0] 2 9 6 2" xfId="8971"/>
    <cellStyle name="Comma [0] 2 9 6 3" xfId="8972"/>
    <cellStyle name="Comma [0] 2 9 6 4" xfId="8973"/>
    <cellStyle name="Comma [0] 2 9 6 5" xfId="8974"/>
    <cellStyle name="Comma [0] 2 9 6 6" xfId="8975"/>
    <cellStyle name="Comma [0] 2 9 7" xfId="8976"/>
    <cellStyle name="Comma [0] 2 9 7 2" xfId="8977"/>
    <cellStyle name="Comma [0] 2 9 8" xfId="8978"/>
    <cellStyle name="Comma [0] 2 9 8 2" xfId="8979"/>
    <cellStyle name="Comma [0] 2 9 9" xfId="8980"/>
    <cellStyle name="Comma [0] 2_Insentif dan UJP Sari Roti 2010-03" xfId="8981"/>
    <cellStyle name="Comma [0] 20" xfId="8982"/>
    <cellStyle name="Comma [0] 20 2" xfId="8983"/>
    <cellStyle name="Comma [0] 20 3" xfId="8984"/>
    <cellStyle name="Comma [0] 20 4" xfId="8985"/>
    <cellStyle name="Comma [0] 20 5" xfId="8986"/>
    <cellStyle name="Comma [0] 20 6" xfId="8987"/>
    <cellStyle name="Comma [0] 21" xfId="8988"/>
    <cellStyle name="Comma [0] 21 2" xfId="8989"/>
    <cellStyle name="Comma [0] 21 3" xfId="8990"/>
    <cellStyle name="Comma [0] 21 4" xfId="8991"/>
    <cellStyle name="Comma [0] 21 5" xfId="8992"/>
    <cellStyle name="Comma [0] 21 6" xfId="8993"/>
    <cellStyle name="Comma [0] 22" xfId="8994"/>
    <cellStyle name="Comma [0] 23" xfId="8995"/>
    <cellStyle name="Comma [0] 23 2" xfId="8996"/>
    <cellStyle name="Comma [0] 24" xfId="8997"/>
    <cellStyle name="Comma [0] 25" xfId="8998"/>
    <cellStyle name="Comma [0] 26" xfId="8999"/>
    <cellStyle name="Comma [0] 27" xfId="9000"/>
    <cellStyle name="Comma [0] 28" xfId="9001"/>
    <cellStyle name="Comma [0] 29" xfId="9002"/>
    <cellStyle name="Comma [0] 3" xfId="9003"/>
    <cellStyle name="Comma [0] 3 10" xfId="9004"/>
    <cellStyle name="Comma [0] 3 10 2" xfId="9005"/>
    <cellStyle name="Comma [0] 3 10 2 10" xfId="9006"/>
    <cellStyle name="Comma [0] 3 10 2 10 2" xfId="9007"/>
    <cellStyle name="Comma [0] 3 10 2 11" xfId="9008"/>
    <cellStyle name="Comma [0] 3 10 2 11 2" xfId="9009"/>
    <cellStyle name="Comma [0] 3 10 2 2" xfId="9010"/>
    <cellStyle name="Comma [0] 3 10 2 2 2" xfId="9011"/>
    <cellStyle name="Comma [0] 3 10 2 2 3" xfId="9012"/>
    <cellStyle name="Comma [0] 3 10 2 2 4" xfId="9013"/>
    <cellStyle name="Comma [0] 3 10 2 2 5" xfId="9014"/>
    <cellStyle name="Comma [0] 3 10 2 2 6" xfId="9015"/>
    <cellStyle name="Comma [0] 3 10 2 2 7" xfId="9016"/>
    <cellStyle name="Comma [0] 3 10 2 3" xfId="9017"/>
    <cellStyle name="Comma [0] 3 10 2 4" xfId="9018"/>
    <cellStyle name="Comma [0] 3 10 2 4 2" xfId="9019"/>
    <cellStyle name="Comma [0] 3 10 2 5" xfId="9020"/>
    <cellStyle name="Comma [0] 3 10 2 5 2" xfId="9021"/>
    <cellStyle name="Comma [0] 3 10 2 6" xfId="9022"/>
    <cellStyle name="Comma [0] 3 10 2 6 2" xfId="9023"/>
    <cellStyle name="Comma [0] 3 10 2 7" xfId="9024"/>
    <cellStyle name="Comma [0] 3 10 2 8" xfId="9025"/>
    <cellStyle name="Comma [0] 3 10 2 8 2" xfId="9026"/>
    <cellStyle name="Comma [0] 3 10 2 9" xfId="9027"/>
    <cellStyle name="Comma [0] 3 10 2 9 2" xfId="9028"/>
    <cellStyle name="Comma [0] 3 10 3" xfId="9029"/>
    <cellStyle name="Comma [0] 3 10 4" xfId="9030"/>
    <cellStyle name="Comma [0] 3 10 5" xfId="9031"/>
    <cellStyle name="Comma [0] 3 10 6" xfId="9032"/>
    <cellStyle name="Comma [0] 3 11" xfId="9033"/>
    <cellStyle name="Comma [0] 3 11 2" xfId="9034"/>
    <cellStyle name="Comma [0] 3 12" xfId="9035"/>
    <cellStyle name="Comma [0] 3 12 2" xfId="9036"/>
    <cellStyle name="Comma [0] 3 13" xfId="9037"/>
    <cellStyle name="Comma [0] 3 13 2" xfId="9038"/>
    <cellStyle name="Comma [0] 3 14" xfId="9039"/>
    <cellStyle name="Comma [0] 3 15" xfId="9040"/>
    <cellStyle name="Comma [0] 3 15 2" xfId="9041"/>
    <cellStyle name="Comma [0] 3 16" xfId="9042"/>
    <cellStyle name="Comma [0] 3 16 2" xfId="9043"/>
    <cellStyle name="Comma [0] 3 17" xfId="9044"/>
    <cellStyle name="Comma [0] 3 17 2" xfId="9045"/>
    <cellStyle name="Comma [0] 3 18" xfId="9046"/>
    <cellStyle name="Comma [0] 3 19" xfId="9047"/>
    <cellStyle name="Comma [0] 3 2" xfId="9048"/>
    <cellStyle name="Comma [0] 3 2 10" xfId="9049"/>
    <cellStyle name="Comma [0] 3 2 11" xfId="9050"/>
    <cellStyle name="Comma [0] 3 2 12" xfId="9051"/>
    <cellStyle name="Comma [0] 3 2 2" xfId="9052"/>
    <cellStyle name="Comma [0] 3 2 2 2" xfId="9053"/>
    <cellStyle name="Comma [0] 3 2 2 2 2" xfId="9054"/>
    <cellStyle name="Comma [0] 3 2 2 2 3" xfId="9055"/>
    <cellStyle name="Comma [0] 3 2 2 2 4" xfId="9056"/>
    <cellStyle name="Comma [0] 3 2 2 3" xfId="9057"/>
    <cellStyle name="Comma [0] 3 2 2 4" xfId="9058"/>
    <cellStyle name="Comma [0] 3 2 2 5" xfId="9059"/>
    <cellStyle name="Comma [0] 3 2 3" xfId="9060"/>
    <cellStyle name="Comma [0] 3 2 3 2" xfId="9061"/>
    <cellStyle name="Comma [0] 3 2 3 3" xfId="9062"/>
    <cellStyle name="Comma [0] 3 2 3 4" xfId="9063"/>
    <cellStyle name="Comma [0] 3 2 4" xfId="9064"/>
    <cellStyle name="Comma [0] 3 2 5" xfId="9065"/>
    <cellStyle name="Comma [0] 3 2 6" xfId="9066"/>
    <cellStyle name="Comma [0] 3 2 7" xfId="9067"/>
    <cellStyle name="Comma [0] 3 2 8" xfId="9068"/>
    <cellStyle name="Comma [0] 3 2 9" xfId="9069"/>
    <cellStyle name="Comma [0] 3 20" xfId="9070"/>
    <cellStyle name="Comma [0] 3 21" xfId="9071"/>
    <cellStyle name="Comma [0] 3 22" xfId="9072"/>
    <cellStyle name="Comma [0] 3 3" xfId="9073"/>
    <cellStyle name="Comma [0] 3 3 10" xfId="9074"/>
    <cellStyle name="Comma [0] 3 3 11" xfId="9075"/>
    <cellStyle name="Comma [0] 3 3 2" xfId="9076"/>
    <cellStyle name="Comma [0] 3 3 2 2" xfId="9077"/>
    <cellStyle name="Comma [0] 3 3 2 2 2" xfId="9078"/>
    <cellStyle name="Comma [0] 3 3 2 2 3" xfId="9079"/>
    <cellStyle name="Comma [0] 3 3 2 2 4" xfId="9080"/>
    <cellStyle name="Comma [0] 3 3 2 3" xfId="9081"/>
    <cellStyle name="Comma [0] 3 3 2 4" xfId="9082"/>
    <cellStyle name="Comma [0] 3 3 2 5" xfId="9083"/>
    <cellStyle name="Comma [0] 3 3 3" xfId="9084"/>
    <cellStyle name="Comma [0] 3 3 3 2" xfId="9085"/>
    <cellStyle name="Comma [0] 3 3 3 3" xfId="9086"/>
    <cellStyle name="Comma [0] 3 3 3 4" xfId="9087"/>
    <cellStyle name="Comma [0] 3 3 4" xfId="9088"/>
    <cellStyle name="Comma [0] 3 3 5" xfId="9089"/>
    <cellStyle name="Comma [0] 3 3 6" xfId="9090"/>
    <cellStyle name="Comma [0] 3 3 7" xfId="9091"/>
    <cellStyle name="Comma [0] 3 3 8" xfId="9092"/>
    <cellStyle name="Comma [0] 3 3 9" xfId="9093"/>
    <cellStyle name="Comma [0] 3 4" xfId="9094"/>
    <cellStyle name="Comma [0] 3 4 10" xfId="9095"/>
    <cellStyle name="Comma [0] 3 4 2" xfId="9096"/>
    <cellStyle name="Comma [0] 3 4 2 2" xfId="9097"/>
    <cellStyle name="Comma [0] 3 4 2 3" xfId="9098"/>
    <cellStyle name="Comma [0] 3 4 2 4" xfId="9099"/>
    <cellStyle name="Comma [0] 3 4 3" xfId="9100"/>
    <cellStyle name="Comma [0] 3 4 4" xfId="9101"/>
    <cellStyle name="Comma [0] 3 4 5" xfId="9102"/>
    <cellStyle name="Comma [0] 3 4 6" xfId="9103"/>
    <cellStyle name="Comma [0] 3 4 7" xfId="9104"/>
    <cellStyle name="Comma [0] 3 4 8" xfId="9105"/>
    <cellStyle name="Comma [0] 3 4 9" xfId="9106"/>
    <cellStyle name="Comma [0] 3 5" xfId="9107"/>
    <cellStyle name="Comma [0] 3 5 2" xfId="9108"/>
    <cellStyle name="Comma [0] 3 5 2 2" xfId="9109"/>
    <cellStyle name="Comma [0] 3 5 2 3" xfId="9110"/>
    <cellStyle name="Comma [0] 3 5 2 4" xfId="9111"/>
    <cellStyle name="Comma [0] 3 5 3" xfId="9112"/>
    <cellStyle name="Comma [0] 3 5 4" xfId="9113"/>
    <cellStyle name="Comma [0] 3 5 5" xfId="9114"/>
    <cellStyle name="Comma [0] 3 5 6" xfId="9115"/>
    <cellStyle name="Comma [0] 3 5 7" xfId="9116"/>
    <cellStyle name="Comma [0] 3 5 8" xfId="9117"/>
    <cellStyle name="Comma [0] 3 5 9" xfId="9118"/>
    <cellStyle name="Comma [0] 3 6" xfId="9119"/>
    <cellStyle name="Comma [0] 3 6 2" xfId="9120"/>
    <cellStyle name="Comma [0] 3 6 3" xfId="9121"/>
    <cellStyle name="Comma [0] 3 6 4" xfId="9122"/>
    <cellStyle name="Comma [0] 3 6 5" xfId="9123"/>
    <cellStyle name="Comma [0] 3 6 6" xfId="9124"/>
    <cellStyle name="Comma [0] 3 6 7" xfId="9125"/>
    <cellStyle name="Comma [0] 3 6 8" xfId="9126"/>
    <cellStyle name="Comma [0] 3 6 9" xfId="9127"/>
    <cellStyle name="Comma [0] 3 7" xfId="9128"/>
    <cellStyle name="Comma [0] 3 7 2" xfId="9129"/>
    <cellStyle name="Comma [0] 3 7 3" xfId="9130"/>
    <cellStyle name="Comma [0] 3 7 4" xfId="9131"/>
    <cellStyle name="Comma [0] 3 7 5" xfId="9132"/>
    <cellStyle name="Comma [0] 3 7 6" xfId="9133"/>
    <cellStyle name="Comma [0] 3 7 7" xfId="9134"/>
    <cellStyle name="Comma [0] 3 7 8" xfId="9135"/>
    <cellStyle name="Comma [0] 3 7 9" xfId="9136"/>
    <cellStyle name="Comma [0] 3 8" xfId="9137"/>
    <cellStyle name="Comma [0] 3 8 2" xfId="9138"/>
    <cellStyle name="Comma [0] 3 8 3" xfId="9139"/>
    <cellStyle name="Comma [0] 3 8 4" xfId="9140"/>
    <cellStyle name="Comma [0] 3 8 5" xfId="9141"/>
    <cellStyle name="Comma [0] 3 8 6" xfId="9142"/>
    <cellStyle name="Comma [0] 3 9" xfId="9143"/>
    <cellStyle name="Comma [0] 3 9 2" xfId="9144"/>
    <cellStyle name="Comma [0] 3 9 3" xfId="9145"/>
    <cellStyle name="Comma [0] 3 9 4" xfId="9146"/>
    <cellStyle name="Comma [0] 3 9 5" xfId="9147"/>
    <cellStyle name="Comma [0] 3 9 6" xfId="9148"/>
    <cellStyle name="Comma [0] 30" xfId="9149"/>
    <cellStyle name="Comma [0] 31" xfId="9150"/>
    <cellStyle name="Comma [0] 32" xfId="9151"/>
    <cellStyle name="Comma [0] 32 2" xfId="9152"/>
    <cellStyle name="Comma [0] 33" xfId="9153"/>
    <cellStyle name="Comma [0] 34" xfId="9154"/>
    <cellStyle name="Comma [0] 35" xfId="9155"/>
    <cellStyle name="Comma [0] 36" xfId="9156"/>
    <cellStyle name="Comma [0] 37" xfId="9157"/>
    <cellStyle name="Comma [0] 38" xfId="9158"/>
    <cellStyle name="Comma [0] 39" xfId="9159"/>
    <cellStyle name="Comma [0] 4" xfId="9160"/>
    <cellStyle name="Comma [0] 4 10" xfId="9161"/>
    <cellStyle name="Comma [0] 4 10 2" xfId="9162"/>
    <cellStyle name="Comma [0] 4 11" xfId="9163"/>
    <cellStyle name="Comma [0] 4 11 2" xfId="9164"/>
    <cellStyle name="Comma [0] 4 12" xfId="9165"/>
    <cellStyle name="Comma [0] 4 12 2" xfId="9166"/>
    <cellStyle name="Comma [0] 4 13" xfId="9167"/>
    <cellStyle name="Comma [0] 4 13 2" xfId="9168"/>
    <cellStyle name="Comma [0] 4 14" xfId="9169"/>
    <cellStyle name="Comma [0] 4 14 2" xfId="9170"/>
    <cellStyle name="Comma [0] 4 15" xfId="9171"/>
    <cellStyle name="Comma [0] 4 15 2" xfId="9172"/>
    <cellStyle name="Comma [0] 4 16" xfId="9173"/>
    <cellStyle name="Comma [0] 4 16 2" xfId="9174"/>
    <cellStyle name="Comma [0] 4 17" xfId="9175"/>
    <cellStyle name="Comma [0] 4 18" xfId="9176"/>
    <cellStyle name="Comma [0] 4 19" xfId="9177"/>
    <cellStyle name="Comma [0] 4 2" xfId="9178"/>
    <cellStyle name="Comma [0] 4 2 10" xfId="9179"/>
    <cellStyle name="Comma [0] 4 2 11" xfId="9180"/>
    <cellStyle name="Comma [0] 4 2 12" xfId="9181"/>
    <cellStyle name="Comma [0] 4 2 2" xfId="9182"/>
    <cellStyle name="Comma [0] 4 2 2 2" xfId="9183"/>
    <cellStyle name="Comma [0] 4 2 3" xfId="9184"/>
    <cellStyle name="Comma [0] 4 2 3 2" xfId="9185"/>
    <cellStyle name="Comma [0] 4 2 4" xfId="9186"/>
    <cellStyle name="Comma [0] 4 2 4 2" xfId="9187"/>
    <cellStyle name="Comma [0] 4 2 5" xfId="9188"/>
    <cellStyle name="Comma [0] 4 2 6" xfId="9189"/>
    <cellStyle name="Comma [0] 4 2 6 2" xfId="9190"/>
    <cellStyle name="Comma [0] 4 2 7" xfId="9191"/>
    <cellStyle name="Comma [0] 4 2 7 2" xfId="9192"/>
    <cellStyle name="Comma [0] 4 2 8" xfId="9193"/>
    <cellStyle name="Comma [0] 4 2 8 2" xfId="9194"/>
    <cellStyle name="Comma [0] 4 2 9" xfId="9195"/>
    <cellStyle name="Comma [0] 4 20" xfId="9196"/>
    <cellStyle name="Comma [0] 4 21" xfId="9197"/>
    <cellStyle name="Comma [0] 4 22" xfId="9198"/>
    <cellStyle name="Comma [0] 4 23" xfId="9199"/>
    <cellStyle name="Comma [0] 4 3" xfId="9200"/>
    <cellStyle name="Comma [0] 4 3 2" xfId="9201"/>
    <cellStyle name="Comma [0] 4 3 3" xfId="9202"/>
    <cellStyle name="Comma [0] 4 3 4" xfId="9203"/>
    <cellStyle name="Comma [0] 4 3 5" xfId="9204"/>
    <cellStyle name="Comma [0] 4 3 6" xfId="9205"/>
    <cellStyle name="Comma [0] 4 4" xfId="9206"/>
    <cellStyle name="Comma [0] 4 4 2" xfId="9207"/>
    <cellStyle name="Comma [0] 4 5" xfId="9208"/>
    <cellStyle name="Comma [0] 4 5 2" xfId="9209"/>
    <cellStyle name="Comma [0] 4 6" xfId="9210"/>
    <cellStyle name="Comma [0] 4 6 2" xfId="9211"/>
    <cellStyle name="Comma [0] 4 7" xfId="9212"/>
    <cellStyle name="Comma [0] 4 7 2" xfId="9213"/>
    <cellStyle name="Comma [0] 4 8" xfId="9214"/>
    <cellStyle name="Comma [0] 4 8 2" xfId="9215"/>
    <cellStyle name="Comma [0] 4 9" xfId="9216"/>
    <cellStyle name="Comma [0] 4 9 2" xfId="9217"/>
    <cellStyle name="Comma [0] 40" xfId="9218"/>
    <cellStyle name="Comma [0] 41" xfId="9219"/>
    <cellStyle name="Comma [0] 42" xfId="9220"/>
    <cellStyle name="Comma [0] 43" xfId="9221"/>
    <cellStyle name="Comma [0] 44" xfId="9222"/>
    <cellStyle name="Comma [0] 5" xfId="9223"/>
    <cellStyle name="Comma [0] 5 10" xfId="9224"/>
    <cellStyle name="Comma [0] 5 11" xfId="9225"/>
    <cellStyle name="Comma [0] 5 12" xfId="9226"/>
    <cellStyle name="Comma [0] 5 13" xfId="9227"/>
    <cellStyle name="Comma [0] 5 2" xfId="9228"/>
    <cellStyle name="Comma [0] 5 2 2" xfId="9229"/>
    <cellStyle name="Comma [0] 5 3" xfId="9230"/>
    <cellStyle name="Comma [0] 5 3 2" xfId="9231"/>
    <cellStyle name="Comma [0] 5 4" xfId="9232"/>
    <cellStyle name="Comma [0] 5 4 2" xfId="9233"/>
    <cellStyle name="Comma [0] 5 5" xfId="9234"/>
    <cellStyle name="Comma [0] 5 5 2" xfId="9235"/>
    <cellStyle name="Comma [0] 5 6" xfId="9236"/>
    <cellStyle name="Comma [0] 5 6 2" xfId="9237"/>
    <cellStyle name="Comma [0] 5 7" xfId="9238"/>
    <cellStyle name="Comma [0] 5 7 2" xfId="9239"/>
    <cellStyle name="Comma [0] 5 8" xfId="9240"/>
    <cellStyle name="Comma [0] 5 8 2" xfId="9241"/>
    <cellStyle name="Comma [0] 5 9" xfId="9242"/>
    <cellStyle name="Comma [0] 6" xfId="9243"/>
    <cellStyle name="Comma [0] 6 10" xfId="9244"/>
    <cellStyle name="Comma [0] 6 11" xfId="9245"/>
    <cellStyle name="Comma [0] 6 12" xfId="9246"/>
    <cellStyle name="Comma [0] 6 13" xfId="9247"/>
    <cellStyle name="Comma [0] 6 2" xfId="9248"/>
    <cellStyle name="Comma [0] 6 2 2" xfId="9249"/>
    <cellStyle name="Comma [0] 6 2 3" xfId="9250"/>
    <cellStyle name="Comma [0] 6 2 4" xfId="9251"/>
    <cellStyle name="Comma [0] 6 2 5" xfId="9252"/>
    <cellStyle name="Comma [0] 6 2 6" xfId="9253"/>
    <cellStyle name="Comma [0] 6 2 7" xfId="9254"/>
    <cellStyle name="Comma [0] 6 3" xfId="9255"/>
    <cellStyle name="Comma [0] 6 3 2" xfId="9256"/>
    <cellStyle name="Comma [0] 6 3 3" xfId="9257"/>
    <cellStyle name="Comma [0] 6 3 4" xfId="9258"/>
    <cellStyle name="Comma [0] 6 3 5" xfId="9259"/>
    <cellStyle name="Comma [0] 6 3 6" xfId="9260"/>
    <cellStyle name="Comma [0] 6 3 7" xfId="9261"/>
    <cellStyle name="Comma [0] 6 3 8" xfId="9262"/>
    <cellStyle name="Comma [0] 6 4" xfId="9263"/>
    <cellStyle name="Comma [0] 6 4 2" xfId="9264"/>
    <cellStyle name="Comma [0] 6 4 3" xfId="9265"/>
    <cellStyle name="Comma [0] 6 4 4" xfId="9266"/>
    <cellStyle name="Comma [0] 6 4 5" xfId="9267"/>
    <cellStyle name="Comma [0] 6 4 6" xfId="9268"/>
    <cellStyle name="Comma [0] 6 5" xfId="9269"/>
    <cellStyle name="Comma [0] 6 5 2" xfId="9270"/>
    <cellStyle name="Comma [0] 6 5 3" xfId="9271"/>
    <cellStyle name="Comma [0] 6 5 4" xfId="9272"/>
    <cellStyle name="Comma [0] 6 5 5" xfId="9273"/>
    <cellStyle name="Comma [0] 6 5 6" xfId="9274"/>
    <cellStyle name="Comma [0] 6 6" xfId="9275"/>
    <cellStyle name="Comma [0] 6 6 2" xfId="9276"/>
    <cellStyle name="Comma [0] 6 7" xfId="9277"/>
    <cellStyle name="Comma [0] 6 7 2" xfId="9278"/>
    <cellStyle name="Comma [0] 6 8" xfId="9279"/>
    <cellStyle name="Comma [0] 6 8 2" xfId="9280"/>
    <cellStyle name="Comma [0] 6 9" xfId="9281"/>
    <cellStyle name="Comma [0] 7" xfId="9282"/>
    <cellStyle name="Comma [0] 7 10" xfId="9283"/>
    <cellStyle name="Comma [0] 7 11" xfId="9284"/>
    <cellStyle name="Comma [0] 7 12" xfId="9285"/>
    <cellStyle name="Comma [0] 7 2" xfId="9286"/>
    <cellStyle name="Comma [0] 7 2 2" xfId="9287"/>
    <cellStyle name="Comma [0] 7 2 2 2" xfId="9288"/>
    <cellStyle name="Comma [0] 7 2 2 3" xfId="9289"/>
    <cellStyle name="Comma [0] 7 2 2 4" xfId="9290"/>
    <cellStyle name="Comma [0] 7 2 2 5" xfId="9291"/>
    <cellStyle name="Comma [0] 7 2 2 6" xfId="9292"/>
    <cellStyle name="Comma [0] 7 2 3" xfId="9293"/>
    <cellStyle name="Comma [0] 7 2 4" xfId="9294"/>
    <cellStyle name="Comma [0] 7 2 5" xfId="9295"/>
    <cellStyle name="Comma [0] 7 2 6" xfId="9296"/>
    <cellStyle name="Comma [0] 7 2 7" xfId="9297"/>
    <cellStyle name="Comma [0] 7 2 8" xfId="9298"/>
    <cellStyle name="Comma [0] 7 2 9" xfId="9299"/>
    <cellStyle name="Comma [0] 7 3" xfId="9300"/>
    <cellStyle name="Comma [0] 7 3 2" xfId="9301"/>
    <cellStyle name="Comma [0] 7 3 3" xfId="9302"/>
    <cellStyle name="Comma [0] 7 3 4" xfId="9303"/>
    <cellStyle name="Comma [0] 7 3 5" xfId="9304"/>
    <cellStyle name="Comma [0] 7 3 6" xfId="9305"/>
    <cellStyle name="Comma [0] 7 4" xfId="9306"/>
    <cellStyle name="Comma [0] 7 4 2" xfId="9307"/>
    <cellStyle name="Comma [0] 7 4 3" xfId="9308"/>
    <cellStyle name="Comma [0] 7 4 4" xfId="9309"/>
    <cellStyle name="Comma [0] 7 4 5" xfId="9310"/>
    <cellStyle name="Comma [0] 7 4 6" xfId="9311"/>
    <cellStyle name="Comma [0] 7 5" xfId="9312"/>
    <cellStyle name="Comma [0] 7 5 2" xfId="9313"/>
    <cellStyle name="Comma [0] 7 5 3" xfId="9314"/>
    <cellStyle name="Comma [0] 7 5 4" xfId="9315"/>
    <cellStyle name="Comma [0] 7 5 5" xfId="9316"/>
    <cellStyle name="Comma [0] 7 5 6" xfId="9317"/>
    <cellStyle name="Comma [0] 7 6" xfId="9318"/>
    <cellStyle name="Comma [0] 7 6 2" xfId="9319"/>
    <cellStyle name="Comma [0] 7 7" xfId="9320"/>
    <cellStyle name="Comma [0] 7 7 2" xfId="9321"/>
    <cellStyle name="Comma [0] 7 8" xfId="9322"/>
    <cellStyle name="Comma [0] 7 8 2" xfId="9323"/>
    <cellStyle name="Comma [0] 7 9" xfId="9324"/>
    <cellStyle name="Comma [0] 8" xfId="9325"/>
    <cellStyle name="Comma [0] 8 10" xfId="9326"/>
    <cellStyle name="Comma [0] 8 11" xfId="9327"/>
    <cellStyle name="Comma [0] 8 12" xfId="9328"/>
    <cellStyle name="Comma [0] 8 2" xfId="9329"/>
    <cellStyle name="Comma [0] 8 2 2" xfId="9330"/>
    <cellStyle name="Comma [0] 8 2 3" xfId="9331"/>
    <cellStyle name="Comma [0] 8 2 4" xfId="9332"/>
    <cellStyle name="Comma [0] 8 2 5" xfId="9333"/>
    <cellStyle name="Comma [0] 8 2 6" xfId="9334"/>
    <cellStyle name="Comma [0] 8 3" xfId="9335"/>
    <cellStyle name="Comma [0] 8 3 2" xfId="9336"/>
    <cellStyle name="Comma [0] 8 3 3" xfId="9337"/>
    <cellStyle name="Comma [0] 8 3 4" xfId="9338"/>
    <cellStyle name="Comma [0] 8 3 5" xfId="9339"/>
    <cellStyle name="Comma [0] 8 3 6" xfId="9340"/>
    <cellStyle name="Comma [0] 8 4" xfId="9341"/>
    <cellStyle name="Comma [0] 8 4 2" xfId="9342"/>
    <cellStyle name="Comma [0] 8 5" xfId="9343"/>
    <cellStyle name="Comma [0] 8 5 2" xfId="9344"/>
    <cellStyle name="Comma [0] 8 6" xfId="9345"/>
    <cellStyle name="Comma [0] 8 6 2" xfId="9346"/>
    <cellStyle name="Comma [0] 8 7" xfId="9347"/>
    <cellStyle name="Comma [0] 8 7 2" xfId="9348"/>
    <cellStyle name="Comma [0] 8 8" xfId="9349"/>
    <cellStyle name="Comma [0] 8 8 2" xfId="9350"/>
    <cellStyle name="Comma [0] 8 9" xfId="9351"/>
    <cellStyle name="Comma [0] 9" xfId="9352"/>
    <cellStyle name="Comma [0] 9 10" xfId="9353"/>
    <cellStyle name="Comma [0] 9 10 2" xfId="9354"/>
    <cellStyle name="Comma [0] 9 11" xfId="9355"/>
    <cellStyle name="Comma [0] 9 11 2" xfId="9356"/>
    <cellStyle name="Comma [0] 9 12" xfId="9357"/>
    <cellStyle name="Comma [0] 9 12 2" xfId="9358"/>
    <cellStyle name="Comma [0] 9 13" xfId="9359"/>
    <cellStyle name="Comma [0] 9 13 2" xfId="9360"/>
    <cellStyle name="Comma [0] 9 14" xfId="9361"/>
    <cellStyle name="Comma [0] 9 14 2" xfId="9362"/>
    <cellStyle name="Comma [0] 9 2" xfId="9363"/>
    <cellStyle name="Comma [0] 9 2 10" xfId="9364"/>
    <cellStyle name="Comma [0] 9 2 10 2" xfId="9365"/>
    <cellStyle name="Comma [0] 9 2 11" xfId="9366"/>
    <cellStyle name="Comma [0] 9 2 11 2" xfId="9367"/>
    <cellStyle name="Comma [0] 9 2 12" xfId="9368"/>
    <cellStyle name="Comma [0] 9 2 12 2" xfId="9369"/>
    <cellStyle name="Comma [0] 9 2 2" xfId="9370"/>
    <cellStyle name="Comma [0] 9 2 2 2" xfId="9371"/>
    <cellStyle name="Comma [0] 9 2 2 3" xfId="9372"/>
    <cellStyle name="Comma [0] 9 2 2 4" xfId="9373"/>
    <cellStyle name="Comma [0] 9 2 2 5" xfId="9374"/>
    <cellStyle name="Comma [0] 9 2 2 6" xfId="9375"/>
    <cellStyle name="Comma [0] 9 2 2 7" xfId="9376"/>
    <cellStyle name="Comma [0] 9 2 3" xfId="9377"/>
    <cellStyle name="Comma [0] 9 2 3 2" xfId="9378"/>
    <cellStyle name="Comma [0] 9 2 4" xfId="9379"/>
    <cellStyle name="Comma [0] 9 2 4 2" xfId="9380"/>
    <cellStyle name="Comma [0] 9 2 5" xfId="9381"/>
    <cellStyle name="Comma [0] 9 2 6" xfId="9382"/>
    <cellStyle name="Comma [0] 9 2 6 2" xfId="9383"/>
    <cellStyle name="Comma [0] 9 2 7" xfId="9384"/>
    <cellStyle name="Comma [0] 9 2 7 2" xfId="9385"/>
    <cellStyle name="Comma [0] 9 2 8" xfId="9386"/>
    <cellStyle name="Comma [0] 9 2 8 2" xfId="9387"/>
    <cellStyle name="Comma [0] 9 2 9" xfId="9388"/>
    <cellStyle name="Comma [0] 9 3" xfId="9389"/>
    <cellStyle name="Comma [0] 9 3 2" xfId="9390"/>
    <cellStyle name="Comma [0] 9 3 3" xfId="9391"/>
    <cellStyle name="Comma [0] 9 3 4" xfId="9392"/>
    <cellStyle name="Comma [0] 9 3 5" xfId="9393"/>
    <cellStyle name="Comma [0] 9 3 6" xfId="9394"/>
    <cellStyle name="Comma [0] 9 4" xfId="9395"/>
    <cellStyle name="Comma [0] 9 4 2" xfId="9396"/>
    <cellStyle name="Comma [0] 9 4 3" xfId="9397"/>
    <cellStyle name="Comma [0] 9 4 4" xfId="9398"/>
    <cellStyle name="Comma [0] 9 4 5" xfId="9399"/>
    <cellStyle name="Comma [0] 9 4 6" xfId="9400"/>
    <cellStyle name="Comma [0] 9 5" xfId="9401"/>
    <cellStyle name="Comma [0] 9 5 2" xfId="9402"/>
    <cellStyle name="Comma [0] 9 5 3" xfId="9403"/>
    <cellStyle name="Comma [0] 9 5 4" xfId="9404"/>
    <cellStyle name="Comma [0] 9 5 5" xfId="9405"/>
    <cellStyle name="Comma [0] 9 5 6" xfId="9406"/>
    <cellStyle name="Comma [0] 9 5 7" xfId="9407"/>
    <cellStyle name="Comma [0] 9 6" xfId="9408"/>
    <cellStyle name="Comma [0] 9 6 2" xfId="9409"/>
    <cellStyle name="Comma [0] 9 7" xfId="9410"/>
    <cellStyle name="Comma [0] 9 7 2" xfId="9411"/>
    <cellStyle name="Comma [0] 9 8" xfId="9412"/>
    <cellStyle name="Comma [0] 9 8 2" xfId="9413"/>
    <cellStyle name="Comma [0] 9 9" xfId="9414"/>
    <cellStyle name="Comma [0] 9 9 2" xfId="9415"/>
    <cellStyle name="Comma [0] red" xfId="9416"/>
    <cellStyle name="Comma [0] red 2" xfId="9417"/>
    <cellStyle name="Comma [0] red 2 2" xfId="9418"/>
    <cellStyle name="Comma [0] red 3" xfId="9419"/>
    <cellStyle name="Comma [0] red 3 2" xfId="9420"/>
    <cellStyle name="Comma [0] red 4" xfId="9421"/>
    <cellStyle name="Comma [0] red 4 2" xfId="9422"/>
    <cellStyle name="Comma [0] red 5" xfId="9423"/>
    <cellStyle name="Comma [0] red 5 2" xfId="9424"/>
    <cellStyle name="Comma [0] red 6" xfId="9425"/>
    <cellStyle name="Comma [0] red 6 2" xfId="9426"/>
    <cellStyle name="Comma [0] red 7" xfId="9427"/>
    <cellStyle name="Comma [0] red 7 2" xfId="9428"/>
    <cellStyle name="Comma [0] red 8" xfId="9429"/>
    <cellStyle name="Comma [0] red 8 2" xfId="9430"/>
    <cellStyle name="Comma [0] red 9" xfId="9431"/>
    <cellStyle name="Comma [00]" xfId="9432"/>
    <cellStyle name="Comma [00] 2" xfId="9433"/>
    <cellStyle name="Comma [00] 2 2" xfId="9434"/>
    <cellStyle name="Comma [00] 3" xfId="9435"/>
    <cellStyle name="Comma [00] 3 2" xfId="9436"/>
    <cellStyle name="Comma [00] 4" xfId="9437"/>
    <cellStyle name="Comma [00] 4 2" xfId="9438"/>
    <cellStyle name="Comma [00] 5" xfId="9439"/>
    <cellStyle name="Comma [00] 5 2" xfId="9440"/>
    <cellStyle name="Comma [00] 6" xfId="9441"/>
    <cellStyle name="Comma [00] 6 2" xfId="9442"/>
    <cellStyle name="Comma [00] 7" xfId="9443"/>
    <cellStyle name="Comma [00] 7 2" xfId="9444"/>
    <cellStyle name="Comma [00] 8" xfId="9445"/>
    <cellStyle name="Comma [00] 8 2" xfId="9446"/>
    <cellStyle name="Comma [00] 9" xfId="9447"/>
    <cellStyle name="Comma 10" xfId="9448"/>
    <cellStyle name="Comma 10 2" xfId="9449"/>
    <cellStyle name="Comma 10 2 2" xfId="9450"/>
    <cellStyle name="Comma 10 2 3" xfId="9451"/>
    <cellStyle name="Comma 10 2 4" xfId="9452"/>
    <cellStyle name="Comma 10 2 5" xfId="9453"/>
    <cellStyle name="Comma 10 2 6" xfId="9454"/>
    <cellStyle name="Comma 10 3" xfId="9455"/>
    <cellStyle name="Comma 10 3 2" xfId="9456"/>
    <cellStyle name="Comma 10 3 2 2" xfId="9457"/>
    <cellStyle name="Comma 10 3 3" xfId="9458"/>
    <cellStyle name="Comma 10 3 3 2" xfId="9459"/>
    <cellStyle name="Comma 10 3 4" xfId="9460"/>
    <cellStyle name="Comma 10 3 4 2" xfId="9461"/>
    <cellStyle name="Comma 10 3 5" xfId="9462"/>
    <cellStyle name="Comma 10 3 5 2" xfId="9463"/>
    <cellStyle name="Comma 10 3 5 2 2" xfId="9464"/>
    <cellStyle name="Comma 10 3 5 3" xfId="9465"/>
    <cellStyle name="Comma 10 3 5 4" xfId="9466"/>
    <cellStyle name="Comma 10 3 5 5" xfId="9467"/>
    <cellStyle name="Comma 10 3 6" xfId="9468"/>
    <cellStyle name="Comma 10 4" xfId="9469"/>
    <cellStyle name="Comma 10 5" xfId="9470"/>
    <cellStyle name="Comma 10 5 2" xfId="9471"/>
    <cellStyle name="Comma 10 5 2 2" xfId="9472"/>
    <cellStyle name="Comma 10 5 2 2 2" xfId="9473"/>
    <cellStyle name="Comma 10 5 2 3" xfId="9474"/>
    <cellStyle name="Comma 10 5 2 4" xfId="9475"/>
    <cellStyle name="Comma 10 6" xfId="9476"/>
    <cellStyle name="Comma 10 7" xfId="9477"/>
    <cellStyle name="Comma 10 8" xfId="9478"/>
    <cellStyle name="Comma 100" xfId="9479"/>
    <cellStyle name="Comma 100 2" xfId="9480"/>
    <cellStyle name="Comma 100 3" xfId="9481"/>
    <cellStyle name="Comma 100 4" xfId="9482"/>
    <cellStyle name="Comma 100 5" xfId="9483"/>
    <cellStyle name="Comma 100 6" xfId="9484"/>
    <cellStyle name="Comma 101" xfId="9485"/>
    <cellStyle name="Comma 102" xfId="9486"/>
    <cellStyle name="Comma 103" xfId="9487"/>
    <cellStyle name="Comma 104" xfId="9488"/>
    <cellStyle name="Comma 105" xfId="9489"/>
    <cellStyle name="Comma 106" xfId="9490"/>
    <cellStyle name="Comma 107" xfId="9491"/>
    <cellStyle name="Comma 108" xfId="9492"/>
    <cellStyle name="Comma 109" xfId="9493"/>
    <cellStyle name="Comma 11" xfId="9494"/>
    <cellStyle name="Comma 11 10" xfId="9495"/>
    <cellStyle name="Comma 11 11" xfId="9496"/>
    <cellStyle name="Comma 11 12" xfId="9497"/>
    <cellStyle name="Comma 11 13" xfId="9498"/>
    <cellStyle name="Comma 11 14" xfId="9499"/>
    <cellStyle name="Comma 11 15" xfId="9500"/>
    <cellStyle name="Comma 11 2" xfId="9501"/>
    <cellStyle name="Comma 11 2 2" xfId="9502"/>
    <cellStyle name="Comma 11 2 2 2" xfId="9503"/>
    <cellStyle name="Comma 11 2 2 2 2" xfId="9504"/>
    <cellStyle name="Comma 11 2 2 2 3" xfId="9505"/>
    <cellStyle name="Comma 11 2 2 2 4" xfId="9506"/>
    <cellStyle name="Comma 11 2 2 3" xfId="9507"/>
    <cellStyle name="Comma 11 2 2 4" xfId="9508"/>
    <cellStyle name="Comma 11 2 2 5" xfId="9509"/>
    <cellStyle name="Comma 11 2 2 6" xfId="9510"/>
    <cellStyle name="Comma 11 2 3" xfId="9511"/>
    <cellStyle name="Comma 11 2 3 2" xfId="9512"/>
    <cellStyle name="Comma 11 2 3 3" xfId="9513"/>
    <cellStyle name="Comma 11 2 3 4" xfId="9514"/>
    <cellStyle name="Comma 11 2 3 5" xfId="9515"/>
    <cellStyle name="Comma 11 2 4" xfId="9516"/>
    <cellStyle name="Comma 11 2 5" xfId="9517"/>
    <cellStyle name="Comma 11 2 6" xfId="9518"/>
    <cellStyle name="Comma 11 3" xfId="9519"/>
    <cellStyle name="Comma 11 3 10" xfId="9520"/>
    <cellStyle name="Comma 11 3 10 2" xfId="9521"/>
    <cellStyle name="Comma 11 3 2" xfId="9522"/>
    <cellStyle name="Comma 11 3 2 2" xfId="9523"/>
    <cellStyle name="Comma 11 3 2 2 2" xfId="9524"/>
    <cellStyle name="Comma 11 3 2 2 3" xfId="9525"/>
    <cellStyle name="Comma 11 3 2 2 4" xfId="9526"/>
    <cellStyle name="Comma 11 3 2 3" xfId="9527"/>
    <cellStyle name="Comma 11 3 2 4" xfId="9528"/>
    <cellStyle name="Comma 11 3 2 5" xfId="9529"/>
    <cellStyle name="Comma 11 3 3" xfId="9530"/>
    <cellStyle name="Comma 11 3 3 2" xfId="9531"/>
    <cellStyle name="Comma 11 3 3 3" xfId="9532"/>
    <cellStyle name="Comma 11 3 3 4" xfId="9533"/>
    <cellStyle name="Comma 11 3 4" xfId="9534"/>
    <cellStyle name="Comma 11 3 5" xfId="9535"/>
    <cellStyle name="Comma 11 3 6" xfId="9536"/>
    <cellStyle name="Comma 11 3 7" xfId="9537"/>
    <cellStyle name="Comma 11 3 7 2" xfId="9538"/>
    <cellStyle name="Comma 11 3 8" xfId="9539"/>
    <cellStyle name="Comma 11 3 8 2" xfId="9540"/>
    <cellStyle name="Comma 11 3 9" xfId="9541"/>
    <cellStyle name="Comma 11 3 9 2" xfId="9542"/>
    <cellStyle name="Comma 11 4" xfId="9543"/>
    <cellStyle name="Comma 11 4 10" xfId="9544"/>
    <cellStyle name="Comma 11 4 2" xfId="9545"/>
    <cellStyle name="Comma 11 4 2 2" xfId="9546"/>
    <cellStyle name="Comma 11 4 2 3" xfId="9547"/>
    <cellStyle name="Comma 11 4 2 4" xfId="9548"/>
    <cellStyle name="Comma 11 4 3" xfId="9549"/>
    <cellStyle name="Comma 11 4 4" xfId="9550"/>
    <cellStyle name="Comma 11 4 5" xfId="9551"/>
    <cellStyle name="Comma 11 4 6" xfId="9552"/>
    <cellStyle name="Comma 11 4 6 2" xfId="9553"/>
    <cellStyle name="Comma 11 4 7" xfId="9554"/>
    <cellStyle name="Comma 11 4 7 2" xfId="9555"/>
    <cellStyle name="Comma 11 4 8" xfId="9556"/>
    <cellStyle name="Comma 11 4 8 2" xfId="9557"/>
    <cellStyle name="Comma 11 4 9" xfId="9558"/>
    <cellStyle name="Comma 11 4 9 2" xfId="9559"/>
    <cellStyle name="Comma 11 5" xfId="9560"/>
    <cellStyle name="Comma 11 5 10" xfId="9561"/>
    <cellStyle name="Comma 11 5 2" xfId="9562"/>
    <cellStyle name="Comma 11 5 2 2" xfId="9563"/>
    <cellStyle name="Comma 11 5 2 3" xfId="9564"/>
    <cellStyle name="Comma 11 5 2 4" xfId="9565"/>
    <cellStyle name="Comma 11 5 3" xfId="9566"/>
    <cellStyle name="Comma 11 5 4" xfId="9567"/>
    <cellStyle name="Comma 11 5 5" xfId="9568"/>
    <cellStyle name="Comma 11 5 6" xfId="9569"/>
    <cellStyle name="Comma 11 5 6 2" xfId="9570"/>
    <cellStyle name="Comma 11 5 7" xfId="9571"/>
    <cellStyle name="Comma 11 5 7 2" xfId="9572"/>
    <cellStyle name="Comma 11 5 8" xfId="9573"/>
    <cellStyle name="Comma 11 5 8 2" xfId="9574"/>
    <cellStyle name="Comma 11 5 9" xfId="9575"/>
    <cellStyle name="Comma 11 5 9 2" xfId="9576"/>
    <cellStyle name="Comma 11 6" xfId="9577"/>
    <cellStyle name="Comma 11 6 2" xfId="9578"/>
    <cellStyle name="Comma 11 6 3" xfId="9579"/>
    <cellStyle name="Comma 11 6 4" xfId="9580"/>
    <cellStyle name="Comma 11 7" xfId="9581"/>
    <cellStyle name="Comma 11 7 2" xfId="9582"/>
    <cellStyle name="Comma 11 7 3" xfId="9583"/>
    <cellStyle name="Comma 11 7 4" xfId="9584"/>
    <cellStyle name="Comma 11 8" xfId="9585"/>
    <cellStyle name="Comma 11 8 2" xfId="9586"/>
    <cellStyle name="Comma 11 8 3" xfId="9587"/>
    <cellStyle name="Comma 11 8 4" xfId="9588"/>
    <cellStyle name="Comma 11 9" xfId="9589"/>
    <cellStyle name="Comma 110" xfId="9590"/>
    <cellStyle name="Comma 111" xfId="9591"/>
    <cellStyle name="Comma 112" xfId="9592"/>
    <cellStyle name="Comma 113" xfId="9593"/>
    <cellStyle name="Comma 113 2" xfId="9594"/>
    <cellStyle name="Comma 113 2 2" xfId="9595"/>
    <cellStyle name="Comma 113 3" xfId="9596"/>
    <cellStyle name="Comma 114" xfId="9597"/>
    <cellStyle name="Comma 114 2" xfId="9598"/>
    <cellStyle name="Comma 115" xfId="9599"/>
    <cellStyle name="Comma 115 2" xfId="9600"/>
    <cellStyle name="Comma 116" xfId="9601"/>
    <cellStyle name="Comma 116 2" xfId="9602"/>
    <cellStyle name="Comma 117" xfId="9603"/>
    <cellStyle name="Comma 117 2" xfId="9604"/>
    <cellStyle name="Comma 118" xfId="9605"/>
    <cellStyle name="Comma 118 2" xfId="9606"/>
    <cellStyle name="Comma 119" xfId="9607"/>
    <cellStyle name="Comma 119 2" xfId="9608"/>
    <cellStyle name="Comma 12" xfId="9609"/>
    <cellStyle name="Comma 12 2" xfId="9610"/>
    <cellStyle name="Comma 12 2 2" xfId="9611"/>
    <cellStyle name="Comma 12 2 3" xfId="9612"/>
    <cellStyle name="Comma 12 2 4" xfId="9613"/>
    <cellStyle name="Comma 12 2 5" xfId="9614"/>
    <cellStyle name="Comma 12 2 6" xfId="9615"/>
    <cellStyle name="Comma 12 3" xfId="9616"/>
    <cellStyle name="Comma 12 3 2" xfId="9617"/>
    <cellStyle name="Comma 12 3 3" xfId="9618"/>
    <cellStyle name="Comma 12 3 4" xfId="9619"/>
    <cellStyle name="Comma 12 3 5" xfId="9620"/>
    <cellStyle name="Comma 12 4" xfId="9621"/>
    <cellStyle name="Comma 120" xfId="9622"/>
    <cellStyle name="Comma 121" xfId="9623"/>
    <cellStyle name="Comma 121 2" xfId="9624"/>
    <cellStyle name="Comma 122" xfId="9625"/>
    <cellStyle name="Comma 123" xfId="9626"/>
    <cellStyle name="Comma 124" xfId="9627"/>
    <cellStyle name="Comma 125" xfId="9628"/>
    <cellStyle name="Comma 126" xfId="9629"/>
    <cellStyle name="Comma 127" xfId="9630"/>
    <cellStyle name="Comma 128" xfId="9631"/>
    <cellStyle name="Comma 129" xfId="9632"/>
    <cellStyle name="Comma 13" xfId="9633"/>
    <cellStyle name="Comma 13 10" xfId="9634"/>
    <cellStyle name="Comma 13 11" xfId="9635"/>
    <cellStyle name="Comma 13 12" xfId="9636"/>
    <cellStyle name="Comma 13 2" xfId="9637"/>
    <cellStyle name="Comma 13 2 2" xfId="9638"/>
    <cellStyle name="Comma 13 2 3" xfId="9639"/>
    <cellStyle name="Comma 13 2 4" xfId="9640"/>
    <cellStyle name="Comma 13 2 5" xfId="9641"/>
    <cellStyle name="Comma 13 2 6" xfId="9642"/>
    <cellStyle name="Comma 13 3" xfId="9643"/>
    <cellStyle name="Comma 13 3 2" xfId="9644"/>
    <cellStyle name="Comma 13 3 3" xfId="9645"/>
    <cellStyle name="Comma 13 3 4" xfId="9646"/>
    <cellStyle name="Comma 13 3 5" xfId="9647"/>
    <cellStyle name="Comma 13 4" xfId="9648"/>
    <cellStyle name="Comma 13 4 2" xfId="9649"/>
    <cellStyle name="Comma 13 5" xfId="9650"/>
    <cellStyle name="Comma 13 5 2" xfId="9651"/>
    <cellStyle name="Comma 13 6" xfId="9652"/>
    <cellStyle name="Comma 13 6 2" xfId="9653"/>
    <cellStyle name="Comma 13 7" xfId="9654"/>
    <cellStyle name="Comma 13 7 2" xfId="9655"/>
    <cellStyle name="Comma 13 8" xfId="9656"/>
    <cellStyle name="Comma 13 8 2" xfId="9657"/>
    <cellStyle name="Comma 13 9" xfId="9658"/>
    <cellStyle name="Comma 130" xfId="9659"/>
    <cellStyle name="Comma 131" xfId="9660"/>
    <cellStyle name="Comma 132" xfId="9661"/>
    <cellStyle name="Comma 133" xfId="9662"/>
    <cellStyle name="Comma 134" xfId="9663"/>
    <cellStyle name="Comma 135" xfId="9664"/>
    <cellStyle name="Comma 136" xfId="9665"/>
    <cellStyle name="Comma 137" xfId="9666"/>
    <cellStyle name="Comma 138" xfId="9667"/>
    <cellStyle name="Comma 139" xfId="9668"/>
    <cellStyle name="Comma 14" xfId="9669"/>
    <cellStyle name="Comma 14 2" xfId="9670"/>
    <cellStyle name="Comma 14 2 2" xfId="9671"/>
    <cellStyle name="Comma 14 2 3" xfId="9672"/>
    <cellStyle name="Comma 14 2 4" xfId="9673"/>
    <cellStyle name="Comma 14 2 5" xfId="9674"/>
    <cellStyle name="Comma 14 2 6" xfId="9675"/>
    <cellStyle name="Comma 14 3" xfId="9676"/>
    <cellStyle name="Comma 14 3 2" xfId="9677"/>
    <cellStyle name="Comma 14 3 2 2" xfId="9678"/>
    <cellStyle name="Comma 14 3 2 3" xfId="9679"/>
    <cellStyle name="Comma 14 3 3" xfId="9680"/>
    <cellStyle name="Comma 14 3 3 2" xfId="9681"/>
    <cellStyle name="Comma 14 3 4" xfId="9682"/>
    <cellStyle name="Comma 14 3 4 2" xfId="9683"/>
    <cellStyle name="Comma 14 3 5" xfId="9684"/>
    <cellStyle name="Comma 14 3 5 2" xfId="9685"/>
    <cellStyle name="Comma 14 4" xfId="9686"/>
    <cellStyle name="Comma 14 5" xfId="9687"/>
    <cellStyle name="Comma 14 6" xfId="9688"/>
    <cellStyle name="Comma 14 7" xfId="9689"/>
    <cellStyle name="Comma 14 8" xfId="9690"/>
    <cellStyle name="Comma 140" xfId="9691"/>
    <cellStyle name="Comma 141" xfId="9692"/>
    <cellStyle name="Comma 142" xfId="9693"/>
    <cellStyle name="Comma 143" xfId="9694"/>
    <cellStyle name="Comma 144" xfId="9695"/>
    <cellStyle name="Comma 144 2" xfId="9696"/>
    <cellStyle name="Comma 145" xfId="9697"/>
    <cellStyle name="Comma 146" xfId="9698"/>
    <cellStyle name="Comma 147" xfId="9699"/>
    <cellStyle name="Comma 148" xfId="9700"/>
    <cellStyle name="Comma 149" xfId="9701"/>
    <cellStyle name="Comma 15" xfId="9702"/>
    <cellStyle name="Comma 15 10" xfId="9703"/>
    <cellStyle name="Comma 15 10 2" xfId="9704"/>
    <cellStyle name="Comma 15 10 2 2" xfId="9705"/>
    <cellStyle name="Comma 15 10 3" xfId="9706"/>
    <cellStyle name="Comma 15 10 4" xfId="9707"/>
    <cellStyle name="Comma 15 11" xfId="9708"/>
    <cellStyle name="Comma 15 11 2" xfId="9709"/>
    <cellStyle name="Comma 15 12" xfId="9710"/>
    <cellStyle name="Comma 15 12 2" xfId="9711"/>
    <cellStyle name="Comma 15 13" xfId="9712"/>
    <cellStyle name="Comma 15 13 2" xfId="9713"/>
    <cellStyle name="Comma 15 14" xfId="9714"/>
    <cellStyle name="Comma 15 2" xfId="9715"/>
    <cellStyle name="Comma 15 2 2" xfId="9716"/>
    <cellStyle name="Comma 15 2 2 2" xfId="9717"/>
    <cellStyle name="Comma 15 2 2 2 2" xfId="9718"/>
    <cellStyle name="Comma 15 2 2 3" xfId="9719"/>
    <cellStyle name="Comma 15 2 2 4" xfId="9720"/>
    <cellStyle name="Comma 15 2 3" xfId="9721"/>
    <cellStyle name="Comma 15 2 3 2" xfId="9722"/>
    <cellStyle name="Comma 15 2 3 2 2" xfId="9723"/>
    <cellStyle name="Comma 15 2 3 3" xfId="9724"/>
    <cellStyle name="Comma 15 2 3 4" xfId="9725"/>
    <cellStyle name="Comma 15 2 4" xfId="9726"/>
    <cellStyle name="Comma 15 2 4 2" xfId="9727"/>
    <cellStyle name="Comma 15 2 5" xfId="9728"/>
    <cellStyle name="Comma 15 2 5 2" xfId="9729"/>
    <cellStyle name="Comma 15 2 6" xfId="9730"/>
    <cellStyle name="Comma 15 2 6 2" xfId="9731"/>
    <cellStyle name="Comma 15 2 7" xfId="9732"/>
    <cellStyle name="Comma 15 3" xfId="9733"/>
    <cellStyle name="Comma 15 3 2" xfId="9734"/>
    <cellStyle name="Comma 15 3 2 2" xfId="9735"/>
    <cellStyle name="Comma 15 3 2 2 2" xfId="9736"/>
    <cellStyle name="Comma 15 3 2 3" xfId="9737"/>
    <cellStyle name="Comma 15 3 2 4" xfId="9738"/>
    <cellStyle name="Comma 15 3 3" xfId="9739"/>
    <cellStyle name="Comma 15 3 3 2" xfId="9740"/>
    <cellStyle name="Comma 15 3 3 2 2" xfId="9741"/>
    <cellStyle name="Comma 15 3 3 3" xfId="9742"/>
    <cellStyle name="Comma 15 3 3 4" xfId="9743"/>
    <cellStyle name="Comma 15 3 4" xfId="9744"/>
    <cellStyle name="Comma 15 3 4 2" xfId="9745"/>
    <cellStyle name="Comma 15 3 5" xfId="9746"/>
    <cellStyle name="Comma 15 3 5 2" xfId="9747"/>
    <cellStyle name="Comma 15 3 6" xfId="9748"/>
    <cellStyle name="Comma 15 3 6 2" xfId="9749"/>
    <cellStyle name="Comma 15 3 7" xfId="9750"/>
    <cellStyle name="Comma 15 4" xfId="9751"/>
    <cellStyle name="Comma 15 4 2" xfId="9752"/>
    <cellStyle name="Comma 15 4 2 2" xfId="9753"/>
    <cellStyle name="Comma 15 4 2 2 2" xfId="9754"/>
    <cellStyle name="Comma 15 4 2 3" xfId="9755"/>
    <cellStyle name="Comma 15 4 2 4" xfId="9756"/>
    <cellStyle name="Comma 15 4 3" xfId="9757"/>
    <cellStyle name="Comma 15 4 3 2" xfId="9758"/>
    <cellStyle name="Comma 15 4 3 2 2" xfId="9759"/>
    <cellStyle name="Comma 15 4 3 3" xfId="9760"/>
    <cellStyle name="Comma 15 4 3 4" xfId="9761"/>
    <cellStyle name="Comma 15 4 4" xfId="9762"/>
    <cellStyle name="Comma 15 4 4 2" xfId="9763"/>
    <cellStyle name="Comma 15 4 5" xfId="9764"/>
    <cellStyle name="Comma 15 4 6" xfId="9765"/>
    <cellStyle name="Comma 15 5" xfId="9766"/>
    <cellStyle name="Comma 15 5 2" xfId="9767"/>
    <cellStyle name="Comma 15 5 2 2" xfId="9768"/>
    <cellStyle name="Comma 15 5 3" xfId="9769"/>
    <cellStyle name="Comma 15 5 4" xfId="9770"/>
    <cellStyle name="Comma 15 6" xfId="9771"/>
    <cellStyle name="Comma 15 6 2" xfId="9772"/>
    <cellStyle name="Comma 15 6 2 2" xfId="9773"/>
    <cellStyle name="Comma 15 6 3" xfId="9774"/>
    <cellStyle name="Comma 15 6 4" xfId="9775"/>
    <cellStyle name="Comma 15 7" xfId="9776"/>
    <cellStyle name="Comma 15 7 2" xfId="9777"/>
    <cellStyle name="Comma 15 7 2 2" xfId="9778"/>
    <cellStyle name="Comma 15 7 3" xfId="9779"/>
    <cellStyle name="Comma 15 7 4" xfId="9780"/>
    <cellStyle name="Comma 15 8" xfId="9781"/>
    <cellStyle name="Comma 15 8 2" xfId="9782"/>
    <cellStyle name="Comma 15 8 2 2" xfId="9783"/>
    <cellStyle name="Comma 15 8 3" xfId="9784"/>
    <cellStyle name="Comma 15 8 4" xfId="9785"/>
    <cellStyle name="Comma 15 9" xfId="9786"/>
    <cellStyle name="Comma 15 9 2" xfId="9787"/>
    <cellStyle name="Comma 15 9 2 2" xfId="9788"/>
    <cellStyle name="Comma 15 9 3" xfId="9789"/>
    <cellStyle name="Comma 15 9 4" xfId="9790"/>
    <cellStyle name="Comma 150" xfId="9791"/>
    <cellStyle name="Comma 151" xfId="9792"/>
    <cellStyle name="Comma 152" xfId="9793"/>
    <cellStyle name="Comma 153" xfId="9794"/>
    <cellStyle name="Comma 154" xfId="9795"/>
    <cellStyle name="Comma 155" xfId="9796"/>
    <cellStyle name="Comma 156" xfId="9797"/>
    <cellStyle name="Comma 157" xfId="9798"/>
    <cellStyle name="Comma 158" xfId="9799"/>
    <cellStyle name="Comma 159" xfId="9800"/>
    <cellStyle name="Comma 16" xfId="9801"/>
    <cellStyle name="Comma 16 10" xfId="9802"/>
    <cellStyle name="Comma 16 10 2" xfId="9803"/>
    <cellStyle name="Comma 16 10 2 2" xfId="9804"/>
    <cellStyle name="Comma 16 10 3" xfId="9805"/>
    <cellStyle name="Comma 16 10 4" xfId="9806"/>
    <cellStyle name="Comma 16 11" xfId="9807"/>
    <cellStyle name="Comma 16 11 2" xfId="9808"/>
    <cellStyle name="Comma 16 12" xfId="9809"/>
    <cellStyle name="Comma 16 12 2" xfId="9810"/>
    <cellStyle name="Comma 16 13" xfId="9811"/>
    <cellStyle name="Comma 16 13 2" xfId="9812"/>
    <cellStyle name="Comma 16 14" xfId="9813"/>
    <cellStyle name="Comma 16 2" xfId="9814"/>
    <cellStyle name="Comma 16 2 2" xfId="9815"/>
    <cellStyle name="Comma 16 2 2 2" xfId="9816"/>
    <cellStyle name="Comma 16 2 2 2 2" xfId="9817"/>
    <cellStyle name="Comma 16 2 2 3" xfId="9818"/>
    <cellStyle name="Comma 16 2 2 4" xfId="9819"/>
    <cellStyle name="Comma 16 2 3" xfId="9820"/>
    <cellStyle name="Comma 16 2 3 2" xfId="9821"/>
    <cellStyle name="Comma 16 2 3 2 2" xfId="9822"/>
    <cellStyle name="Comma 16 2 3 3" xfId="9823"/>
    <cellStyle name="Comma 16 2 3 4" xfId="9824"/>
    <cellStyle name="Comma 16 2 4" xfId="9825"/>
    <cellStyle name="Comma 16 2 4 2" xfId="9826"/>
    <cellStyle name="Comma 16 2 5" xfId="9827"/>
    <cellStyle name="Comma 16 2 5 2" xfId="9828"/>
    <cellStyle name="Comma 16 2 6" xfId="9829"/>
    <cellStyle name="Comma 16 2 6 2" xfId="9830"/>
    <cellStyle name="Comma 16 2 6 3" xfId="9831"/>
    <cellStyle name="Comma 16 2 7" xfId="9832"/>
    <cellStyle name="Comma 16 3" xfId="9833"/>
    <cellStyle name="Comma 16 3 2" xfId="9834"/>
    <cellStyle name="Comma 16 3 2 2" xfId="9835"/>
    <cellStyle name="Comma 16 3 2 2 2" xfId="9836"/>
    <cellStyle name="Comma 16 3 2 3" xfId="9837"/>
    <cellStyle name="Comma 16 3 2 4" xfId="9838"/>
    <cellStyle name="Comma 16 3 3" xfId="9839"/>
    <cellStyle name="Comma 16 3 3 2" xfId="9840"/>
    <cellStyle name="Comma 16 3 3 2 2" xfId="9841"/>
    <cellStyle name="Comma 16 3 3 3" xfId="9842"/>
    <cellStyle name="Comma 16 3 3 4" xfId="9843"/>
    <cellStyle name="Comma 16 3 4" xfId="9844"/>
    <cellStyle name="Comma 16 3 4 2" xfId="9845"/>
    <cellStyle name="Comma 16 3 5" xfId="9846"/>
    <cellStyle name="Comma 16 3 5 2" xfId="9847"/>
    <cellStyle name="Comma 16 3 5 3" xfId="9848"/>
    <cellStyle name="Comma 16 3 6" xfId="9849"/>
    <cellStyle name="Comma 16 3 6 2" xfId="9850"/>
    <cellStyle name="Comma 16 3 6 3" xfId="9851"/>
    <cellStyle name="Comma 16 3 7" xfId="9852"/>
    <cellStyle name="Comma 16 4" xfId="9853"/>
    <cellStyle name="Comma 16 4 2" xfId="9854"/>
    <cellStyle name="Comma 16 4 2 2" xfId="9855"/>
    <cellStyle name="Comma 16 4 2 2 2" xfId="9856"/>
    <cellStyle name="Comma 16 4 2 3" xfId="9857"/>
    <cellStyle name="Comma 16 4 2 4" xfId="9858"/>
    <cellStyle name="Comma 16 4 3" xfId="9859"/>
    <cellStyle name="Comma 16 4 3 2" xfId="9860"/>
    <cellStyle name="Comma 16 4 3 2 2" xfId="9861"/>
    <cellStyle name="Comma 16 4 3 3" xfId="9862"/>
    <cellStyle name="Comma 16 4 3 4" xfId="9863"/>
    <cellStyle name="Comma 16 4 4" xfId="9864"/>
    <cellStyle name="Comma 16 4 4 2" xfId="9865"/>
    <cellStyle name="Comma 16 4 5" xfId="9866"/>
    <cellStyle name="Comma 16 4 6" xfId="9867"/>
    <cellStyle name="Comma 16 5" xfId="9868"/>
    <cellStyle name="Comma 16 5 2" xfId="9869"/>
    <cellStyle name="Comma 16 5 2 2" xfId="9870"/>
    <cellStyle name="Comma 16 5 3" xfId="9871"/>
    <cellStyle name="Comma 16 5 4" xfId="9872"/>
    <cellStyle name="Comma 16 6" xfId="9873"/>
    <cellStyle name="Comma 16 6 2" xfId="9874"/>
    <cellStyle name="Comma 16 6 2 2" xfId="9875"/>
    <cellStyle name="Comma 16 6 3" xfId="9876"/>
    <cellStyle name="Comma 16 6 4" xfId="9877"/>
    <cellStyle name="Comma 16 7" xfId="9878"/>
    <cellStyle name="Comma 16 7 2" xfId="9879"/>
    <cellStyle name="Comma 16 7 2 2" xfId="9880"/>
    <cellStyle name="Comma 16 7 3" xfId="9881"/>
    <cellStyle name="Comma 16 7 4" xfId="9882"/>
    <cellStyle name="Comma 16 8" xfId="9883"/>
    <cellStyle name="Comma 16 8 2" xfId="9884"/>
    <cellStyle name="Comma 16 8 2 2" xfId="9885"/>
    <cellStyle name="Comma 16 8 3" xfId="9886"/>
    <cellStyle name="Comma 16 8 4" xfId="9887"/>
    <cellStyle name="Comma 16 9" xfId="9888"/>
    <cellStyle name="Comma 16 9 2" xfId="9889"/>
    <cellStyle name="Comma 16 9 2 2" xfId="9890"/>
    <cellStyle name="Comma 16 9 3" xfId="9891"/>
    <cellStyle name="Comma 16 9 4" xfId="9892"/>
    <cellStyle name="Comma 160" xfId="9893"/>
    <cellStyle name="Comma 161" xfId="9894"/>
    <cellStyle name="Comma 162" xfId="9895"/>
    <cellStyle name="Comma 163" xfId="9896"/>
    <cellStyle name="Comma 164" xfId="9897"/>
    <cellStyle name="Comma 165" xfId="9898"/>
    <cellStyle name="Comma 166" xfId="9899"/>
    <cellStyle name="Comma 167" xfId="9900"/>
    <cellStyle name="Comma 168" xfId="9901"/>
    <cellStyle name="Comma 169" xfId="9902"/>
    <cellStyle name="Comma 17" xfId="9903"/>
    <cellStyle name="Comma 17 2" xfId="9904"/>
    <cellStyle name="Comma 170" xfId="9905"/>
    <cellStyle name="Comma 171" xfId="9906"/>
    <cellStyle name="Comma 172" xfId="9907"/>
    <cellStyle name="Comma 173" xfId="9908"/>
    <cellStyle name="Comma 174" xfId="9909"/>
    <cellStyle name="Comma 175" xfId="9910"/>
    <cellStyle name="Comma 176" xfId="9911"/>
    <cellStyle name="Comma 177" xfId="9912"/>
    <cellStyle name="Comma 178" xfId="9913"/>
    <cellStyle name="Comma 179" xfId="9914"/>
    <cellStyle name="Comma 18" xfId="9915"/>
    <cellStyle name="Comma 18 2" xfId="9916"/>
    <cellStyle name="Comma 18 2 2" xfId="9917"/>
    <cellStyle name="Comma 18 2 2 2" xfId="9918"/>
    <cellStyle name="Comma 18 2 3" xfId="9919"/>
    <cellStyle name="Comma 18 2 4" xfId="9920"/>
    <cellStyle name="Comma 18 3" xfId="9921"/>
    <cellStyle name="Comma 180" xfId="9922"/>
    <cellStyle name="Comma 181" xfId="9923"/>
    <cellStyle name="Comma 182" xfId="9924"/>
    <cellStyle name="Comma 19" xfId="9925"/>
    <cellStyle name="Comma 19 2" xfId="9926"/>
    <cellStyle name="Comma 19 2 2" xfId="9927"/>
    <cellStyle name="Comma 19 2 2 2" xfId="9928"/>
    <cellStyle name="Comma 19 2 3" xfId="9929"/>
    <cellStyle name="Comma 19 2 4" xfId="9930"/>
    <cellStyle name="Comma 19 3" xfId="9931"/>
    <cellStyle name="Comma 2" xfId="9932"/>
    <cellStyle name="Comma 2 10" xfId="9933"/>
    <cellStyle name="Comma 2 10 10" xfId="9934"/>
    <cellStyle name="Comma 2 10 2" xfId="9935"/>
    <cellStyle name="Comma 2 10 2 2" xfId="9936"/>
    <cellStyle name="Comma 2 10 2 3" xfId="9937"/>
    <cellStyle name="Comma 2 10 2 4" xfId="9938"/>
    <cellStyle name="Comma 2 10 2 5" xfId="9939"/>
    <cellStyle name="Comma 2 10 3" xfId="9940"/>
    <cellStyle name="Comma 2 10 3 2" xfId="9941"/>
    <cellStyle name="Comma 2 10 4" xfId="9942"/>
    <cellStyle name="Comma 2 10 4 2" xfId="9943"/>
    <cellStyle name="Comma 2 10 5" xfId="9944"/>
    <cellStyle name="Comma 2 10 5 2" xfId="9945"/>
    <cellStyle name="Comma 2 10 6" xfId="9946"/>
    <cellStyle name="Comma 2 10 6 2" xfId="9947"/>
    <cellStyle name="Comma 2 10 7" xfId="9948"/>
    <cellStyle name="Comma 2 10 7 2" xfId="9949"/>
    <cellStyle name="Comma 2 10 8" xfId="9950"/>
    <cellStyle name="Comma 2 10 8 2" xfId="9951"/>
    <cellStyle name="Comma 2 10 9" xfId="9952"/>
    <cellStyle name="Comma 2 10 9 2" xfId="9953"/>
    <cellStyle name="Comma 2 11" xfId="9954"/>
    <cellStyle name="Comma 2 11 2" xfId="9955"/>
    <cellStyle name="Comma 2 11 2 2" xfId="9956"/>
    <cellStyle name="Comma 2 11 3" xfId="9957"/>
    <cellStyle name="Comma 2 11 3 2" xfId="9958"/>
    <cellStyle name="Comma 2 11 4" xfId="9959"/>
    <cellStyle name="Comma 2 11 4 2" xfId="9960"/>
    <cellStyle name="Comma 2 11 5" xfId="9961"/>
    <cellStyle name="Comma 2 11 5 2" xfId="9962"/>
    <cellStyle name="Comma 2 11 6" xfId="9963"/>
    <cellStyle name="Comma 2 11 6 2" xfId="9964"/>
    <cellStyle name="Comma 2 11 7" xfId="9965"/>
    <cellStyle name="Comma 2 11 7 2" xfId="9966"/>
    <cellStyle name="Comma 2 11 8" xfId="9967"/>
    <cellStyle name="Comma 2 11 8 2" xfId="9968"/>
    <cellStyle name="Comma 2 11 9" xfId="9969"/>
    <cellStyle name="Comma 2 12" xfId="9970"/>
    <cellStyle name="Comma 2 12 2" xfId="9971"/>
    <cellStyle name="Comma 2 12 2 2" xfId="9972"/>
    <cellStyle name="Comma 2 12 3" xfId="9973"/>
    <cellStyle name="Comma 2 12 3 2" xfId="9974"/>
    <cellStyle name="Comma 2 12 4" xfId="9975"/>
    <cellStyle name="Comma 2 12 4 2" xfId="9976"/>
    <cellStyle name="Comma 2 12 5" xfId="9977"/>
    <cellStyle name="Comma 2 12 5 2" xfId="9978"/>
    <cellStyle name="Comma 2 12 6" xfId="9979"/>
    <cellStyle name="Comma 2 12 6 2" xfId="9980"/>
    <cellStyle name="Comma 2 12 7" xfId="9981"/>
    <cellStyle name="Comma 2 12 7 2" xfId="9982"/>
    <cellStyle name="Comma 2 12 8" xfId="9983"/>
    <cellStyle name="Comma 2 12 8 2" xfId="9984"/>
    <cellStyle name="Comma 2 12 9" xfId="9985"/>
    <cellStyle name="Comma 2 13" xfId="9986"/>
    <cellStyle name="Comma 2 13 2" xfId="9987"/>
    <cellStyle name="Comma 2 13 2 2" xfId="9988"/>
    <cellStyle name="Comma 2 13 3" xfId="9989"/>
    <cellStyle name="Comma 2 13 3 2" xfId="9990"/>
    <cellStyle name="Comma 2 13 4" xfId="9991"/>
    <cellStyle name="Comma 2 13 4 2" xfId="9992"/>
    <cellStyle name="Comma 2 13 5" xfId="9993"/>
    <cellStyle name="Comma 2 13 5 2" xfId="9994"/>
    <cellStyle name="Comma 2 13 6" xfId="9995"/>
    <cellStyle name="Comma 2 13 6 2" xfId="9996"/>
    <cellStyle name="Comma 2 13 7" xfId="9997"/>
    <cellStyle name="Comma 2 13 7 2" xfId="9998"/>
    <cellStyle name="Comma 2 13 8" xfId="9999"/>
    <cellStyle name="Comma 2 14" xfId="10000"/>
    <cellStyle name="Comma 2 14 2" xfId="10001"/>
    <cellStyle name="Comma 2 14 2 2" xfId="10002"/>
    <cellStyle name="Comma 2 14 3" xfId="10003"/>
    <cellStyle name="Comma 2 14 3 2" xfId="10004"/>
    <cellStyle name="Comma 2 14 4" xfId="10005"/>
    <cellStyle name="Comma 2 14 5" xfId="10006"/>
    <cellStyle name="Comma 2 14 5 2" xfId="10007"/>
    <cellStyle name="Comma 2 14 6" xfId="10008"/>
    <cellStyle name="Comma 2 14 6 2" xfId="10009"/>
    <cellStyle name="Comma 2 14 7" xfId="10010"/>
    <cellStyle name="Comma 2 14 7 2" xfId="10011"/>
    <cellStyle name="Comma 2 14 8" xfId="10012"/>
    <cellStyle name="Comma 2 14 8 2" xfId="10013"/>
    <cellStyle name="Comma 2 15" xfId="10014"/>
    <cellStyle name="Comma 2 15 2" xfId="10015"/>
    <cellStyle name="Comma 2 15 3" xfId="10016"/>
    <cellStyle name="Comma 2 15 3 2" xfId="10017"/>
    <cellStyle name="Comma 2 15 4" xfId="10018"/>
    <cellStyle name="Comma 2 15 4 2" xfId="10019"/>
    <cellStyle name="Comma 2 15 5" xfId="10020"/>
    <cellStyle name="Comma 2 15 5 2" xfId="10021"/>
    <cellStyle name="Comma 2 15 6" xfId="10022"/>
    <cellStyle name="Comma 2 15 6 2" xfId="10023"/>
    <cellStyle name="Comma 2 15 7" xfId="10024"/>
    <cellStyle name="Comma 2 15 7 2" xfId="10025"/>
    <cellStyle name="Comma 2 15 8" xfId="10026"/>
    <cellStyle name="Comma 2 15 8 2" xfId="10027"/>
    <cellStyle name="Comma 2 16" xfId="10028"/>
    <cellStyle name="Comma 2 16 2" xfId="10029"/>
    <cellStyle name="Comma 2 16 2 2" xfId="10030"/>
    <cellStyle name="Comma 2 16 3" xfId="10031"/>
    <cellStyle name="Comma 2 16 3 2" xfId="10032"/>
    <cellStyle name="Comma 2 16 4" xfId="10033"/>
    <cellStyle name="Comma 2 16 4 2" xfId="10034"/>
    <cellStyle name="Comma 2 16 5" xfId="10035"/>
    <cellStyle name="Comma 2 16 5 2" xfId="10036"/>
    <cellStyle name="Comma 2 16 6" xfId="10037"/>
    <cellStyle name="Comma 2 16 6 2" xfId="10038"/>
    <cellStyle name="Comma 2 16 7" xfId="10039"/>
    <cellStyle name="Comma 2 16 7 2" xfId="10040"/>
    <cellStyle name="Comma 2 16 8" xfId="10041"/>
    <cellStyle name="Comma 2 16 8 2" xfId="10042"/>
    <cellStyle name="Comma 2 16 9" xfId="10043"/>
    <cellStyle name="Comma 2 17" xfId="10044"/>
    <cellStyle name="Comma 2 17 2" xfId="10045"/>
    <cellStyle name="Comma 2 17 2 2" xfId="10046"/>
    <cellStyle name="Comma 2 17 2 2 2" xfId="10047"/>
    <cellStyle name="Comma 2 17 2 3" xfId="10048"/>
    <cellStyle name="Comma 2 17 2 3 10" xfId="10049"/>
    <cellStyle name="Comma 2 17 2 3 11" xfId="10050"/>
    <cellStyle name="Comma 2 17 2 3 2" xfId="10051"/>
    <cellStyle name="Comma 2 17 2 3 2 2" xfId="10052"/>
    <cellStyle name="Comma 2 17 2 3 3" xfId="10053"/>
    <cellStyle name="Comma 2 17 2 3 3 2" xfId="10054"/>
    <cellStyle name="Comma 2 17 2 3 4" xfId="10055"/>
    <cellStyle name="Comma 2 17 2 3 4 2" xfId="10056"/>
    <cellStyle name="Comma 2 17 2 3 5" xfId="10057"/>
    <cellStyle name="Comma 2 17 2 3 5 2" xfId="10058"/>
    <cellStyle name="Comma 2 17 2 3 6" xfId="10059"/>
    <cellStyle name="Comma 2 17 2 3 6 2" xfId="10060"/>
    <cellStyle name="Comma 2 17 2 3 7" xfId="10061"/>
    <cellStyle name="Comma 2 17 2 3 7 2" xfId="10062"/>
    <cellStyle name="Comma 2 17 2 3 8" xfId="10063"/>
    <cellStyle name="Comma 2 17 2 3 8 2" xfId="10064"/>
    <cellStyle name="Comma 2 17 2 3 9" xfId="10065"/>
    <cellStyle name="Comma 2 17 2 3 9 2" xfId="10066"/>
    <cellStyle name="Comma 2 17 2 4" xfId="10067"/>
    <cellStyle name="Comma 2 17 2 4 2" xfId="10068"/>
    <cellStyle name="Comma 2 17 2 5" xfId="10069"/>
    <cellStyle name="Comma 2 17 2 5 2" xfId="10070"/>
    <cellStyle name="Comma 2 17 2 6" xfId="10071"/>
    <cellStyle name="Comma 2 17 2 6 2" xfId="10072"/>
    <cellStyle name="Comma 2 17 2 7" xfId="10073"/>
    <cellStyle name="Comma 2 17 2 7 2" xfId="10074"/>
    <cellStyle name="Comma 2 17 2 8" xfId="10075"/>
    <cellStyle name="Comma 2 17 2 8 2" xfId="10076"/>
    <cellStyle name="Comma 2 17 2 9" xfId="10077"/>
    <cellStyle name="Comma 2 17 3" xfId="10078"/>
    <cellStyle name="Comma 2 17 3 2" xfId="10079"/>
    <cellStyle name="Comma 2 17 4" xfId="10080"/>
    <cellStyle name="Comma 2 17 4 2" xfId="10081"/>
    <cellStyle name="Comma 2 17 5" xfId="10082"/>
    <cellStyle name="Comma 2 17 5 2" xfId="10083"/>
    <cellStyle name="Comma 2 17 6" xfId="10084"/>
    <cellStyle name="Comma 2 17 6 2" xfId="10085"/>
    <cellStyle name="Comma 2 17 7" xfId="10086"/>
    <cellStyle name="Comma 2 17 8" xfId="10087"/>
    <cellStyle name="Comma 2 17 9" xfId="10088"/>
    <cellStyle name="Comma 2 17 9 2" xfId="10089"/>
    <cellStyle name="Comma 2 18" xfId="10090"/>
    <cellStyle name="Comma 2 18 2" xfId="10091"/>
    <cellStyle name="Comma 2 18 2 2" xfId="10092"/>
    <cellStyle name="Comma 2 18 3" xfId="10093"/>
    <cellStyle name="Comma 2 18 3 2" xfId="10094"/>
    <cellStyle name="Comma 2 18 4" xfId="10095"/>
    <cellStyle name="Comma 2 18 5" xfId="10096"/>
    <cellStyle name="Comma 2 18 5 2" xfId="10097"/>
    <cellStyle name="Comma 2 18 6" xfId="10098"/>
    <cellStyle name="Comma 2 18 6 2" xfId="10099"/>
    <cellStyle name="Comma 2 18 7" xfId="10100"/>
    <cellStyle name="Comma 2 18 7 2" xfId="10101"/>
    <cellStyle name="Comma 2 18 8" xfId="10102"/>
    <cellStyle name="Comma 2 18 8 2" xfId="10103"/>
    <cellStyle name="Comma 2 19" xfId="10104"/>
    <cellStyle name="Comma 2 19 2" xfId="10105"/>
    <cellStyle name="Comma 2 19 2 2" xfId="10106"/>
    <cellStyle name="Comma 2 19 3" xfId="10107"/>
    <cellStyle name="Comma 2 19 3 2" xfId="10108"/>
    <cellStyle name="Comma 2 19 4" xfId="10109"/>
    <cellStyle name="Comma 2 19 4 2" xfId="10110"/>
    <cellStyle name="Comma 2 19 5" xfId="10111"/>
    <cellStyle name="Comma 2 19 5 2" xfId="10112"/>
    <cellStyle name="Comma 2 19 6" xfId="10113"/>
    <cellStyle name="Comma 2 19 6 2" xfId="10114"/>
    <cellStyle name="Comma 2 19 7" xfId="10115"/>
    <cellStyle name="Comma 2 19 7 2" xfId="10116"/>
    <cellStyle name="Comma 2 19 8" xfId="10117"/>
    <cellStyle name="Comma 2 19 8 2" xfId="10118"/>
    <cellStyle name="Comma 2 19 9" xfId="10119"/>
    <cellStyle name="Comma 2 2" xfId="10120"/>
    <cellStyle name="Comma 2 2 10" xfId="10121"/>
    <cellStyle name="Comma 2 2 11" xfId="10122"/>
    <cellStyle name="Comma 2 2 12" xfId="10123"/>
    <cellStyle name="Comma 2 2 13" xfId="10124"/>
    <cellStyle name="Comma 2 2 14" xfId="10125"/>
    <cellStyle name="Comma 2 2 2" xfId="10126"/>
    <cellStyle name="Comma 2 2 2 2" xfId="10127"/>
    <cellStyle name="Comma 2 2 3" xfId="10128"/>
    <cellStyle name="Comma 2 2 3 2" xfId="10129"/>
    <cellStyle name="Comma 2 2 4" xfId="10130"/>
    <cellStyle name="Comma 2 2 4 2" xfId="10131"/>
    <cellStyle name="Comma 2 2 5" xfId="10132"/>
    <cellStyle name="Comma 2 2 5 2" xfId="10133"/>
    <cellStyle name="Comma 2 2 6" xfId="10134"/>
    <cellStyle name="Comma 2 2 6 2" xfId="10135"/>
    <cellStyle name="Comma 2 2 7" xfId="10136"/>
    <cellStyle name="Comma 2 2 7 2" xfId="10137"/>
    <cellStyle name="Comma 2 2 8" xfId="10138"/>
    <cellStyle name="Comma 2 2 8 2" xfId="10139"/>
    <cellStyle name="Comma 2 2 9" xfId="10140"/>
    <cellStyle name="Comma 2 2 9 2" xfId="10141"/>
    <cellStyle name="Comma 2 20" xfId="10142"/>
    <cellStyle name="Comma 2 20 2" xfId="10143"/>
    <cellStyle name="Comma 2 20 3" xfId="10144"/>
    <cellStyle name="Comma 2 20 3 2" xfId="10145"/>
    <cellStyle name="Comma 2 20 4" xfId="10146"/>
    <cellStyle name="Comma 2 20 4 2" xfId="10147"/>
    <cellStyle name="Comma 2 20 5" xfId="10148"/>
    <cellStyle name="Comma 2 20 5 2" xfId="10149"/>
    <cellStyle name="Comma 2 20 6" xfId="10150"/>
    <cellStyle name="Comma 2 20 6 2" xfId="10151"/>
    <cellStyle name="Comma 2 20 7" xfId="10152"/>
    <cellStyle name="Comma 2 20 7 2" xfId="10153"/>
    <cellStyle name="Comma 2 20 8" xfId="10154"/>
    <cellStyle name="Comma 2 20 8 2" xfId="10155"/>
    <cellStyle name="Comma 2 21" xfId="10156"/>
    <cellStyle name="Comma 2 21 2" xfId="10157"/>
    <cellStyle name="Comma 2 21 2 2" xfId="10158"/>
    <cellStyle name="Comma 2 21 3" xfId="10159"/>
    <cellStyle name="Comma 2 21 3 2" xfId="10160"/>
    <cellStyle name="Comma 2 21 4" xfId="10161"/>
    <cellStyle name="Comma 2 21 4 2" xfId="10162"/>
    <cellStyle name="Comma 2 21 5" xfId="10163"/>
    <cellStyle name="Comma 2 21 5 2" xfId="10164"/>
    <cellStyle name="Comma 2 21 6" xfId="10165"/>
    <cellStyle name="Comma 2 21 6 2" xfId="10166"/>
    <cellStyle name="Comma 2 21 7" xfId="10167"/>
    <cellStyle name="Comma 2 21 7 2" xfId="10168"/>
    <cellStyle name="Comma 2 21 8" xfId="10169"/>
    <cellStyle name="Comma 2 21 8 2" xfId="10170"/>
    <cellStyle name="Comma 2 21 9" xfId="10171"/>
    <cellStyle name="Comma 2 22" xfId="10172"/>
    <cellStyle name="Comma 2 22 2" xfId="10173"/>
    <cellStyle name="Comma 2 22 2 2" xfId="10174"/>
    <cellStyle name="Comma 2 22 3" xfId="10175"/>
    <cellStyle name="Comma 2 22 3 2" xfId="10176"/>
    <cellStyle name="Comma 2 22 4" xfId="10177"/>
    <cellStyle name="Comma 2 22 4 2" xfId="10178"/>
    <cellStyle name="Comma 2 22 5" xfId="10179"/>
    <cellStyle name="Comma 2 22 5 2" xfId="10180"/>
    <cellStyle name="Comma 2 22 6" xfId="10181"/>
    <cellStyle name="Comma 2 22 6 2" xfId="10182"/>
    <cellStyle name="Comma 2 22 7" xfId="10183"/>
    <cellStyle name="Comma 2 22 8" xfId="10184"/>
    <cellStyle name="Comma 2 23" xfId="10185"/>
    <cellStyle name="Comma 2 23 2" xfId="10186"/>
    <cellStyle name="Comma 2 23 2 2" xfId="10187"/>
    <cellStyle name="Comma 2 23 3" xfId="10188"/>
    <cellStyle name="Comma 2 23 3 2" xfId="10189"/>
    <cellStyle name="Comma 2 23 4" xfId="10190"/>
    <cellStyle name="Comma 2 23 5" xfId="10191"/>
    <cellStyle name="Comma 2 23 5 2" xfId="10192"/>
    <cellStyle name="Comma 2 23 6" xfId="10193"/>
    <cellStyle name="Comma 2 23 6 2" xfId="10194"/>
    <cellStyle name="Comma 2 23 7" xfId="10195"/>
    <cellStyle name="Comma 2 23 7 2" xfId="10196"/>
    <cellStyle name="Comma 2 23 8" xfId="10197"/>
    <cellStyle name="Comma 2 23 8 2" xfId="10198"/>
    <cellStyle name="Comma 2 24" xfId="10199"/>
    <cellStyle name="Comma 2 24 2" xfId="10200"/>
    <cellStyle name="Comma 2 24 2 2" xfId="10201"/>
    <cellStyle name="Comma 2 24 3" xfId="10202"/>
    <cellStyle name="Comma 2 24 3 2" xfId="10203"/>
    <cellStyle name="Comma 2 24 4" xfId="10204"/>
    <cellStyle name="Comma 2 24 4 2" xfId="10205"/>
    <cellStyle name="Comma 2 24 5" xfId="10206"/>
    <cellStyle name="Comma 2 24 5 2" xfId="10207"/>
    <cellStyle name="Comma 2 24 6" xfId="10208"/>
    <cellStyle name="Comma 2 24 6 2" xfId="10209"/>
    <cellStyle name="Comma 2 24 7" xfId="10210"/>
    <cellStyle name="Comma 2 24 7 2" xfId="10211"/>
    <cellStyle name="Comma 2 24 8" xfId="10212"/>
    <cellStyle name="Comma 2 24 8 2" xfId="10213"/>
    <cellStyle name="Comma 2 24 9" xfId="10214"/>
    <cellStyle name="Comma 2 25" xfId="10215"/>
    <cellStyle name="Comma 2 25 2" xfId="10216"/>
    <cellStyle name="Comma 2 25 2 2" xfId="10217"/>
    <cellStyle name="Comma 2 25 3" xfId="10218"/>
    <cellStyle name="Comma 2 25 3 2" xfId="10219"/>
    <cellStyle name="Comma 2 25 4" xfId="10220"/>
    <cellStyle name="Comma 2 25 4 2" xfId="10221"/>
    <cellStyle name="Comma 2 25 5" xfId="10222"/>
    <cellStyle name="Comma 2 25 5 2" xfId="10223"/>
    <cellStyle name="Comma 2 25 6" xfId="10224"/>
    <cellStyle name="Comma 2 25 6 2" xfId="10225"/>
    <cellStyle name="Comma 2 25 7" xfId="10226"/>
    <cellStyle name="Comma 2 25 7 2" xfId="10227"/>
    <cellStyle name="Comma 2 25 8" xfId="10228"/>
    <cellStyle name="Comma 2 25 8 2" xfId="10229"/>
    <cellStyle name="Comma 2 25 9" xfId="10230"/>
    <cellStyle name="Comma 2 26" xfId="10231"/>
    <cellStyle name="Comma 2 26 2" xfId="10232"/>
    <cellStyle name="Comma 2 26 2 2" xfId="10233"/>
    <cellStyle name="Comma 2 26 3" xfId="10234"/>
    <cellStyle name="Comma 2 26 3 2" xfId="10235"/>
    <cellStyle name="Comma 2 26 4" xfId="10236"/>
    <cellStyle name="Comma 2 26 4 2" xfId="10237"/>
    <cellStyle name="Comma 2 26 5" xfId="10238"/>
    <cellStyle name="Comma 2 26 5 2" xfId="10239"/>
    <cellStyle name="Comma 2 26 6" xfId="10240"/>
    <cellStyle name="Comma 2 26 6 2" xfId="10241"/>
    <cellStyle name="Comma 2 26 7" xfId="10242"/>
    <cellStyle name="Comma 2 26 8" xfId="10243"/>
    <cellStyle name="Comma 2 27" xfId="10244"/>
    <cellStyle name="Comma 2 27 2" xfId="10245"/>
    <cellStyle name="Comma 2 28" xfId="10246"/>
    <cellStyle name="Comma 2 28 2" xfId="10247"/>
    <cellStyle name="Comma 2 29" xfId="10248"/>
    <cellStyle name="Comma 2 29 2" xfId="10249"/>
    <cellStyle name="Comma 2 3" xfId="10250"/>
    <cellStyle name="Comma 2 3 10" xfId="10251"/>
    <cellStyle name="Comma 2 3 11" xfId="10252"/>
    <cellStyle name="Comma 2 3 12" xfId="10253"/>
    <cellStyle name="Comma 2 3 2" xfId="10254"/>
    <cellStyle name="Comma 2 3 2 2" xfId="10255"/>
    <cellStyle name="Comma 2 3 3" xfId="10256"/>
    <cellStyle name="Comma 2 3 3 2" xfId="10257"/>
    <cellStyle name="Comma 2 3 4" xfId="10258"/>
    <cellStyle name="Comma 2 3 4 2" xfId="10259"/>
    <cellStyle name="Comma 2 3 5" xfId="10260"/>
    <cellStyle name="Comma 2 3 5 2" xfId="10261"/>
    <cellStyle name="Comma 2 3 6" xfId="10262"/>
    <cellStyle name="Comma 2 3 6 2" xfId="10263"/>
    <cellStyle name="Comma 2 3 7" xfId="10264"/>
    <cellStyle name="Comma 2 3 7 2" xfId="10265"/>
    <cellStyle name="Comma 2 3 8" xfId="10266"/>
    <cellStyle name="Comma 2 3 8 2" xfId="10267"/>
    <cellStyle name="Comma 2 3 9" xfId="10268"/>
    <cellStyle name="Comma 2 30" xfId="10269"/>
    <cellStyle name="Comma 2 30 2" xfId="10270"/>
    <cellStyle name="Comma 2 30 2 2" xfId="10271"/>
    <cellStyle name="Comma 2 30 3" xfId="10272"/>
    <cellStyle name="Comma 2 30 3 2" xfId="10273"/>
    <cellStyle name="Comma 2 30 4" xfId="10274"/>
    <cellStyle name="Comma 2 30 4 2" xfId="10275"/>
    <cellStyle name="Comma 2 30 5" xfId="10276"/>
    <cellStyle name="Comma 2 30 5 2" xfId="10277"/>
    <cellStyle name="Comma 2 30 6" xfId="10278"/>
    <cellStyle name="Comma 2 30 6 2" xfId="10279"/>
    <cellStyle name="Comma 2 30 7" xfId="10280"/>
    <cellStyle name="Comma 2 30 7 2" xfId="10281"/>
    <cellStyle name="Comma 2 30 8" xfId="10282"/>
    <cellStyle name="Comma 2 30 8 2" xfId="10283"/>
    <cellStyle name="Comma 2 30 9" xfId="10284"/>
    <cellStyle name="Comma 2 31" xfId="10285"/>
    <cellStyle name="Comma 2 31 2" xfId="10286"/>
    <cellStyle name="Comma 2 31 2 2" xfId="10287"/>
    <cellStyle name="Comma 2 31 3" xfId="10288"/>
    <cellStyle name="Comma 2 31 3 2" xfId="10289"/>
    <cellStyle name="Comma 2 31 4" xfId="10290"/>
    <cellStyle name="Comma 2 31 4 2" xfId="10291"/>
    <cellStyle name="Comma 2 31 5" xfId="10292"/>
    <cellStyle name="Comma 2 31 5 2" xfId="10293"/>
    <cellStyle name="Comma 2 31 6" xfId="10294"/>
    <cellStyle name="Comma 2 31 6 2" xfId="10295"/>
    <cellStyle name="Comma 2 31 7" xfId="10296"/>
    <cellStyle name="Comma 2 31 8" xfId="10297"/>
    <cellStyle name="Comma 2 32" xfId="10298"/>
    <cellStyle name="Comma 2 32 2" xfId="10299"/>
    <cellStyle name="Comma 2 32 2 2" xfId="10300"/>
    <cellStyle name="Comma 2 32 3" xfId="10301"/>
    <cellStyle name="Comma 2 32 3 2" xfId="10302"/>
    <cellStyle name="Comma 2 32 4" xfId="10303"/>
    <cellStyle name="Comma 2 32 4 2" xfId="10304"/>
    <cellStyle name="Comma 2 32 5" xfId="10305"/>
    <cellStyle name="Comma 2 32 5 2" xfId="10306"/>
    <cellStyle name="Comma 2 32 6" xfId="10307"/>
    <cellStyle name="Comma 2 32 6 2" xfId="10308"/>
    <cellStyle name="Comma 2 32 7" xfId="10309"/>
    <cellStyle name="Comma 2 32 7 2" xfId="10310"/>
    <cellStyle name="Comma 2 32 8" xfId="10311"/>
    <cellStyle name="Comma 2 32 8 2" xfId="10312"/>
    <cellStyle name="Comma 2 32 9" xfId="10313"/>
    <cellStyle name="Comma 2 33" xfId="10314"/>
    <cellStyle name="Comma 2 33 2" xfId="10315"/>
    <cellStyle name="Comma 2 33 2 2" xfId="10316"/>
    <cellStyle name="Comma 2 33 3" xfId="10317"/>
    <cellStyle name="Comma 2 33 3 2" xfId="10318"/>
    <cellStyle name="Comma 2 33 4" xfId="10319"/>
    <cellStyle name="Comma 2 33 4 2" xfId="10320"/>
    <cellStyle name="Comma 2 33 5" xfId="10321"/>
    <cellStyle name="Comma 2 33 6" xfId="10322"/>
    <cellStyle name="Comma 2 33 6 2" xfId="10323"/>
    <cellStyle name="Comma 2 33 7" xfId="10324"/>
    <cellStyle name="Comma 2 33 7 2" xfId="10325"/>
    <cellStyle name="Comma 2 33 8" xfId="10326"/>
    <cellStyle name="Comma 2 33 8 2" xfId="10327"/>
    <cellStyle name="Comma 2 33 9" xfId="10328"/>
    <cellStyle name="Comma 2 34" xfId="10329"/>
    <cellStyle name="Comma 2 34 2" xfId="10330"/>
    <cellStyle name="Comma 2 34 2 2" xfId="10331"/>
    <cellStyle name="Comma 2 34 3" xfId="10332"/>
    <cellStyle name="Comma 2 34 3 2" xfId="10333"/>
    <cellStyle name="Comma 2 34 4" xfId="10334"/>
    <cellStyle name="Comma 2 34 4 2" xfId="10335"/>
    <cellStyle name="Comma 2 34 5" xfId="10336"/>
    <cellStyle name="Comma 2 34 5 2" xfId="10337"/>
    <cellStyle name="Comma 2 34 6" xfId="10338"/>
    <cellStyle name="Comma 2 34 6 2" xfId="10339"/>
    <cellStyle name="Comma 2 34 7" xfId="10340"/>
    <cellStyle name="Comma 2 34 7 2" xfId="10341"/>
    <cellStyle name="Comma 2 34 8" xfId="10342"/>
    <cellStyle name="Comma 2 34 8 2" xfId="10343"/>
    <cellStyle name="Comma 2 34 9" xfId="10344"/>
    <cellStyle name="Comma 2 35" xfId="10345"/>
    <cellStyle name="Comma 2 35 2" xfId="10346"/>
    <cellStyle name="Comma 2 35 2 2" xfId="10347"/>
    <cellStyle name="Comma 2 35 3" xfId="10348"/>
    <cellStyle name="Comma 2 35 3 2" xfId="10349"/>
    <cellStyle name="Comma 2 35 4" xfId="10350"/>
    <cellStyle name="Comma 2 35 4 2" xfId="10351"/>
    <cellStyle name="Comma 2 35 5" xfId="10352"/>
    <cellStyle name="Comma 2 35 5 2" xfId="10353"/>
    <cellStyle name="Comma 2 35 6" xfId="10354"/>
    <cellStyle name="Comma 2 35 6 2" xfId="10355"/>
    <cellStyle name="Comma 2 35 7" xfId="10356"/>
    <cellStyle name="Comma 2 35 8" xfId="10357"/>
    <cellStyle name="Comma 2 35 8 2" xfId="10358"/>
    <cellStyle name="Comma 2 36" xfId="10359"/>
    <cellStyle name="Comma 2 36 2" xfId="10360"/>
    <cellStyle name="Comma 2 36 2 2" xfId="10361"/>
    <cellStyle name="Comma 2 36 3" xfId="10362"/>
    <cellStyle name="Comma 2 36 3 2" xfId="10363"/>
    <cellStyle name="Comma 2 36 4" xfId="10364"/>
    <cellStyle name="Comma 2 36 4 2" xfId="10365"/>
    <cellStyle name="Comma 2 36 5" xfId="10366"/>
    <cellStyle name="Comma 2 36 5 2" xfId="10367"/>
    <cellStyle name="Comma 2 36 6" xfId="10368"/>
    <cellStyle name="Comma 2 36 7" xfId="10369"/>
    <cellStyle name="Comma 2 36 8" xfId="10370"/>
    <cellStyle name="Comma 2 37" xfId="10371"/>
    <cellStyle name="Comma 2 37 2" xfId="10372"/>
    <cellStyle name="Comma 2 37 2 2" xfId="10373"/>
    <cellStyle name="Comma 2 37 3" xfId="10374"/>
    <cellStyle name="Comma 2 37 3 2" xfId="10375"/>
    <cellStyle name="Comma 2 38" xfId="10376"/>
    <cellStyle name="Comma 2 38 10" xfId="10377"/>
    <cellStyle name="Comma 2 38 11" xfId="10378"/>
    <cellStyle name="Comma 2 38 2" xfId="10379"/>
    <cellStyle name="Comma 2 38 3" xfId="10380"/>
    <cellStyle name="Comma 2 38 3 2" xfId="10381"/>
    <cellStyle name="Comma 2 38 4" xfId="10382"/>
    <cellStyle name="Comma 2 38 4 2" xfId="10383"/>
    <cellStyle name="Comma 2 38 5" xfId="10384"/>
    <cellStyle name="Comma 2 38 5 2" xfId="10385"/>
    <cellStyle name="Comma 2 38 6" xfId="10386"/>
    <cellStyle name="Comma 2 38 7" xfId="10387"/>
    <cellStyle name="Comma 2 38 7 2" xfId="10388"/>
    <cellStyle name="Comma 2 38 8" xfId="10389"/>
    <cellStyle name="Comma 2 38 8 2" xfId="10390"/>
    <cellStyle name="Comma 2 38 9" xfId="10391"/>
    <cellStyle name="Comma 2 38 9 2" xfId="10392"/>
    <cellStyle name="Comma 2 39" xfId="10393"/>
    <cellStyle name="Comma 2 39 2" xfId="10394"/>
    <cellStyle name="Comma 2 39 3" xfId="10395"/>
    <cellStyle name="Comma 2 39 4" xfId="10396"/>
    <cellStyle name="Comma 2 39 5" xfId="10397"/>
    <cellStyle name="Comma 2 39 6" xfId="10398"/>
    <cellStyle name="Comma 2 4" xfId="10399"/>
    <cellStyle name="Comma 2 4 2" xfId="10400"/>
    <cellStyle name="Comma 2 4 3" xfId="10401"/>
    <cellStyle name="Comma 2 4 3 2" xfId="10402"/>
    <cellStyle name="Comma 2 4 4" xfId="10403"/>
    <cellStyle name="Comma 2 4 4 2" xfId="10404"/>
    <cellStyle name="Comma 2 4 5" xfId="10405"/>
    <cellStyle name="Comma 2 4 6" xfId="10406"/>
    <cellStyle name="Comma 2 4 7" xfId="10407"/>
    <cellStyle name="Comma 2 4 8" xfId="10408"/>
    <cellStyle name="Comma 2 40" xfId="10409"/>
    <cellStyle name="Comma 2 40 2" xfId="10410"/>
    <cellStyle name="Comma 2 41" xfId="10411"/>
    <cellStyle name="Comma 2 42" xfId="10412"/>
    <cellStyle name="Comma 2 43" xfId="10413"/>
    <cellStyle name="Comma 2 43 2" xfId="10414"/>
    <cellStyle name="Comma 2 44" xfId="10415"/>
    <cellStyle name="Comma 2 44 2" xfId="10416"/>
    <cellStyle name="Comma 2 45" xfId="10417"/>
    <cellStyle name="Comma 2 45 2" xfId="10418"/>
    <cellStyle name="Comma 2 46" xfId="10419"/>
    <cellStyle name="Comma 2 46 2" xfId="10420"/>
    <cellStyle name="Comma 2 47" xfId="10421"/>
    <cellStyle name="Comma 2 47 2" xfId="10422"/>
    <cellStyle name="Comma 2 48" xfId="10423"/>
    <cellStyle name="Comma 2 48 2" xfId="10424"/>
    <cellStyle name="Comma 2 49" xfId="10425"/>
    <cellStyle name="Comma 2 5" xfId="10426"/>
    <cellStyle name="Comma 2 5 2" xfId="10427"/>
    <cellStyle name="Comma 2 5 3" xfId="10428"/>
    <cellStyle name="Comma 2 5 3 2" xfId="10429"/>
    <cellStyle name="Comma 2 5 4" xfId="10430"/>
    <cellStyle name="Comma 2 5 5" xfId="10431"/>
    <cellStyle name="Comma 2 5 6" xfId="10432"/>
    <cellStyle name="Comma 2 5 7" xfId="10433"/>
    <cellStyle name="Comma 2 5 8" xfId="10434"/>
    <cellStyle name="Comma 2 5 8 2" xfId="10435"/>
    <cellStyle name="Comma 2 50" xfId="10436"/>
    <cellStyle name="Comma 2 51" xfId="10437"/>
    <cellStyle name="Comma 2 52" xfId="10438"/>
    <cellStyle name="Comma 2 6" xfId="10439"/>
    <cellStyle name="Comma 2 6 2" xfId="10440"/>
    <cellStyle name="Comma 2 6 3" xfId="10441"/>
    <cellStyle name="Comma 2 6 4" xfId="10442"/>
    <cellStyle name="Comma 2 6 5" xfId="10443"/>
    <cellStyle name="Comma 2 6 6" xfId="10444"/>
    <cellStyle name="Comma 2 6 7" xfId="10445"/>
    <cellStyle name="Comma 2 6 8" xfId="10446"/>
    <cellStyle name="Comma 2 7" xfId="10447"/>
    <cellStyle name="Comma 2 7 2" xfId="10448"/>
    <cellStyle name="Comma 2 7 3" xfId="10449"/>
    <cellStyle name="Comma 2 7 4" xfId="10450"/>
    <cellStyle name="Comma 2 7 5" xfId="10451"/>
    <cellStyle name="Comma 2 7 5 2" xfId="10452"/>
    <cellStyle name="Comma 2 7 6" xfId="10453"/>
    <cellStyle name="Comma 2 7 7" xfId="10454"/>
    <cellStyle name="Comma 2 7 8" xfId="10455"/>
    <cellStyle name="Comma 2 8" xfId="10456"/>
    <cellStyle name="Comma 2 8 2" xfId="10457"/>
    <cellStyle name="Comma 2 8 3" xfId="10458"/>
    <cellStyle name="Comma 2 8 4" xfId="10459"/>
    <cellStyle name="Comma 2 8 5" xfId="10460"/>
    <cellStyle name="Comma 2 8 6" xfId="10461"/>
    <cellStyle name="Comma 2 8 7" xfId="10462"/>
    <cellStyle name="Comma 2 8 8" xfId="10463"/>
    <cellStyle name="Comma 2 8 8 2" xfId="10464"/>
    <cellStyle name="Comma 2 9" xfId="10465"/>
    <cellStyle name="Comma 2 9 2" xfId="10466"/>
    <cellStyle name="Comma 2 9 2 2" xfId="10467"/>
    <cellStyle name="Comma 2 9 2 3" xfId="10468"/>
    <cellStyle name="Comma 2 9 3" xfId="10469"/>
    <cellStyle name="Comma 2 9 4" xfId="10470"/>
    <cellStyle name="Comma 2 9 5" xfId="10471"/>
    <cellStyle name="Comma 2 9 6" xfId="10472"/>
    <cellStyle name="Comma 2 9 7" xfId="10473"/>
    <cellStyle name="Comma 2 9 8" xfId="10474"/>
    <cellStyle name="Comma 20" xfId="10475"/>
    <cellStyle name="Comma 20 2" xfId="10476"/>
    <cellStyle name="Comma 20 3" xfId="10477"/>
    <cellStyle name="Comma 20 4" xfId="10478"/>
    <cellStyle name="Comma 20 5" xfId="10479"/>
    <cellStyle name="Comma 20 6" xfId="10480"/>
    <cellStyle name="Comma 21" xfId="10481"/>
    <cellStyle name="Comma 21 2" xfId="10482"/>
    <cellStyle name="Comma 22" xfId="10483"/>
    <cellStyle name="Comma 22 2" xfId="10484"/>
    <cellStyle name="Comma 23" xfId="10485"/>
    <cellStyle name="Comma 23 2" xfId="10486"/>
    <cellStyle name="Comma 24" xfId="10487"/>
    <cellStyle name="Comma 24 2" xfId="10488"/>
    <cellStyle name="Comma 25" xfId="10489"/>
    <cellStyle name="Comma 26" xfId="10490"/>
    <cellStyle name="Comma 27" xfId="10491"/>
    <cellStyle name="Comma 27 2" xfId="10492"/>
    <cellStyle name="Comma 28" xfId="10493"/>
    <cellStyle name="Comma 28 2" xfId="10494"/>
    <cellStyle name="Comma 29" xfId="10495"/>
    <cellStyle name="Comma 29 2" xfId="10496"/>
    <cellStyle name="Comma 3" xfId="10497"/>
    <cellStyle name="Comma 3 10" xfId="10498"/>
    <cellStyle name="Comma 3 10 2" xfId="10499"/>
    <cellStyle name="Comma 3 10 2 2" xfId="10500"/>
    <cellStyle name="Comma 3 10 3" xfId="10501"/>
    <cellStyle name="Comma 3 10 4" xfId="10502"/>
    <cellStyle name="Comma 3 10 5" xfId="10503"/>
    <cellStyle name="Comma 3 10 6" xfId="10504"/>
    <cellStyle name="Comma 3 10 7" xfId="10505"/>
    <cellStyle name="Comma 3 10 8" xfId="10506"/>
    <cellStyle name="Comma 3 11" xfId="10507"/>
    <cellStyle name="Comma 3 11 2" xfId="10508"/>
    <cellStyle name="Comma 3 11 2 2" xfId="10509"/>
    <cellStyle name="Comma 3 11 3" xfId="10510"/>
    <cellStyle name="Comma 3 11 3 2" xfId="10511"/>
    <cellStyle name="Comma 3 11 4" xfId="10512"/>
    <cellStyle name="Comma 3 11 4 2" xfId="10513"/>
    <cellStyle name="Comma 3 11 5" xfId="10514"/>
    <cellStyle name="Comma 3 11 5 2" xfId="10515"/>
    <cellStyle name="Comma 3 11 6" xfId="10516"/>
    <cellStyle name="Comma 3 11 6 2" xfId="10517"/>
    <cellStyle name="Comma 3 11 7" xfId="10518"/>
    <cellStyle name="Comma 3 11 7 2" xfId="10519"/>
    <cellStyle name="Comma 3 11 8" xfId="10520"/>
    <cellStyle name="Comma 3 11 8 2" xfId="10521"/>
    <cellStyle name="Comma 3 12" xfId="10522"/>
    <cellStyle name="Comma 3 12 2" xfId="10523"/>
    <cellStyle name="Comma 3 12 3" xfId="10524"/>
    <cellStyle name="Comma 3 12 4" xfId="10525"/>
    <cellStyle name="Comma 3 12 5" xfId="10526"/>
    <cellStyle name="Comma 3 12 6" xfId="10527"/>
    <cellStyle name="Comma 3 12 6 2" xfId="10528"/>
    <cellStyle name="Comma 3 12 7" xfId="10529"/>
    <cellStyle name="Comma 3 12 8" xfId="10530"/>
    <cellStyle name="Comma 3 13" xfId="10531"/>
    <cellStyle name="Comma 3 13 2" xfId="10532"/>
    <cellStyle name="Comma 3 13 2 2" xfId="10533"/>
    <cellStyle name="Comma 3 13 3" xfId="10534"/>
    <cellStyle name="Comma 3 13 4" xfId="10535"/>
    <cellStyle name="Comma 3 13 5" xfId="10536"/>
    <cellStyle name="Comma 3 13 6" xfId="10537"/>
    <cellStyle name="Comma 3 13 7" xfId="10538"/>
    <cellStyle name="Comma 3 13 8" xfId="10539"/>
    <cellStyle name="Comma 3 14" xfId="10540"/>
    <cellStyle name="Comma 3 14 2" xfId="10541"/>
    <cellStyle name="Comma 3 14 2 2" xfId="10542"/>
    <cellStyle name="Comma 3 14 3" xfId="10543"/>
    <cellStyle name="Comma 3 14 4" xfId="10544"/>
    <cellStyle name="Comma 3 14 5" xfId="10545"/>
    <cellStyle name="Comma 3 14 6" xfId="10546"/>
    <cellStyle name="Comma 3 14 7" xfId="10547"/>
    <cellStyle name="Comma 3 14 8" xfId="10548"/>
    <cellStyle name="Comma 3 15" xfId="10549"/>
    <cellStyle name="Comma 3 15 2" xfId="10550"/>
    <cellStyle name="Comma 3 15 2 2" xfId="10551"/>
    <cellStyle name="Comma 3 15 3" xfId="10552"/>
    <cellStyle name="Comma 3 15 3 2" xfId="10553"/>
    <cellStyle name="Comma 3 15 4" xfId="10554"/>
    <cellStyle name="Comma 3 15 4 2" xfId="10555"/>
    <cellStyle name="Comma 3 15 5" xfId="10556"/>
    <cellStyle name="Comma 3 15 5 2" xfId="10557"/>
    <cellStyle name="Comma 3 15 6" xfId="10558"/>
    <cellStyle name="Comma 3 15 7" xfId="10559"/>
    <cellStyle name="Comma 3 15 8" xfId="10560"/>
    <cellStyle name="Comma 3 15 8 2" xfId="10561"/>
    <cellStyle name="Comma 3 16" xfId="10562"/>
    <cellStyle name="Comma 3 16 2" xfId="10563"/>
    <cellStyle name="Comma 3 16 2 2" xfId="10564"/>
    <cellStyle name="Comma 3 16 3" xfId="10565"/>
    <cellStyle name="Comma 3 16 3 2" xfId="10566"/>
    <cellStyle name="Comma 3 16 4" xfId="10567"/>
    <cellStyle name="Comma 3 16 4 2" xfId="10568"/>
    <cellStyle name="Comma 3 16 5" xfId="10569"/>
    <cellStyle name="Comma 3 16 5 2" xfId="10570"/>
    <cellStyle name="Comma 3 16 6" xfId="10571"/>
    <cellStyle name="Comma 3 16 7" xfId="10572"/>
    <cellStyle name="Comma 3 16 8" xfId="10573"/>
    <cellStyle name="Comma 3 17" xfId="10574"/>
    <cellStyle name="Comma 3 17 2" xfId="10575"/>
    <cellStyle name="Comma 3 17 2 2" xfId="10576"/>
    <cellStyle name="Comma 3 17 3" xfId="10577"/>
    <cellStyle name="Comma 3 17 3 2" xfId="10578"/>
    <cellStyle name="Comma 3 17 4" xfId="10579"/>
    <cellStyle name="Comma 3 17 4 2" xfId="10580"/>
    <cellStyle name="Comma 3 17 5" xfId="10581"/>
    <cellStyle name="Comma 3 17 5 2" xfId="10582"/>
    <cellStyle name="Comma 3 17 6" xfId="10583"/>
    <cellStyle name="Comma 3 17 7" xfId="10584"/>
    <cellStyle name="Comma 3 17 8" xfId="10585"/>
    <cellStyle name="Comma 3 18" xfId="10586"/>
    <cellStyle name="Comma 3 18 2" xfId="10587"/>
    <cellStyle name="Comma 3 18 2 2" xfId="10588"/>
    <cellStyle name="Comma 3 18 3" xfId="10589"/>
    <cellStyle name="Comma 3 18 3 2" xfId="10590"/>
    <cellStyle name="Comma 3 18 4" xfId="10591"/>
    <cellStyle name="Comma 3 18 4 2" xfId="10592"/>
    <cellStyle name="Comma 3 18 5" xfId="10593"/>
    <cellStyle name="Comma 3 18 5 2" xfId="10594"/>
    <cellStyle name="Comma 3 18 6" xfId="10595"/>
    <cellStyle name="Comma 3 18 6 2" xfId="10596"/>
    <cellStyle name="Comma 3 18 7" xfId="10597"/>
    <cellStyle name="Comma 3 18 7 2" xfId="10598"/>
    <cellStyle name="Comma 3 18 8" xfId="10599"/>
    <cellStyle name="Comma 3 18 8 2" xfId="10600"/>
    <cellStyle name="Comma 3 19" xfId="10601"/>
    <cellStyle name="Comma 3 19 2" xfId="10602"/>
    <cellStyle name="Comma 3 19 2 2" xfId="10603"/>
    <cellStyle name="Comma 3 19 3" xfId="10604"/>
    <cellStyle name="Comma 3 19 3 2" xfId="10605"/>
    <cellStyle name="Comma 3 19 4" xfId="10606"/>
    <cellStyle name="Comma 3 19 4 2" xfId="10607"/>
    <cellStyle name="Comma 3 19 5" xfId="10608"/>
    <cellStyle name="Comma 3 19 6" xfId="10609"/>
    <cellStyle name="Comma 3 19 7" xfId="10610"/>
    <cellStyle name="Comma 3 19 8" xfId="10611"/>
    <cellStyle name="Comma 3 2" xfId="10612"/>
    <cellStyle name="Comma 3 2 10" xfId="10613"/>
    <cellStyle name="Comma 3 2 11" xfId="10614"/>
    <cellStyle name="Comma 3 2 12" xfId="10615"/>
    <cellStyle name="Comma 3 2 13" xfId="10616"/>
    <cellStyle name="Comma 3 2 14" xfId="10617"/>
    <cellStyle name="Comma 3 2 2" xfId="10618"/>
    <cellStyle name="Comma 3 2 2 2" xfId="10619"/>
    <cellStyle name="Comma 3 2 2 3" xfId="10620"/>
    <cellStyle name="Comma 3 2 2 4" xfId="10621"/>
    <cellStyle name="Comma 3 2 2 5" xfId="10622"/>
    <cellStyle name="Comma 3 2 2 6" xfId="10623"/>
    <cellStyle name="Comma 3 2 3" xfId="10624"/>
    <cellStyle name="Comma 3 2 3 2" xfId="10625"/>
    <cellStyle name="Comma 3 2 4" xfId="10626"/>
    <cellStyle name="Comma 3 2 5" xfId="10627"/>
    <cellStyle name="Comma 3 2 6" xfId="10628"/>
    <cellStyle name="Comma 3 2 7" xfId="10629"/>
    <cellStyle name="Comma 3 2 7 2" xfId="10630"/>
    <cellStyle name="Comma 3 2 8" xfId="10631"/>
    <cellStyle name="Comma 3 2 9" xfId="10632"/>
    <cellStyle name="Comma 3 20" xfId="10633"/>
    <cellStyle name="Comma 3 20 2" xfId="10634"/>
    <cellStyle name="Comma 3 20 2 2" xfId="10635"/>
    <cellStyle name="Comma 3 20 3" xfId="10636"/>
    <cellStyle name="Comma 3 20 3 2" xfId="10637"/>
    <cellStyle name="Comma 3 20 4" xfId="10638"/>
    <cellStyle name="Comma 3 20 4 2" xfId="10639"/>
    <cellStyle name="Comma 3 20 5" xfId="10640"/>
    <cellStyle name="Comma 3 20 5 2" xfId="10641"/>
    <cellStyle name="Comma 3 20 6" xfId="10642"/>
    <cellStyle name="Comma 3 20 7" xfId="10643"/>
    <cellStyle name="Comma 3 20 8" xfId="10644"/>
    <cellStyle name="Comma 3 20 8 2" xfId="10645"/>
    <cellStyle name="Comma 3 21" xfId="10646"/>
    <cellStyle name="Comma 3 21 2" xfId="10647"/>
    <cellStyle name="Comma 3 21 2 2" xfId="10648"/>
    <cellStyle name="Comma 3 21 3" xfId="10649"/>
    <cellStyle name="Comma 3 21 3 2" xfId="10650"/>
    <cellStyle name="Comma 3 21 4" xfId="10651"/>
    <cellStyle name="Comma 3 21 4 2" xfId="10652"/>
    <cellStyle name="Comma 3 21 5" xfId="10653"/>
    <cellStyle name="Comma 3 21 5 2" xfId="10654"/>
    <cellStyle name="Comma 3 21 6" xfId="10655"/>
    <cellStyle name="Comma 3 21 7" xfId="10656"/>
    <cellStyle name="Comma 3 21 8" xfId="10657"/>
    <cellStyle name="Comma 3 22" xfId="10658"/>
    <cellStyle name="Comma 3 22 2" xfId="10659"/>
    <cellStyle name="Comma 3 22 2 2" xfId="10660"/>
    <cellStyle name="Comma 3 22 3" xfId="10661"/>
    <cellStyle name="Comma 3 22 3 2" xfId="10662"/>
    <cellStyle name="Comma 3 22 4" xfId="10663"/>
    <cellStyle name="Comma 3 22 4 2" xfId="10664"/>
    <cellStyle name="Comma 3 22 5" xfId="10665"/>
    <cellStyle name="Comma 3 22 5 2" xfId="10666"/>
    <cellStyle name="Comma 3 22 6" xfId="10667"/>
    <cellStyle name="Comma 3 22 7" xfId="10668"/>
    <cellStyle name="Comma 3 22 8" xfId="10669"/>
    <cellStyle name="Comma 3 23" xfId="10670"/>
    <cellStyle name="Comma 3 23 2" xfId="10671"/>
    <cellStyle name="Comma 3 23 2 2" xfId="10672"/>
    <cellStyle name="Comma 3 23 3" xfId="10673"/>
    <cellStyle name="Comma 3 23 3 2" xfId="10674"/>
    <cellStyle name="Comma 3 23 4" xfId="10675"/>
    <cellStyle name="Comma 3 23 4 2" xfId="10676"/>
    <cellStyle name="Comma 3 23 5" xfId="10677"/>
    <cellStyle name="Comma 3 23 5 2" xfId="10678"/>
    <cellStyle name="Comma 3 23 6" xfId="10679"/>
    <cellStyle name="Comma 3 23 6 2" xfId="10680"/>
    <cellStyle name="Comma 3 23 7" xfId="10681"/>
    <cellStyle name="Comma 3 23 7 2" xfId="10682"/>
    <cellStyle name="Comma 3 23 8" xfId="10683"/>
    <cellStyle name="Comma 3 23 8 2" xfId="10684"/>
    <cellStyle name="Comma 3 24" xfId="10685"/>
    <cellStyle name="Comma 3 24 2" xfId="10686"/>
    <cellStyle name="Comma 3 24 2 2" xfId="10687"/>
    <cellStyle name="Comma 3 24 3" xfId="10688"/>
    <cellStyle name="Comma 3 24 3 2" xfId="10689"/>
    <cellStyle name="Comma 3 24 4" xfId="10690"/>
    <cellStyle name="Comma 3 24 4 2" xfId="10691"/>
    <cellStyle name="Comma 3 24 5" xfId="10692"/>
    <cellStyle name="Comma 3 24 6" xfId="10693"/>
    <cellStyle name="Comma 3 24 7" xfId="10694"/>
    <cellStyle name="Comma 3 24 8" xfId="10695"/>
    <cellStyle name="Comma 3 25" xfId="10696"/>
    <cellStyle name="Comma 3 25 2" xfId="10697"/>
    <cellStyle name="Comma 3 25 2 2" xfId="10698"/>
    <cellStyle name="Comma 3 25 3" xfId="10699"/>
    <cellStyle name="Comma 3 25 3 2" xfId="10700"/>
    <cellStyle name="Comma 3 25 4" xfId="10701"/>
    <cellStyle name="Comma 3 25 4 2" xfId="10702"/>
    <cellStyle name="Comma 3 25 5" xfId="10703"/>
    <cellStyle name="Comma 3 25 5 2" xfId="10704"/>
    <cellStyle name="Comma 3 25 6" xfId="10705"/>
    <cellStyle name="Comma 3 25 6 2" xfId="10706"/>
    <cellStyle name="Comma 3 25 7" xfId="10707"/>
    <cellStyle name="Comma 3 25 7 2" xfId="10708"/>
    <cellStyle name="Comma 3 25 8" xfId="10709"/>
    <cellStyle name="Comma 3 25 8 2" xfId="10710"/>
    <cellStyle name="Comma 3 26" xfId="10711"/>
    <cellStyle name="Comma 3 26 2" xfId="10712"/>
    <cellStyle name="Comma 3 26 2 2" xfId="10713"/>
    <cellStyle name="Comma 3 26 3" xfId="10714"/>
    <cellStyle name="Comma 3 26 3 2" xfId="10715"/>
    <cellStyle name="Comma 3 26 4" xfId="10716"/>
    <cellStyle name="Comma 3 26 4 2" xfId="10717"/>
    <cellStyle name="Comma 3 26 5" xfId="10718"/>
    <cellStyle name="Comma 3 26 5 2" xfId="10719"/>
    <cellStyle name="Comma 3 26 6" xfId="10720"/>
    <cellStyle name="Comma 3 26 6 2" xfId="10721"/>
    <cellStyle name="Comma 3 26 7" xfId="10722"/>
    <cellStyle name="Comma 3 26 7 2" xfId="10723"/>
    <cellStyle name="Comma 3 26 8" xfId="10724"/>
    <cellStyle name="Comma 3 26 8 2" xfId="10725"/>
    <cellStyle name="Comma 3 27" xfId="10726"/>
    <cellStyle name="Comma 3 27 2" xfId="10727"/>
    <cellStyle name="Comma 3 27 3" xfId="10728"/>
    <cellStyle name="Comma 3 27 4" xfId="10729"/>
    <cellStyle name="Comma 3 27 5" xfId="10730"/>
    <cellStyle name="Comma 3 27 6" xfId="10731"/>
    <cellStyle name="Comma 3 27 6 2" xfId="10732"/>
    <cellStyle name="Comma 3 27 7" xfId="10733"/>
    <cellStyle name="Comma 3 27 7 2" xfId="10734"/>
    <cellStyle name="Comma 3 27 8" xfId="10735"/>
    <cellStyle name="Comma 3 27 8 2" xfId="10736"/>
    <cellStyle name="Comma 3 28" xfId="10737"/>
    <cellStyle name="Comma 3 28 2" xfId="10738"/>
    <cellStyle name="Comma 3 28 2 2" xfId="10739"/>
    <cellStyle name="Comma 3 28 3" xfId="10740"/>
    <cellStyle name="Comma 3 28 4" xfId="10741"/>
    <cellStyle name="Comma 3 28 5" xfId="10742"/>
    <cellStyle name="Comma 3 28 5 2" xfId="10743"/>
    <cellStyle name="Comma 3 28 6" xfId="10744"/>
    <cellStyle name="Comma 3 28 6 2" xfId="10745"/>
    <cellStyle name="Comma 3 28 7" xfId="10746"/>
    <cellStyle name="Comma 3 28 8" xfId="10747"/>
    <cellStyle name="Comma 3 28 8 2" xfId="10748"/>
    <cellStyle name="Comma 3 29" xfId="10749"/>
    <cellStyle name="Comma 3 29 2" xfId="10750"/>
    <cellStyle name="Comma 3 29 2 2" xfId="10751"/>
    <cellStyle name="Comma 3 29 3" xfId="10752"/>
    <cellStyle name="Comma 3 29 3 2" xfId="10753"/>
    <cellStyle name="Comma 3 29 4" xfId="10754"/>
    <cellStyle name="Comma 3 29 5" xfId="10755"/>
    <cellStyle name="Comma 3 29 5 2" xfId="10756"/>
    <cellStyle name="Comma 3 29 6" xfId="10757"/>
    <cellStyle name="Comma 3 29 6 2" xfId="10758"/>
    <cellStyle name="Comma 3 29 7" xfId="10759"/>
    <cellStyle name="Comma 3 29 8" xfId="10760"/>
    <cellStyle name="Comma 3 3" xfId="10761"/>
    <cellStyle name="Comma 3 3 10" xfId="10762"/>
    <cellStyle name="Comma 3 3 11" xfId="10763"/>
    <cellStyle name="Comma 3 3 12" xfId="10764"/>
    <cellStyle name="Comma 3 3 2" xfId="10765"/>
    <cellStyle name="Comma 3 3 3" xfId="10766"/>
    <cellStyle name="Comma 3 3 4" xfId="10767"/>
    <cellStyle name="Comma 3 3 4 2" xfId="10768"/>
    <cellStyle name="Comma 3 3 5" xfId="10769"/>
    <cellStyle name="Comma 3 3 5 2" xfId="10770"/>
    <cellStyle name="Comma 3 3 6" xfId="10771"/>
    <cellStyle name="Comma 3 3 6 2" xfId="10772"/>
    <cellStyle name="Comma 3 3 7" xfId="10773"/>
    <cellStyle name="Comma 3 3 7 2" xfId="10774"/>
    <cellStyle name="Comma 3 3 8" xfId="10775"/>
    <cellStyle name="Comma 3 3 9" xfId="10776"/>
    <cellStyle name="Comma 3 30" xfId="10777"/>
    <cellStyle name="Comma 3 30 2" xfId="10778"/>
    <cellStyle name="Comma 3 30 2 2" xfId="10779"/>
    <cellStyle name="Comma 3 30 3" xfId="10780"/>
    <cellStyle name="Comma 3 30 3 2" xfId="10781"/>
    <cellStyle name="Comma 3 30 4" xfId="10782"/>
    <cellStyle name="Comma 3 30 4 2" xfId="10783"/>
    <cellStyle name="Comma 3 30 5" xfId="10784"/>
    <cellStyle name="Comma 3 30 5 2" xfId="10785"/>
    <cellStyle name="Comma 3 30 6" xfId="10786"/>
    <cellStyle name="Comma 3 30 6 2" xfId="10787"/>
    <cellStyle name="Comma 3 30 7" xfId="10788"/>
    <cellStyle name="Comma 3 30 7 2" xfId="10789"/>
    <cellStyle name="Comma 3 30 8" xfId="10790"/>
    <cellStyle name="Comma 3 30 8 2" xfId="10791"/>
    <cellStyle name="Comma 3 31" xfId="10792"/>
    <cellStyle name="Comma 3 31 2" xfId="10793"/>
    <cellStyle name="Comma 3 31 2 2" xfId="10794"/>
    <cellStyle name="Comma 3 31 3" xfId="10795"/>
    <cellStyle name="Comma 3 31 3 2" xfId="10796"/>
    <cellStyle name="Comma 3 31 4" xfId="10797"/>
    <cellStyle name="Comma 3 31 4 2" xfId="10798"/>
    <cellStyle name="Comma 3 31 5" xfId="10799"/>
    <cellStyle name="Comma 3 31 5 2" xfId="10800"/>
    <cellStyle name="Comma 3 31 6" xfId="10801"/>
    <cellStyle name="Comma 3 31 6 2" xfId="10802"/>
    <cellStyle name="Comma 3 31 7" xfId="10803"/>
    <cellStyle name="Comma 3 31 7 2" xfId="10804"/>
    <cellStyle name="Comma 3 31 8" xfId="10805"/>
    <cellStyle name="Comma 3 31 8 2" xfId="10806"/>
    <cellStyle name="Comma 3 32" xfId="10807"/>
    <cellStyle name="Comma 3 32 2" xfId="10808"/>
    <cellStyle name="Comma 3 32 3" xfId="10809"/>
    <cellStyle name="Comma 3 32 4" xfId="10810"/>
    <cellStyle name="Comma 3 32 5" xfId="10811"/>
    <cellStyle name="Comma 3 32 6" xfId="10812"/>
    <cellStyle name="Comma 3 32 6 2" xfId="10813"/>
    <cellStyle name="Comma 3 32 7" xfId="10814"/>
    <cellStyle name="Comma 3 32 7 2" xfId="10815"/>
    <cellStyle name="Comma 3 32 8" xfId="10816"/>
    <cellStyle name="Comma 3 32 8 2" xfId="10817"/>
    <cellStyle name="Comma 3 33" xfId="10818"/>
    <cellStyle name="Comma 3 33 2" xfId="10819"/>
    <cellStyle name="Comma 3 33 2 2" xfId="10820"/>
    <cellStyle name="Comma 3 33 3" xfId="10821"/>
    <cellStyle name="Comma 3 33 4" xfId="10822"/>
    <cellStyle name="Comma 3 33 5" xfId="10823"/>
    <cellStyle name="Comma 3 33 5 2" xfId="10824"/>
    <cellStyle name="Comma 3 33 6" xfId="10825"/>
    <cellStyle name="Comma 3 33 6 2" xfId="10826"/>
    <cellStyle name="Comma 3 33 7" xfId="10827"/>
    <cellStyle name="Comma 3 33 8" xfId="10828"/>
    <cellStyle name="Comma 3 33 8 2" xfId="10829"/>
    <cellStyle name="Comma 3 34" xfId="10830"/>
    <cellStyle name="Comma 3 35" xfId="10831"/>
    <cellStyle name="Comma 3 36" xfId="10832"/>
    <cellStyle name="Comma 3 37" xfId="10833"/>
    <cellStyle name="Comma 3 38" xfId="10834"/>
    <cellStyle name="Comma 3 39" xfId="10835"/>
    <cellStyle name="Comma 3 4" xfId="10836"/>
    <cellStyle name="Comma 3 4 2" xfId="10837"/>
    <cellStyle name="Comma 3 4 2 2" xfId="10838"/>
    <cellStyle name="Comma 3 4 3" xfId="10839"/>
    <cellStyle name="Comma 3 4 3 2" xfId="10840"/>
    <cellStyle name="Comma 3 4 4" xfId="10841"/>
    <cellStyle name="Comma 3 4 4 2" xfId="10842"/>
    <cellStyle name="Comma 3 4 5" xfId="10843"/>
    <cellStyle name="Comma 3 4 5 2" xfId="10844"/>
    <cellStyle name="Comma 3 4 6" xfId="10845"/>
    <cellStyle name="Comma 3 4 6 2" xfId="10846"/>
    <cellStyle name="Comma 3 4 7" xfId="10847"/>
    <cellStyle name="Comma 3 4 7 2" xfId="10848"/>
    <cellStyle name="Comma 3 4 8" xfId="10849"/>
    <cellStyle name="Comma 3 4 8 2" xfId="10850"/>
    <cellStyle name="Comma 3 40" xfId="10851"/>
    <cellStyle name="Comma 3 41" xfId="10852"/>
    <cellStyle name="Comma 3 42" xfId="10853"/>
    <cellStyle name="Comma 3 43" xfId="10854"/>
    <cellStyle name="Comma 3 44" xfId="10855"/>
    <cellStyle name="Comma 3 45" xfId="10856"/>
    <cellStyle name="Comma 3 46" xfId="10857"/>
    <cellStyle name="Comma 3 46 2" xfId="10858"/>
    <cellStyle name="Comma 3 47" xfId="10859"/>
    <cellStyle name="Comma 3 47 2" xfId="10860"/>
    <cellStyle name="Comma 3 48" xfId="10861"/>
    <cellStyle name="Comma 3 48 2" xfId="10862"/>
    <cellStyle name="Comma 3 49" xfId="10863"/>
    <cellStyle name="Comma 3 49 2" xfId="10864"/>
    <cellStyle name="Comma 3 5" xfId="10865"/>
    <cellStyle name="Comma 3 5 2" xfId="10866"/>
    <cellStyle name="Comma 3 5 3" xfId="10867"/>
    <cellStyle name="Comma 3 5 4" xfId="10868"/>
    <cellStyle name="Comma 3 5 4 2" xfId="10869"/>
    <cellStyle name="Comma 3 5 5" xfId="10870"/>
    <cellStyle name="Comma 3 5 5 2" xfId="10871"/>
    <cellStyle name="Comma 3 5 6" xfId="10872"/>
    <cellStyle name="Comma 3 5 7" xfId="10873"/>
    <cellStyle name="Comma 3 5 8" xfId="10874"/>
    <cellStyle name="Comma 3 50" xfId="10875"/>
    <cellStyle name="Comma 3 51" xfId="10876"/>
    <cellStyle name="Comma 3 52" xfId="10877"/>
    <cellStyle name="Comma 3 6" xfId="10878"/>
    <cellStyle name="Comma 3 6 2" xfId="10879"/>
    <cellStyle name="Comma 3 6 2 2" xfId="10880"/>
    <cellStyle name="Comma 3 6 3" xfId="10881"/>
    <cellStyle name="Comma 3 6 3 2" xfId="10882"/>
    <cellStyle name="Comma 3 6 4" xfId="10883"/>
    <cellStyle name="Comma 3 6 4 2" xfId="10884"/>
    <cellStyle name="Comma 3 6 5" xfId="10885"/>
    <cellStyle name="Comma 3 6 5 2" xfId="10886"/>
    <cellStyle name="Comma 3 6 6" xfId="10887"/>
    <cellStyle name="Comma 3 6 6 2" xfId="10888"/>
    <cellStyle name="Comma 3 6 7" xfId="10889"/>
    <cellStyle name="Comma 3 6 7 2" xfId="10890"/>
    <cellStyle name="Comma 3 6 8" xfId="10891"/>
    <cellStyle name="Comma 3 6 8 2" xfId="10892"/>
    <cellStyle name="Comma 3 7" xfId="10893"/>
    <cellStyle name="Comma 3 7 2" xfId="10894"/>
    <cellStyle name="Comma 3 7 3" xfId="10895"/>
    <cellStyle name="Comma 3 7 3 2" xfId="10896"/>
    <cellStyle name="Comma 3 7 4" xfId="10897"/>
    <cellStyle name="Comma 3 7 4 2" xfId="10898"/>
    <cellStyle name="Comma 3 7 5" xfId="10899"/>
    <cellStyle name="Comma 3 7 5 2" xfId="10900"/>
    <cellStyle name="Comma 3 7 6" xfId="10901"/>
    <cellStyle name="Comma 3 7 6 2" xfId="10902"/>
    <cellStyle name="Comma 3 7 7" xfId="10903"/>
    <cellStyle name="Comma 3 7 7 2" xfId="10904"/>
    <cellStyle name="Comma 3 7 8" xfId="10905"/>
    <cellStyle name="Comma 3 7 8 2" xfId="10906"/>
    <cellStyle name="Comma 3 8" xfId="10907"/>
    <cellStyle name="Comma 3 8 2" xfId="10908"/>
    <cellStyle name="Comma 3 8 3" xfId="10909"/>
    <cellStyle name="Comma 3 8 4" xfId="10910"/>
    <cellStyle name="Comma 3 8 4 2" xfId="10911"/>
    <cellStyle name="Comma 3 8 5" xfId="10912"/>
    <cellStyle name="Comma 3 8 5 2" xfId="10913"/>
    <cellStyle name="Comma 3 8 6" xfId="10914"/>
    <cellStyle name="Comma 3 8 6 2" xfId="10915"/>
    <cellStyle name="Comma 3 8 7" xfId="10916"/>
    <cellStyle name="Comma 3 8 7 2" xfId="10917"/>
    <cellStyle name="Comma 3 8 8" xfId="10918"/>
    <cellStyle name="Comma 3 9" xfId="10919"/>
    <cellStyle name="Comma 3 9 2" xfId="10920"/>
    <cellStyle name="Comma 3 9 3" xfId="10921"/>
    <cellStyle name="Comma 3 9 4" xfId="10922"/>
    <cellStyle name="Comma 3 9 4 2" xfId="10923"/>
    <cellStyle name="Comma 3 9 5" xfId="10924"/>
    <cellStyle name="Comma 3 9 5 2" xfId="10925"/>
    <cellStyle name="Comma 3 9 6" xfId="10926"/>
    <cellStyle name="Comma 3 9 6 2" xfId="10927"/>
    <cellStyle name="Comma 3 9 7" xfId="10928"/>
    <cellStyle name="Comma 3 9 7 2" xfId="10929"/>
    <cellStyle name="Comma 3 9 8" xfId="10930"/>
    <cellStyle name="Comma 3_Checked Assa Pricing Final." xfId="10931"/>
    <cellStyle name="Comma 30" xfId="10932"/>
    <cellStyle name="Comma 31" xfId="10933"/>
    <cellStyle name="Comma 32" xfId="10934"/>
    <cellStyle name="Comma 32 2" xfId="10935"/>
    <cellStyle name="Comma 33" xfId="10936"/>
    <cellStyle name="Comma 33 2" xfId="10937"/>
    <cellStyle name="Comma 34" xfId="10938"/>
    <cellStyle name="Comma 34 2" xfId="10939"/>
    <cellStyle name="Comma 34 2 2" xfId="10940"/>
    <cellStyle name="Comma 34 3" xfId="10941"/>
    <cellStyle name="Comma 34 4" xfId="10942"/>
    <cellStyle name="Comma 35" xfId="10943"/>
    <cellStyle name="Comma 35 2" xfId="10944"/>
    <cellStyle name="Comma 35 2 2" xfId="10945"/>
    <cellStyle name="Comma 35 3" xfId="10946"/>
    <cellStyle name="Comma 35 4" xfId="10947"/>
    <cellStyle name="Comma 36" xfId="10948"/>
    <cellStyle name="Comma 36 2" xfId="10949"/>
    <cellStyle name="Comma 36 2 2" xfId="10950"/>
    <cellStyle name="Comma 36 3" xfId="10951"/>
    <cellStyle name="Comma 36 4" xfId="10952"/>
    <cellStyle name="Comma 37" xfId="10953"/>
    <cellStyle name="Comma 37 2" xfId="10954"/>
    <cellStyle name="Comma 37 2 10" xfId="10955"/>
    <cellStyle name="Comma 37 2 10 2" xfId="10956"/>
    <cellStyle name="Comma 37 2 11" xfId="10957"/>
    <cellStyle name="Comma 37 2 2" xfId="10958"/>
    <cellStyle name="Comma 37 2 2 2" xfId="10959"/>
    <cellStyle name="Comma 37 2 2 2 2" xfId="10960"/>
    <cellStyle name="Comma 37 2 2 3" xfId="10961"/>
    <cellStyle name="Comma 37 2 2 4" xfId="10962"/>
    <cellStyle name="Comma 37 2 3" xfId="10963"/>
    <cellStyle name="Comma 37 2 3 2" xfId="10964"/>
    <cellStyle name="Comma 37 2 3 2 2" xfId="10965"/>
    <cellStyle name="Comma 37 2 3 3" xfId="10966"/>
    <cellStyle name="Comma 37 2 3 4" xfId="10967"/>
    <cellStyle name="Comma 37 2 4" xfId="10968"/>
    <cellStyle name="Comma 37 2 4 2" xfId="10969"/>
    <cellStyle name="Comma 37 2 4 2 2" xfId="10970"/>
    <cellStyle name="Comma 37 2 4 3" xfId="10971"/>
    <cellStyle name="Comma 37 2 4 4" xfId="10972"/>
    <cellStyle name="Comma 37 2 5" xfId="10973"/>
    <cellStyle name="Comma 37 2 5 2" xfId="10974"/>
    <cellStyle name="Comma 37 2 5 2 2" xfId="10975"/>
    <cellStyle name="Comma 37 2 5 3" xfId="10976"/>
    <cellStyle name="Comma 37 2 5 4" xfId="10977"/>
    <cellStyle name="Comma 37 2 6" xfId="10978"/>
    <cellStyle name="Comma 37 2 6 2" xfId="10979"/>
    <cellStyle name="Comma 37 2 6 2 2" xfId="10980"/>
    <cellStyle name="Comma 37 2 6 3" xfId="10981"/>
    <cellStyle name="Comma 37 2 6 4" xfId="10982"/>
    <cellStyle name="Comma 37 2 7" xfId="10983"/>
    <cellStyle name="Comma 37 2 7 2" xfId="10984"/>
    <cellStyle name="Comma 37 2 7 2 2" xfId="10985"/>
    <cellStyle name="Comma 37 2 7 3" xfId="10986"/>
    <cellStyle name="Comma 37 2 7 4" xfId="10987"/>
    <cellStyle name="Comma 37 2 8" xfId="10988"/>
    <cellStyle name="Comma 37 2 8 2" xfId="10989"/>
    <cellStyle name="Comma 37 2 8 2 2" xfId="10990"/>
    <cellStyle name="Comma 37 2 8 3" xfId="10991"/>
    <cellStyle name="Comma 37 2 8 4" xfId="10992"/>
    <cellStyle name="Comma 37 2 9" xfId="10993"/>
    <cellStyle name="Comma 37 2 9 2" xfId="10994"/>
    <cellStyle name="Comma 37 2 9 2 2" xfId="10995"/>
    <cellStyle name="Comma 37 2 9 3" xfId="10996"/>
    <cellStyle name="Comma 37 2 9 4" xfId="10997"/>
    <cellStyle name="Comma 37 3" xfId="10998"/>
    <cellStyle name="Comma 37 3 2" xfId="10999"/>
    <cellStyle name="Comma 37 4" xfId="11000"/>
    <cellStyle name="Comma 38" xfId="11001"/>
    <cellStyle name="Comma 39" xfId="11002"/>
    <cellStyle name="Comma 4" xfId="11003"/>
    <cellStyle name="Comma 4 10" xfId="11004"/>
    <cellStyle name="Comma 4 10 2" xfId="11005"/>
    <cellStyle name="Comma 4 11" xfId="11006"/>
    <cellStyle name="Comma 4 11 2" xfId="11007"/>
    <cellStyle name="Comma 4 12" xfId="11008"/>
    <cellStyle name="Comma 4 12 2" xfId="11009"/>
    <cellStyle name="Comma 4 13" xfId="11010"/>
    <cellStyle name="Comma 4 14" xfId="11011"/>
    <cellStyle name="Comma 4 15" xfId="11012"/>
    <cellStyle name="Comma 4 16" xfId="11013"/>
    <cellStyle name="Comma 4 17" xfId="11014"/>
    <cellStyle name="Comma 4 18" xfId="11015"/>
    <cellStyle name="Comma 4 19" xfId="11016"/>
    <cellStyle name="Comma 4 2" xfId="11017"/>
    <cellStyle name="Comma 4 2 10" xfId="11018"/>
    <cellStyle name="Comma 4 2 11" xfId="11019"/>
    <cellStyle name="Comma 4 2 12" xfId="11020"/>
    <cellStyle name="Comma 4 2 13" xfId="11021"/>
    <cellStyle name="Comma 4 2 2" xfId="11022"/>
    <cellStyle name="Comma 4 2 3" xfId="11023"/>
    <cellStyle name="Comma 4 2 4" xfId="11024"/>
    <cellStyle name="Comma 4 2 5" xfId="11025"/>
    <cellStyle name="Comma 4 2 6" xfId="11026"/>
    <cellStyle name="Comma 4 2 7" xfId="11027"/>
    <cellStyle name="Comma 4 2 8" xfId="11028"/>
    <cellStyle name="Comma 4 2 9" xfId="11029"/>
    <cellStyle name="Comma 4 20" xfId="11030"/>
    <cellStyle name="Comma 4 21" xfId="11031"/>
    <cellStyle name="Comma 4 22" xfId="11032"/>
    <cellStyle name="Comma 4 3" xfId="11033"/>
    <cellStyle name="Comma 4 3 2" xfId="11034"/>
    <cellStyle name="Comma 4 3 2 2" xfId="11035"/>
    <cellStyle name="Comma 4 3 3" xfId="11036"/>
    <cellStyle name="Comma 4 3 4" xfId="11037"/>
    <cellStyle name="Comma 4 3 5" xfId="11038"/>
    <cellStyle name="Comma 4 3 6" xfId="11039"/>
    <cellStyle name="Comma 4 4" xfId="11040"/>
    <cellStyle name="Comma 4 5" xfId="11041"/>
    <cellStyle name="Comma 4 6" xfId="11042"/>
    <cellStyle name="Comma 4 7" xfId="11043"/>
    <cellStyle name="Comma 4 8" xfId="11044"/>
    <cellStyle name="Comma 4 8 2" xfId="11045"/>
    <cellStyle name="Comma 4 9" xfId="11046"/>
    <cellStyle name="Comma 40" xfId="11047"/>
    <cellStyle name="Comma 41" xfId="11048"/>
    <cellStyle name="Comma 42" xfId="11049"/>
    <cellStyle name="Comma 43" xfId="11050"/>
    <cellStyle name="Comma 44" xfId="11051"/>
    <cellStyle name="Comma 45" xfId="11052"/>
    <cellStyle name="Comma 46" xfId="11053"/>
    <cellStyle name="Comma 47" xfId="11054"/>
    <cellStyle name="Comma 48" xfId="11055"/>
    <cellStyle name="Comma 49" xfId="11056"/>
    <cellStyle name="Comma 5" xfId="11057"/>
    <cellStyle name="Comma 5 10" xfId="11058"/>
    <cellStyle name="Comma 5 11" xfId="11059"/>
    <cellStyle name="Comma 5 12" xfId="11060"/>
    <cellStyle name="Comma 5 13" xfId="11061"/>
    <cellStyle name="Comma 5 14" xfId="11062"/>
    <cellStyle name="Comma 5 15" xfId="11063"/>
    <cellStyle name="Comma 5 2" xfId="11064"/>
    <cellStyle name="Comma 5 2 10" xfId="11065"/>
    <cellStyle name="Comma 5 2 11" xfId="11066"/>
    <cellStyle name="Comma 5 2 12" xfId="11067"/>
    <cellStyle name="Comma 5 2 2" xfId="11068"/>
    <cellStyle name="Comma 5 2 2 2" xfId="11069"/>
    <cellStyle name="Comma 5 2 3" xfId="11070"/>
    <cellStyle name="Comma 5 2 3 2" xfId="11071"/>
    <cellStyle name="Comma 5 2 4" xfId="11072"/>
    <cellStyle name="Comma 5 2 4 2" xfId="11073"/>
    <cellStyle name="Comma 5 2 5" xfId="11074"/>
    <cellStyle name="Comma 5 2 5 2" xfId="11075"/>
    <cellStyle name="Comma 5 2 6" xfId="11076"/>
    <cellStyle name="Comma 5 2 6 2" xfId="11077"/>
    <cellStyle name="Comma 5 2 7" xfId="11078"/>
    <cellStyle name="Comma 5 2 8" xfId="11079"/>
    <cellStyle name="Comma 5 2 9" xfId="11080"/>
    <cellStyle name="Comma 5 3" xfId="11081"/>
    <cellStyle name="Comma 5 3 2" xfId="11082"/>
    <cellStyle name="Comma 5 3 3" xfId="11083"/>
    <cellStyle name="Comma 5 3 4" xfId="11084"/>
    <cellStyle name="Comma 5 3 5" xfId="11085"/>
    <cellStyle name="Comma 5 3 6" xfId="11086"/>
    <cellStyle name="Comma 5 4" xfId="11087"/>
    <cellStyle name="Comma 5 4 2" xfId="11088"/>
    <cellStyle name="Comma 5 5" xfId="11089"/>
    <cellStyle name="Comma 5 6" xfId="11090"/>
    <cellStyle name="Comma 5 7" xfId="11091"/>
    <cellStyle name="Comma 5 8" xfId="11092"/>
    <cellStyle name="Comma 5 9" xfId="11093"/>
    <cellStyle name="Comma 50" xfId="11094"/>
    <cellStyle name="Comma 51" xfId="11095"/>
    <cellStyle name="Comma 51 2" xfId="11096"/>
    <cellStyle name="Comma 51 3" xfId="11097"/>
    <cellStyle name="Comma 51 4" xfId="11098"/>
    <cellStyle name="Comma 51 5" xfId="11099"/>
    <cellStyle name="Comma 51 6" xfId="11100"/>
    <cellStyle name="Comma 52" xfId="11101"/>
    <cellStyle name="Comma 53" xfId="11102"/>
    <cellStyle name="Comma 54" xfId="11103"/>
    <cellStyle name="Comma 55" xfId="11104"/>
    <cellStyle name="Comma 56" xfId="11105"/>
    <cellStyle name="Comma 57" xfId="11106"/>
    <cellStyle name="Comma 58" xfId="11107"/>
    <cellStyle name="Comma 59" xfId="11108"/>
    <cellStyle name="Comma 6" xfId="11109"/>
    <cellStyle name="Comma 6 10" xfId="11110"/>
    <cellStyle name="Comma 6 11" xfId="11111"/>
    <cellStyle name="Comma 6 12" xfId="11112"/>
    <cellStyle name="Comma 6 13" xfId="11113"/>
    <cellStyle name="Comma 6 14" xfId="11114"/>
    <cellStyle name="Comma 6 2" xfId="11115"/>
    <cellStyle name="Comma 6 2 10" xfId="11116"/>
    <cellStyle name="Comma 6 2 11" xfId="11117"/>
    <cellStyle name="Comma 6 2 12" xfId="11118"/>
    <cellStyle name="Comma 6 2 2" xfId="11119"/>
    <cellStyle name="Comma 6 2 3" xfId="11120"/>
    <cellStyle name="Comma 6 2 4" xfId="11121"/>
    <cellStyle name="Comma 6 2 5" xfId="11122"/>
    <cellStyle name="Comma 6 2 6" xfId="11123"/>
    <cellStyle name="Comma 6 2 6 2" xfId="11124"/>
    <cellStyle name="Comma 6 2 7" xfId="11125"/>
    <cellStyle name="Comma 6 2 8" xfId="11126"/>
    <cellStyle name="Comma 6 2 8 2" xfId="11127"/>
    <cellStyle name="Comma 6 2 9" xfId="11128"/>
    <cellStyle name="Comma 6 3" xfId="11129"/>
    <cellStyle name="Comma 6 3 2" xfId="11130"/>
    <cellStyle name="Comma 6 3 3" xfId="11131"/>
    <cellStyle name="Comma 6 3 4" xfId="11132"/>
    <cellStyle name="Comma 6 3 5" xfId="11133"/>
    <cellStyle name="Comma 6 3 6" xfId="11134"/>
    <cellStyle name="Comma 6 4" xfId="11135"/>
    <cellStyle name="Comma 6 5" xfId="11136"/>
    <cellStyle name="Comma 6 6" xfId="11137"/>
    <cellStyle name="Comma 6 7" xfId="11138"/>
    <cellStyle name="Comma 6 8" xfId="11139"/>
    <cellStyle name="Comma 6 9" xfId="11140"/>
    <cellStyle name="Comma 6 9 2" xfId="11141"/>
    <cellStyle name="Comma 60" xfId="11142"/>
    <cellStyle name="Comma 61" xfId="11143"/>
    <cellStyle name="Comma 62" xfId="11144"/>
    <cellStyle name="Comma 63" xfId="11145"/>
    <cellStyle name="Comma 64" xfId="11146"/>
    <cellStyle name="Comma 65" xfId="11147"/>
    <cellStyle name="Comma 66" xfId="11148"/>
    <cellStyle name="Comma 67" xfId="11149"/>
    <cellStyle name="Comma 68" xfId="11150"/>
    <cellStyle name="Comma 69" xfId="11151"/>
    <cellStyle name="Comma 7" xfId="11152"/>
    <cellStyle name="Comma 7 10" xfId="11153"/>
    <cellStyle name="Comma 7 11" xfId="11154"/>
    <cellStyle name="Comma 7 12" xfId="11155"/>
    <cellStyle name="Comma 7 13" xfId="11156"/>
    <cellStyle name="Comma 7 14" xfId="11157"/>
    <cellStyle name="Comma 7 2" xfId="11158"/>
    <cellStyle name="Comma 7 2 2" xfId="11159"/>
    <cellStyle name="Comma 7 2 3" xfId="11160"/>
    <cellStyle name="Comma 7 2 4" xfId="11161"/>
    <cellStyle name="Comma 7 2 5" xfId="11162"/>
    <cellStyle name="Comma 7 2 6" xfId="11163"/>
    <cellStyle name="Comma 7 3" xfId="11164"/>
    <cellStyle name="Comma 7 3 2" xfId="11165"/>
    <cellStyle name="Comma 7 3 3" xfId="11166"/>
    <cellStyle name="Comma 7 3 4" xfId="11167"/>
    <cellStyle name="Comma 7 3 5" xfId="11168"/>
    <cellStyle name="Comma 7 3 6" xfId="11169"/>
    <cellStyle name="Comma 7 4" xfId="11170"/>
    <cellStyle name="Comma 7 5" xfId="11171"/>
    <cellStyle name="Comma 7 6" xfId="11172"/>
    <cellStyle name="Comma 7 7" xfId="11173"/>
    <cellStyle name="Comma 7 8" xfId="11174"/>
    <cellStyle name="Comma 7 8 2" xfId="11175"/>
    <cellStyle name="Comma 7 9" xfId="11176"/>
    <cellStyle name="Comma 70" xfId="11177"/>
    <cellStyle name="Comma 71" xfId="11178"/>
    <cellStyle name="Comma 71 10" xfId="11179"/>
    <cellStyle name="Comma 71 2" xfId="11180"/>
    <cellStyle name="Comma 71 3" xfId="11181"/>
    <cellStyle name="Comma 71 4" xfId="11182"/>
    <cellStyle name="Comma 71 5" xfId="11183"/>
    <cellStyle name="Comma 71 6" xfId="11184"/>
    <cellStyle name="Comma 71 7" xfId="11185"/>
    <cellStyle name="Comma 71 8" xfId="11186"/>
    <cellStyle name="Comma 71 9" xfId="11187"/>
    <cellStyle name="Comma 72" xfId="11188"/>
    <cellStyle name="Comma 73" xfId="11189"/>
    <cellStyle name="Comma 74" xfId="11190"/>
    <cellStyle name="Comma 75" xfId="11191"/>
    <cellStyle name="Comma 76" xfId="11192"/>
    <cellStyle name="Comma 77" xfId="11193"/>
    <cellStyle name="Comma 78" xfId="11194"/>
    <cellStyle name="Comma 79" xfId="11195"/>
    <cellStyle name="Comma 8" xfId="11196"/>
    <cellStyle name="Comma 8 10" xfId="11197"/>
    <cellStyle name="Comma 8 11" xfId="11198"/>
    <cellStyle name="Comma 8 12" xfId="11199"/>
    <cellStyle name="Comma 8 13" xfId="11200"/>
    <cellStyle name="Comma 8 14" xfId="11201"/>
    <cellStyle name="Comma 8 2" xfId="11202"/>
    <cellStyle name="Comma 8 2 2" xfId="11203"/>
    <cellStyle name="Comma 8 2 3" xfId="11204"/>
    <cellStyle name="Comma 8 2 4" xfId="11205"/>
    <cellStyle name="Comma 8 2 5" xfId="11206"/>
    <cellStyle name="Comma 8 2 6" xfId="11207"/>
    <cellStyle name="Comma 8 3" xfId="11208"/>
    <cellStyle name="Comma 8 3 2" xfId="11209"/>
    <cellStyle name="Comma 8 3 3" xfId="11210"/>
    <cellStyle name="Comma 8 3 4" xfId="11211"/>
    <cellStyle name="Comma 8 3 5" xfId="11212"/>
    <cellStyle name="Comma 8 3 6" xfId="11213"/>
    <cellStyle name="Comma 8 4" xfId="11214"/>
    <cellStyle name="Comma 8 5" xfId="11215"/>
    <cellStyle name="Comma 8 6" xfId="11216"/>
    <cellStyle name="Comma 8 7" xfId="11217"/>
    <cellStyle name="Comma 8 8" xfId="11218"/>
    <cellStyle name="Comma 8 9" xfId="11219"/>
    <cellStyle name="Comma 80" xfId="11220"/>
    <cellStyle name="Comma 81" xfId="11221"/>
    <cellStyle name="Comma 82" xfId="11222"/>
    <cellStyle name="Comma 83" xfId="11223"/>
    <cellStyle name="Comma 84" xfId="11224"/>
    <cellStyle name="Comma 85" xfId="11225"/>
    <cellStyle name="Comma 86" xfId="11226"/>
    <cellStyle name="Comma 87" xfId="11227"/>
    <cellStyle name="Comma 88" xfId="11228"/>
    <cellStyle name="Comma 89" xfId="11229"/>
    <cellStyle name="Comma 9" xfId="11230"/>
    <cellStyle name="Comma 9 2" xfId="11231"/>
    <cellStyle name="Comma 9 2 2" xfId="11232"/>
    <cellStyle name="Comma 9 2 3" xfId="11233"/>
    <cellStyle name="Comma 9 2 4" xfId="11234"/>
    <cellStyle name="Comma 9 2 5" xfId="11235"/>
    <cellStyle name="Comma 9 3" xfId="11236"/>
    <cellStyle name="Comma 9 3 2" xfId="11237"/>
    <cellStyle name="Comma 9 3 3" xfId="11238"/>
    <cellStyle name="Comma 9 3 4" xfId="11239"/>
    <cellStyle name="Comma 9 3 5" xfId="11240"/>
    <cellStyle name="Comma 9 3 6" xfId="11241"/>
    <cellStyle name="Comma 9 4" xfId="11242"/>
    <cellStyle name="Comma 9 4 2" xfId="11243"/>
    <cellStyle name="Comma 9 4 3" xfId="11244"/>
    <cellStyle name="Comma 9 4 4" xfId="11245"/>
    <cellStyle name="Comma 9 4 5" xfId="11246"/>
    <cellStyle name="Comma 9 5" xfId="11247"/>
    <cellStyle name="Comma 9 6" xfId="11248"/>
    <cellStyle name="Comma 9 7" xfId="11249"/>
    <cellStyle name="Comma 9 8" xfId="11250"/>
    <cellStyle name="Comma 9 9" xfId="11251"/>
    <cellStyle name="Comma 90" xfId="11252"/>
    <cellStyle name="Comma 91" xfId="11253"/>
    <cellStyle name="Comma 92" xfId="11254"/>
    <cellStyle name="Comma 93" xfId="11255"/>
    <cellStyle name="Comma 94" xfId="11256"/>
    <cellStyle name="Comma 95" xfId="11257"/>
    <cellStyle name="Comma 96" xfId="11258"/>
    <cellStyle name="Comma 97" xfId="11259"/>
    <cellStyle name="Comma 98" xfId="11260"/>
    <cellStyle name="Comma 99" xfId="11261"/>
    <cellStyle name="comma zerodec" xfId="11262"/>
    <cellStyle name="comma zerodec 2" xfId="11263"/>
    <cellStyle name="comma zerodec 3" xfId="11264"/>
    <cellStyle name="comma zerodec 4" xfId="11265"/>
    <cellStyle name="comma zerodec 5" xfId="11266"/>
    <cellStyle name="comma zerodec 5 2" xfId="11267"/>
    <cellStyle name="comma zerodec 6" xfId="11268"/>
    <cellStyle name="comma zerodec 6 2" xfId="11269"/>
    <cellStyle name="comma zerodec 7" xfId="11270"/>
    <cellStyle name="comma zerodec 7 2" xfId="11271"/>
    <cellStyle name="comma zerodec 8" xfId="11272"/>
    <cellStyle name="comma zerodec 8 2" xfId="11273"/>
    <cellStyle name="Comma0" xfId="11274"/>
    <cellStyle name="Comma0 - Style3" xfId="11275"/>
    <cellStyle name="Comma0 2" xfId="11276"/>
    <cellStyle name="Comma0 3" xfId="11277"/>
    <cellStyle name="Comma0 4" xfId="11278"/>
    <cellStyle name="Comma0 5" xfId="11279"/>
    <cellStyle name="Comma0 6" xfId="11280"/>
    <cellStyle name="Comma0 7" xfId="11281"/>
    <cellStyle name="Comma0 7 2" xfId="11282"/>
    <cellStyle name="Comma0 8" xfId="11283"/>
    <cellStyle name="Comma1 - Style1" xfId="11284"/>
    <cellStyle name="Commentaire" xfId="11285"/>
    <cellStyle name="Commentaire 10" xfId="11286"/>
    <cellStyle name="Commentaire 11" xfId="11287"/>
    <cellStyle name="Commentaire 12" xfId="11288"/>
    <cellStyle name="Commentaire 13" xfId="11289"/>
    <cellStyle name="Commentaire 14" xfId="11290"/>
    <cellStyle name="Commentaire 15" xfId="11291"/>
    <cellStyle name="Commentaire 16" xfId="11292"/>
    <cellStyle name="Commentaire 2" xfId="11293"/>
    <cellStyle name="Commentaire 2 2" xfId="11294"/>
    <cellStyle name="Commentaire 2 3" xfId="11295"/>
    <cellStyle name="Commentaire 2 4" xfId="11296"/>
    <cellStyle name="Commentaire 3" xfId="11297"/>
    <cellStyle name="Commentaire 4" xfId="11298"/>
    <cellStyle name="Commentaire 5" xfId="11299"/>
    <cellStyle name="Commentaire 6" xfId="11300"/>
    <cellStyle name="Commentaire 7" xfId="11301"/>
    <cellStyle name="Commentaire 8" xfId="11302"/>
    <cellStyle name="Commentaire 9" xfId="11303"/>
    <cellStyle name="Curråncy [0]_FCST_RESULTS" xfId="11304"/>
    <cellStyle name="Curren - Style3" xfId="11305"/>
    <cellStyle name="Curren - Style3 2" xfId="11306"/>
    <cellStyle name="Curren - Style4" xfId="11307"/>
    <cellStyle name="Currency $" xfId="11308"/>
    <cellStyle name="Currency $ 2" xfId="11309"/>
    <cellStyle name="Currency $ 3" xfId="11310"/>
    <cellStyle name="Currency (0.00)" xfId="11311"/>
    <cellStyle name="Currency (0.00) 10" xfId="11312"/>
    <cellStyle name="Currency (0.00) 11" xfId="11313"/>
    <cellStyle name="Currency (0.00) 12" xfId="11314"/>
    <cellStyle name="Currency (0.00) 13" xfId="11315"/>
    <cellStyle name="Currency (0.00) 14" xfId="11316"/>
    <cellStyle name="Currency (0.00) 2" xfId="11317"/>
    <cellStyle name="Currency (0.00) 2 2" xfId="11318"/>
    <cellStyle name="Currency (0.00) 2 2 2" xfId="11319"/>
    <cellStyle name="Currency (0.00) 2 2 3" xfId="11320"/>
    <cellStyle name="Currency (0.00) 2 3" xfId="11321"/>
    <cellStyle name="Currency (0.00) 2 4" xfId="11322"/>
    <cellStyle name="Currency (0.00) 2 5" xfId="11323"/>
    <cellStyle name="Currency (0.00) 2 6" xfId="11324"/>
    <cellStyle name="Currency (0.00) 2 7" xfId="11325"/>
    <cellStyle name="Currency (0.00) 3" xfId="11326"/>
    <cellStyle name="Currency (0.00) 3 2" xfId="11327"/>
    <cellStyle name="Currency (0.00) 3 2 2" xfId="11328"/>
    <cellStyle name="Currency (0.00) 3 2 3" xfId="11329"/>
    <cellStyle name="Currency (0.00) 3 3" xfId="11330"/>
    <cellStyle name="Currency (0.00) 3 4" xfId="11331"/>
    <cellStyle name="Currency (0.00) 3 5" xfId="11332"/>
    <cellStyle name="Currency (0.00) 3 6" xfId="11333"/>
    <cellStyle name="Currency (0.00) 3 7" xfId="11334"/>
    <cellStyle name="Currency (0.00) 4" xfId="11335"/>
    <cellStyle name="Currency (0.00) 4 2" xfId="11336"/>
    <cellStyle name="Currency (0.00) 4 2 2" xfId="11337"/>
    <cellStyle name="Currency (0.00) 4 2 3" xfId="11338"/>
    <cellStyle name="Currency (0.00) 4 3" xfId="11339"/>
    <cellStyle name="Currency (0.00) 4 4" xfId="11340"/>
    <cellStyle name="Currency (0.00) 4 5" xfId="11341"/>
    <cellStyle name="Currency (0.00) 4 6" xfId="11342"/>
    <cellStyle name="Currency (0.00) 4 7" xfId="11343"/>
    <cellStyle name="Currency (0.00) 5" xfId="11344"/>
    <cellStyle name="Currency (0.00) 5 2" xfId="11345"/>
    <cellStyle name="Currency (0.00) 5 2 2" xfId="11346"/>
    <cellStyle name="Currency (0.00) 5 2 3" xfId="11347"/>
    <cellStyle name="Currency (0.00) 5 3" xfId="11348"/>
    <cellStyle name="Currency (0.00) 5 4" xfId="11349"/>
    <cellStyle name="Currency (0.00) 5 5" xfId="11350"/>
    <cellStyle name="Currency (0.00) 5 6" xfId="11351"/>
    <cellStyle name="Currency (0.00) 5 7" xfId="11352"/>
    <cellStyle name="Currency (0.00) 6" xfId="11353"/>
    <cellStyle name="Currency (0.00) 6 2" xfId="11354"/>
    <cellStyle name="Currency (0.00) 6 2 2" xfId="11355"/>
    <cellStyle name="Currency (0.00) 6 2 3" xfId="11356"/>
    <cellStyle name="Currency (0.00) 6 3" xfId="11357"/>
    <cellStyle name="Currency (0.00) 6 4" xfId="11358"/>
    <cellStyle name="Currency (0.00) 6 5" xfId="11359"/>
    <cellStyle name="Currency (0.00) 6 6" xfId="11360"/>
    <cellStyle name="Currency (0.00) 6 7" xfId="11361"/>
    <cellStyle name="Currency (0.00) 7" xfId="11362"/>
    <cellStyle name="Currency (0.00) 7 2" xfId="11363"/>
    <cellStyle name="Currency (0.00) 7 2 2" xfId="11364"/>
    <cellStyle name="Currency (0.00) 7 2 3" xfId="11365"/>
    <cellStyle name="Currency (0.00) 7 3" xfId="11366"/>
    <cellStyle name="Currency (0.00) 7 4" xfId="11367"/>
    <cellStyle name="Currency (0.00) 7 5" xfId="11368"/>
    <cellStyle name="Currency (0.00) 7 6" xfId="11369"/>
    <cellStyle name="Currency (0.00) 7 7" xfId="11370"/>
    <cellStyle name="Currency (0.00) 8" xfId="11371"/>
    <cellStyle name="Currency (0.00) 8 2" xfId="11372"/>
    <cellStyle name="Currency (0.00) 8 2 2" xfId="11373"/>
    <cellStyle name="Currency (0.00) 8 2 3" xfId="11374"/>
    <cellStyle name="Currency (0.00) 8 3" xfId="11375"/>
    <cellStyle name="Currency (0.00) 8 4" xfId="11376"/>
    <cellStyle name="Currency (0.00) 8 5" xfId="11377"/>
    <cellStyle name="Currency (0.00) 8 6" xfId="11378"/>
    <cellStyle name="Currency (0.00) 8 7" xfId="11379"/>
    <cellStyle name="Currency (0.00) 9" xfId="11380"/>
    <cellStyle name="Currency (0.00) 9 2" xfId="11381"/>
    <cellStyle name="Currency (0.00) 9 3" xfId="11382"/>
    <cellStyle name="Currency [0] 2" xfId="11383"/>
    <cellStyle name="Currency [0] 2 2" xfId="11384"/>
    <cellStyle name="Currency [0] 2 3" xfId="11385"/>
    <cellStyle name="Currency [0] 2 4" xfId="11386"/>
    <cellStyle name="Currency [0] 2 5" xfId="11387"/>
    <cellStyle name="Currency [0] 3" xfId="11388"/>
    <cellStyle name="Currency [0] 3 2" xfId="11389"/>
    <cellStyle name="Currency [0] 3 2 2" xfId="11390"/>
    <cellStyle name="Currency [0] 3 3" xfId="11391"/>
    <cellStyle name="Currency [0] 4" xfId="11392"/>
    <cellStyle name="Currency [0] 4 2" xfId="11393"/>
    <cellStyle name="Currency [0] 4 2 2" xfId="11394"/>
    <cellStyle name="Currency [0] 4 3" xfId="11395"/>
    <cellStyle name="Currency [0] 4 4" xfId="11396"/>
    <cellStyle name="Currency [0] 5" xfId="11397"/>
    <cellStyle name="Currency [0] 5 2" xfId="11398"/>
    <cellStyle name="Currency [0]ßmud plant bolted_RESULTS" xfId="11399"/>
    <cellStyle name="Currency [00]" xfId="11400"/>
    <cellStyle name="Currency [00] 2" xfId="11401"/>
    <cellStyle name="Currency [00] 2 2" xfId="11402"/>
    <cellStyle name="Currency [00] 3" xfId="11403"/>
    <cellStyle name="Currency [00] 3 2" xfId="11404"/>
    <cellStyle name="Currency [00] 4" xfId="11405"/>
    <cellStyle name="Currency [00] 4 2" xfId="11406"/>
    <cellStyle name="Currency [00] 5" xfId="11407"/>
    <cellStyle name="Currency [00] 5 2" xfId="11408"/>
    <cellStyle name="Currency [00] 6" xfId="11409"/>
    <cellStyle name="Currency [00] 6 2" xfId="11410"/>
    <cellStyle name="Currency [00] 7" xfId="11411"/>
    <cellStyle name="Currency [00] 7 2" xfId="11412"/>
    <cellStyle name="Currency [00] 8" xfId="11413"/>
    <cellStyle name="Currency [00] 8 2" xfId="11414"/>
    <cellStyle name="Currency [00] 9" xfId="11415"/>
    <cellStyle name="Currency 10" xfId="11416"/>
    <cellStyle name="Currency 11" xfId="11417"/>
    <cellStyle name="Currency 12" xfId="11418"/>
    <cellStyle name="Currency 13" xfId="11419"/>
    <cellStyle name="Currency 14" xfId="11420"/>
    <cellStyle name="Currency 15" xfId="11421"/>
    <cellStyle name="Currency 16" xfId="11422"/>
    <cellStyle name="Currency 17" xfId="11423"/>
    <cellStyle name="Currency 18" xfId="11424"/>
    <cellStyle name="Currency 19" xfId="11425"/>
    <cellStyle name="Currency 2" xfId="11426"/>
    <cellStyle name="Currency 2 2" xfId="11427"/>
    <cellStyle name="Currency 2 2 2" xfId="11428"/>
    <cellStyle name="Currency 2 2 2 2" xfId="11429"/>
    <cellStyle name="Currency 2 2 3" xfId="11430"/>
    <cellStyle name="Currency 2 3" xfId="11431"/>
    <cellStyle name="Currency 2 4" xfId="11432"/>
    <cellStyle name="Currency 20" xfId="11433"/>
    <cellStyle name="Currency 21" xfId="11434"/>
    <cellStyle name="Currency 22" xfId="11435"/>
    <cellStyle name="Currency 23" xfId="11436"/>
    <cellStyle name="Currency 24" xfId="11437"/>
    <cellStyle name="Currency 25" xfId="11438"/>
    <cellStyle name="Currency 26" xfId="11439"/>
    <cellStyle name="Currency 27" xfId="11440"/>
    <cellStyle name="Currency 28" xfId="11441"/>
    <cellStyle name="Currency 29" xfId="11442"/>
    <cellStyle name="Currency 3" xfId="11443"/>
    <cellStyle name="Currency 3 2" xfId="11444"/>
    <cellStyle name="Currency 30" xfId="11445"/>
    <cellStyle name="Currency 31" xfId="11446"/>
    <cellStyle name="Currency 32" xfId="11447"/>
    <cellStyle name="Currency 33" xfId="11448"/>
    <cellStyle name="Currency 34" xfId="11449"/>
    <cellStyle name="Currency 35" xfId="11450"/>
    <cellStyle name="Currency 36" xfId="11451"/>
    <cellStyle name="Currency 37" xfId="11452"/>
    <cellStyle name="Currency 38" xfId="11453"/>
    <cellStyle name="Currency 39" xfId="11454"/>
    <cellStyle name="Currency 4" xfId="11455"/>
    <cellStyle name="Currency 40" xfId="11456"/>
    <cellStyle name="Currency 41" xfId="11457"/>
    <cellStyle name="Currency 42" xfId="11458"/>
    <cellStyle name="Currency 43" xfId="11459"/>
    <cellStyle name="Currency 44" xfId="11460"/>
    <cellStyle name="Currency 45" xfId="11461"/>
    <cellStyle name="Currency 46" xfId="11462"/>
    <cellStyle name="Currency 5" xfId="11463"/>
    <cellStyle name="Currency 6" xfId="11464"/>
    <cellStyle name="Currency 7" xfId="11465"/>
    <cellStyle name="Currency 8" xfId="11466"/>
    <cellStyle name="Currency 9" xfId="11467"/>
    <cellStyle name="Currency![0]_FCSt (2)" xfId="11468"/>
    <cellStyle name="Currency0" xfId="11469"/>
    <cellStyle name="Currency0 2" xfId="11470"/>
    <cellStyle name="Currency0 2 2" xfId="11471"/>
    <cellStyle name="Currency0 3" xfId="11472"/>
    <cellStyle name="Currency0 3 2" xfId="11473"/>
    <cellStyle name="Currency0 4" xfId="11474"/>
    <cellStyle name="Currency0 4 2" xfId="11475"/>
    <cellStyle name="Currency0 5" xfId="11476"/>
    <cellStyle name="Currency0 5 2" xfId="11477"/>
    <cellStyle name="Currency0 6" xfId="11478"/>
    <cellStyle name="Currency0 6 2" xfId="11479"/>
    <cellStyle name="Currency0 7" xfId="11480"/>
    <cellStyle name="Currency0 7 2" xfId="11481"/>
    <cellStyle name="Currency0 8" xfId="11482"/>
    <cellStyle name="Currency0 8 2" xfId="11483"/>
    <cellStyle name="Currency0 9" xfId="11484"/>
    <cellStyle name="Currency1" xfId="11485"/>
    <cellStyle name="Currency1 2" xfId="11486"/>
    <cellStyle name="Currency1 3" xfId="11487"/>
    <cellStyle name="Currency1 4" xfId="11488"/>
    <cellStyle name="Currency1 5" xfId="11489"/>
    <cellStyle name="Currency1 6" xfId="11490"/>
    <cellStyle name="Currency1 6 2" xfId="11491"/>
    <cellStyle name="Currency1 7" xfId="11492"/>
    <cellStyle name="Currency1 7 2" xfId="11493"/>
    <cellStyle name="Currency1 8" xfId="11494"/>
    <cellStyle name="Currency1 8 2" xfId="11495"/>
    <cellStyle name="DataPilot Category" xfId="11496"/>
    <cellStyle name="DataPilot Corner" xfId="11497"/>
    <cellStyle name="DataPilot Field" xfId="11498"/>
    <cellStyle name="DataPilot Value" xfId="11499"/>
    <cellStyle name="Date" xfId="11500"/>
    <cellStyle name="Date 2" xfId="11501"/>
    <cellStyle name="Date 2 2" xfId="11502"/>
    <cellStyle name="Date 3" xfId="11503"/>
    <cellStyle name="Date 3 2" xfId="11504"/>
    <cellStyle name="Date 4" xfId="11505"/>
    <cellStyle name="Date 5" xfId="11506"/>
    <cellStyle name="Date 5 2" xfId="11507"/>
    <cellStyle name="Date 6" xfId="11508"/>
    <cellStyle name="Date 7" xfId="11509"/>
    <cellStyle name="Date 8" xfId="11510"/>
    <cellStyle name="Date 9" xfId="11511"/>
    <cellStyle name="Date Short" xfId="11512"/>
    <cellStyle name="Date Short 2" xfId="11513"/>
    <cellStyle name="Date Short 2 2" xfId="11514"/>
    <cellStyle name="Date Short 3" xfId="11515"/>
    <cellStyle name="Date Short 3 2" xfId="11516"/>
    <cellStyle name="Date Short 4" xfId="11517"/>
    <cellStyle name="Date Short 4 2" xfId="11518"/>
    <cellStyle name="Date Short 5" xfId="11519"/>
    <cellStyle name="Date Short 5 2" xfId="11520"/>
    <cellStyle name="Date Short 6" xfId="11521"/>
    <cellStyle name="Date Short 6 2" xfId="11522"/>
    <cellStyle name="Date Short 7" xfId="11523"/>
    <cellStyle name="Date Short 7 2" xfId="11524"/>
    <cellStyle name="Date Short 8" xfId="11525"/>
    <cellStyle name="Date Short 8 2" xfId="11526"/>
    <cellStyle name="Date Short 9" xfId="11527"/>
    <cellStyle name="Date_AP Logistic 2010 Konsolidasi (091110)" xfId="11528"/>
    <cellStyle name="Dezimal [0]_UXO VII" xfId="11529"/>
    <cellStyle name="Dezimal_UXO VII" xfId="11530"/>
    <cellStyle name="Dollar (zero dec)" xfId="11531"/>
    <cellStyle name="Dollar (zero dec) 2" xfId="11532"/>
    <cellStyle name="Dollar (zero dec) 3" xfId="11533"/>
    <cellStyle name="Dollar (zero dec) 3 2" xfId="11534"/>
    <cellStyle name="Dollar (zero dec) 4" xfId="11535"/>
    <cellStyle name="Dollar (zero dec) 4 2" xfId="11536"/>
    <cellStyle name="Dollar (zero dec) 5" xfId="11537"/>
    <cellStyle name="Dollar (zero dec) 5 2" xfId="11538"/>
    <cellStyle name="Dollar (zero dec) 6" xfId="11539"/>
    <cellStyle name="Dollar (zero dec) 7" xfId="11540"/>
    <cellStyle name="Dollar (zero dec) 8" xfId="11541"/>
    <cellStyle name="Dollar (zero dec) 8 2" xfId="11542"/>
    <cellStyle name="Edited_Data" xfId="11543"/>
    <cellStyle name="eeee" xfId="11544"/>
    <cellStyle name="Enter Currency (0)" xfId="11545"/>
    <cellStyle name="Enter Currency (0) 2" xfId="11546"/>
    <cellStyle name="Enter Currency (0) 3" xfId="11547"/>
    <cellStyle name="Enter Currency (0) 4" xfId="11548"/>
    <cellStyle name="Enter Currency (0) 5" xfId="11549"/>
    <cellStyle name="Enter Currency (0) 5 2" xfId="11550"/>
    <cellStyle name="Enter Currency (0) 6" xfId="11551"/>
    <cellStyle name="Enter Currency (0) 6 2" xfId="11552"/>
    <cellStyle name="Enter Currency (0) 7" xfId="11553"/>
    <cellStyle name="Enter Currency (0) 7 2" xfId="11554"/>
    <cellStyle name="Enter Currency (0) 8" xfId="11555"/>
    <cellStyle name="Enter Currency (0) 8 2" xfId="11556"/>
    <cellStyle name="Enter Currency (2)" xfId="11557"/>
    <cellStyle name="Enter Currency (2) 2" xfId="11558"/>
    <cellStyle name="Enter Currency (2) 2 2" xfId="11559"/>
    <cellStyle name="Enter Currency (2) 3" xfId="11560"/>
    <cellStyle name="Enter Currency (2) 3 2" xfId="11561"/>
    <cellStyle name="Enter Currency (2) 4" xfId="11562"/>
    <cellStyle name="Enter Currency (2) 4 2" xfId="11563"/>
    <cellStyle name="Enter Currency (2) 5" xfId="11564"/>
    <cellStyle name="Enter Currency (2) 5 2" xfId="11565"/>
    <cellStyle name="Enter Currency (2) 6" xfId="11566"/>
    <cellStyle name="Enter Currency (2) 6 2" xfId="11567"/>
    <cellStyle name="Enter Currency (2) 7" xfId="11568"/>
    <cellStyle name="Enter Currency (2) 7 2" xfId="11569"/>
    <cellStyle name="Enter Currency (2) 8" xfId="11570"/>
    <cellStyle name="Enter Currency (2) 8 2" xfId="11571"/>
    <cellStyle name="Enter Currency (2) 9" xfId="11572"/>
    <cellStyle name="Enter Units (0)" xfId="11573"/>
    <cellStyle name="Enter Units (0) 2" xfId="11574"/>
    <cellStyle name="Enter Units (0) 3" xfId="11575"/>
    <cellStyle name="Enter Units (0) 4" xfId="11576"/>
    <cellStyle name="Enter Units (0) 5" xfId="11577"/>
    <cellStyle name="Enter Units (0) 6" xfId="11578"/>
    <cellStyle name="Enter Units (0) 7" xfId="11579"/>
    <cellStyle name="Enter Units (0) 8" xfId="11580"/>
    <cellStyle name="Enter Units (1)" xfId="11581"/>
    <cellStyle name="Enter Units (1) 2" xfId="11582"/>
    <cellStyle name="Enter Units (1) 2 2" xfId="11583"/>
    <cellStyle name="Enter Units (1) 3" xfId="11584"/>
    <cellStyle name="Enter Units (1) 4" xfId="11585"/>
    <cellStyle name="Enter Units (1) 5" xfId="11586"/>
    <cellStyle name="Enter Units (1) 6" xfId="11587"/>
    <cellStyle name="Enter Units (1) 7" xfId="11588"/>
    <cellStyle name="Enter Units (1) 8" xfId="11589"/>
    <cellStyle name="Enter Units (1) 8 2" xfId="11590"/>
    <cellStyle name="Enter Units (2)" xfId="11591"/>
    <cellStyle name="Enter Units (2) 2" xfId="11592"/>
    <cellStyle name="Enter Units (2) 2 2" xfId="11593"/>
    <cellStyle name="Enter Units (2) 3" xfId="11594"/>
    <cellStyle name="Enter Units (2) 3 2" xfId="11595"/>
    <cellStyle name="Enter Units (2) 4" xfId="11596"/>
    <cellStyle name="Enter Units (2) 4 2" xfId="11597"/>
    <cellStyle name="Enter Units (2) 5" xfId="11598"/>
    <cellStyle name="Enter Units (2) 5 2" xfId="11599"/>
    <cellStyle name="Enter Units (2) 6" xfId="11600"/>
    <cellStyle name="Enter Units (2) 6 2" xfId="11601"/>
    <cellStyle name="Enter Units (2) 7" xfId="11602"/>
    <cellStyle name="Enter Units (2) 7 2" xfId="11603"/>
    <cellStyle name="Enter Units (2) 8" xfId="11604"/>
    <cellStyle name="Enter Units (2) 8 2" xfId="11605"/>
    <cellStyle name="Enter Units (2) 9" xfId="11606"/>
    <cellStyle name="Entrée" xfId="11607"/>
    <cellStyle name="Entrée 10" xfId="11608"/>
    <cellStyle name="Entrée 11" xfId="11609"/>
    <cellStyle name="Entrée 12" xfId="11610"/>
    <cellStyle name="Entrée 13" xfId="11611"/>
    <cellStyle name="Entrée 14" xfId="11612"/>
    <cellStyle name="Entrée 15" xfId="11613"/>
    <cellStyle name="Entrée 16" xfId="11614"/>
    <cellStyle name="Entrée 2" xfId="11615"/>
    <cellStyle name="Entrée 2 2" xfId="11616"/>
    <cellStyle name="Entrée 2 3" xfId="11617"/>
    <cellStyle name="Entrée 2 4" xfId="11618"/>
    <cellStyle name="Entrée 3" xfId="11619"/>
    <cellStyle name="Entrée 4" xfId="11620"/>
    <cellStyle name="Entrée 5" xfId="11621"/>
    <cellStyle name="Entrée 6" xfId="11622"/>
    <cellStyle name="Entrée 7" xfId="11623"/>
    <cellStyle name="Entrée 8" xfId="11624"/>
    <cellStyle name="Entrée 9" xfId="11625"/>
    <cellStyle name="Estimated_Data" xfId="11626"/>
    <cellStyle name="Euro" xfId="11627"/>
    <cellStyle name="Euro 2" xfId="11628"/>
    <cellStyle name="Excel Built-in Normal" xfId="11629"/>
    <cellStyle name="Excel Built-in Normal 2" xfId="11630"/>
    <cellStyle name="Excel Built-in Normal 2 2" xfId="11631"/>
    <cellStyle name="Excel Built-in Normal 2 3" xfId="11632"/>
    <cellStyle name="Excel Built-in Normal 2 4" xfId="11633"/>
    <cellStyle name="Excel Built-in Normal 2 5" xfId="11634"/>
    <cellStyle name="Excel Built-in Normal 2 6" xfId="11635"/>
    <cellStyle name="Excel Built-in Normal 2 7" xfId="11636"/>
    <cellStyle name="Excel Built-in Normal 3" xfId="11637"/>
    <cellStyle name="Excel Built-in Normal 4" xfId="11638"/>
    <cellStyle name="Excel Built-in Normal 4 2" xfId="11639"/>
    <cellStyle name="Excel Built-in Normal 4 3" xfId="11640"/>
    <cellStyle name="Excel Built-in Normal 4 4" xfId="11641"/>
    <cellStyle name="Excel Built-in Normal 4 5" xfId="11642"/>
    <cellStyle name="Excel Built-in Normal 4 6" xfId="11643"/>
    <cellStyle name="Excel Built-in Normal 5" xfId="11644"/>
    <cellStyle name="Excel Built-in Normal 6" xfId="11645"/>
    <cellStyle name="Excel Built-in Normal 7" xfId="11646"/>
    <cellStyle name="Excel Built-in Normal 8" xfId="11647"/>
    <cellStyle name="Excel Built-in Normal 9" xfId="11648"/>
    <cellStyle name="Excel.Chart" xfId="11649"/>
    <cellStyle name="Excel.Chart 2" xfId="11650"/>
    <cellStyle name="Explanatory Text 1" xfId="11651"/>
    <cellStyle name="Explanatory Text 10 2" xfId="11652"/>
    <cellStyle name="Explanatory Text 10 3" xfId="11653"/>
    <cellStyle name="Explanatory Text 10 4" xfId="11654"/>
    <cellStyle name="Explanatory Text 11 2" xfId="11655"/>
    <cellStyle name="Explanatory Text 11 3" xfId="11656"/>
    <cellStyle name="Explanatory Text 11 4" xfId="11657"/>
    <cellStyle name="Explanatory Text 12 2" xfId="11658"/>
    <cellStyle name="Explanatory Text 12 3" xfId="11659"/>
    <cellStyle name="Explanatory Text 12 4" xfId="11660"/>
    <cellStyle name="Explanatory Text 13 2" xfId="11661"/>
    <cellStyle name="Explanatory Text 13 3" xfId="11662"/>
    <cellStyle name="Explanatory Text 13 4" xfId="11663"/>
    <cellStyle name="Explanatory Text 14 2" xfId="11664"/>
    <cellStyle name="Explanatory Text 14 3" xfId="11665"/>
    <cellStyle name="Explanatory Text 14 4" xfId="11666"/>
    <cellStyle name="Explanatory Text 15 2" xfId="11667"/>
    <cellStyle name="Explanatory Text 15 3" xfId="11668"/>
    <cellStyle name="Explanatory Text 15 4" xfId="11669"/>
    <cellStyle name="Explanatory Text 15 4 2" xfId="11670"/>
    <cellStyle name="Explanatory Text 16 2" xfId="11671"/>
    <cellStyle name="Explanatory Text 16 3" xfId="11672"/>
    <cellStyle name="Explanatory Text 16 3 2" xfId="11673"/>
    <cellStyle name="Explanatory Text 16 4" xfId="11674"/>
    <cellStyle name="Explanatory Text 16 4 2" xfId="11675"/>
    <cellStyle name="Explanatory Text 17 2" xfId="11676"/>
    <cellStyle name="Explanatory Text 17 3" xfId="11677"/>
    <cellStyle name="Explanatory Text 17 4" xfId="11678"/>
    <cellStyle name="Explanatory Text 17 4 2" xfId="11679"/>
    <cellStyle name="Explanatory Text 2" xfId="11680"/>
    <cellStyle name="Explanatory Text 2 2" xfId="11681"/>
    <cellStyle name="Explanatory Text 2 2 2" xfId="11682"/>
    <cellStyle name="Explanatory Text 2 3" xfId="11683"/>
    <cellStyle name="Explanatory Text 2 3 2" xfId="11684"/>
    <cellStyle name="Explanatory Text 2 4" xfId="11685"/>
    <cellStyle name="Explanatory Text 2 4 2" xfId="11686"/>
    <cellStyle name="Explanatory Text 2 5" xfId="11687"/>
    <cellStyle name="Explanatory Text 3" xfId="11688"/>
    <cellStyle name="Explanatory Text 3 2" xfId="11689"/>
    <cellStyle name="Explanatory Text 3 3" xfId="11690"/>
    <cellStyle name="Explanatory Text 3 4" xfId="11691"/>
    <cellStyle name="Explanatory Text 4" xfId="11692"/>
    <cellStyle name="Explanatory Text 4 2" xfId="11693"/>
    <cellStyle name="Explanatory Text 4 3" xfId="11694"/>
    <cellStyle name="Explanatory Text 4 4" xfId="11695"/>
    <cellStyle name="Explanatory Text 4 5" xfId="11696"/>
    <cellStyle name="Explanatory Text 5 2" xfId="11697"/>
    <cellStyle name="Explanatory Text 5 3" xfId="11698"/>
    <cellStyle name="Explanatory Text 5 3 2" xfId="11699"/>
    <cellStyle name="Explanatory Text 5 4" xfId="11700"/>
    <cellStyle name="Explanatory Text 5 4 2" xfId="11701"/>
    <cellStyle name="Explanatory Text 6 2" xfId="11702"/>
    <cellStyle name="Explanatory Text 6 3" xfId="11703"/>
    <cellStyle name="Explanatory Text 6 4" xfId="11704"/>
    <cellStyle name="Explanatory Text 6 4 2" xfId="11705"/>
    <cellStyle name="Explanatory Text 7 2" xfId="11706"/>
    <cellStyle name="Explanatory Text 7 3" xfId="11707"/>
    <cellStyle name="Explanatory Text 7 4" xfId="11708"/>
    <cellStyle name="Explanatory Text 7 4 2" xfId="11709"/>
    <cellStyle name="Explanatory Text 8 2" xfId="11710"/>
    <cellStyle name="Explanatory Text 8 2 2" xfId="11711"/>
    <cellStyle name="Explanatory Text 8 3" xfId="11712"/>
    <cellStyle name="Explanatory Text 8 3 2" xfId="11713"/>
    <cellStyle name="Explanatory Text 8 4" xfId="11714"/>
    <cellStyle name="Explanatory Text 8 4 2" xfId="11715"/>
    <cellStyle name="Explanatory Text 9 2" xfId="11716"/>
    <cellStyle name="Explanatory Text 9 2 2" xfId="11717"/>
    <cellStyle name="Explanatory Text 9 3" xfId="11718"/>
    <cellStyle name="Explanatory Text 9 3 2" xfId="11719"/>
    <cellStyle name="Explanatory Text 9 4" xfId="11720"/>
    <cellStyle name="Explanatory Text 9 4 2" xfId="11721"/>
    <cellStyle name="F2" xfId="11722"/>
    <cellStyle name="F2 2" xfId="11723"/>
    <cellStyle name="F2 3" xfId="11724"/>
    <cellStyle name="F2 4" xfId="11725"/>
    <cellStyle name="F2 4 2" xfId="11726"/>
    <cellStyle name="F2 5" xfId="11727"/>
    <cellStyle name="F2 5 2" xfId="11728"/>
    <cellStyle name="F2 6" xfId="11729"/>
    <cellStyle name="F2 6 2" xfId="11730"/>
    <cellStyle name="F2 7" xfId="11731"/>
    <cellStyle name="F2 7 2" xfId="11732"/>
    <cellStyle name="F2 8" xfId="11733"/>
    <cellStyle name="F3" xfId="11734"/>
    <cellStyle name="F3 2" xfId="11735"/>
    <cellStyle name="F3 2 2" xfId="11736"/>
    <cellStyle name="F3 3" xfId="11737"/>
    <cellStyle name="F3 3 2" xfId="11738"/>
    <cellStyle name="F3 4" xfId="11739"/>
    <cellStyle name="F3 4 2" xfId="11740"/>
    <cellStyle name="F3 5" xfId="11741"/>
    <cellStyle name="F3 5 2" xfId="11742"/>
    <cellStyle name="F3 6" xfId="11743"/>
    <cellStyle name="F3 6 2" xfId="11744"/>
    <cellStyle name="F3 7" xfId="11745"/>
    <cellStyle name="F3 7 2" xfId="11746"/>
    <cellStyle name="F3 8" xfId="11747"/>
    <cellStyle name="F3 8 2" xfId="11748"/>
    <cellStyle name="F4" xfId="11749"/>
    <cellStyle name="F4 2" xfId="11750"/>
    <cellStyle name="F4 2 2" xfId="11751"/>
    <cellStyle name="F4 3" xfId="11752"/>
    <cellStyle name="F4 4" xfId="11753"/>
    <cellStyle name="F4 4 2" xfId="11754"/>
    <cellStyle name="F4 5" xfId="11755"/>
    <cellStyle name="F4 6" xfId="11756"/>
    <cellStyle name="F4 7" xfId="11757"/>
    <cellStyle name="F4 7 2" xfId="11758"/>
    <cellStyle name="F4 8" xfId="11759"/>
    <cellStyle name="F5" xfId="11760"/>
    <cellStyle name="F5 2" xfId="11761"/>
    <cellStyle name="F5 2 2" xfId="11762"/>
    <cellStyle name="F5 3" xfId="11763"/>
    <cellStyle name="F5 3 2" xfId="11764"/>
    <cellStyle name="F5 4" xfId="11765"/>
    <cellStyle name="F5 4 2" xfId="11766"/>
    <cellStyle name="F5 5" xfId="11767"/>
    <cellStyle name="F5 5 2" xfId="11768"/>
    <cellStyle name="F5 6" xfId="11769"/>
    <cellStyle name="F5 6 2" xfId="11770"/>
    <cellStyle name="F5 7" xfId="11771"/>
    <cellStyle name="F5 7 2" xfId="11772"/>
    <cellStyle name="F5 8" xfId="11773"/>
    <cellStyle name="F5 8 2" xfId="11774"/>
    <cellStyle name="F5 9" xfId="11775"/>
    <cellStyle name="F6" xfId="11776"/>
    <cellStyle name="F6 2" xfId="11777"/>
    <cellStyle name="F6 2 2" xfId="11778"/>
    <cellStyle name="F6 3" xfId="11779"/>
    <cellStyle name="F6 4" xfId="11780"/>
    <cellStyle name="F6 5" xfId="11781"/>
    <cellStyle name="F6 6" xfId="11782"/>
    <cellStyle name="F6 6 2" xfId="11783"/>
    <cellStyle name="F6 7" xfId="11784"/>
    <cellStyle name="F6 8" xfId="11785"/>
    <cellStyle name="F7" xfId="11786"/>
    <cellStyle name="F7 2" xfId="11787"/>
    <cellStyle name="F7 2 2" xfId="11788"/>
    <cellStyle name="F7 3" xfId="11789"/>
    <cellStyle name="F7 4" xfId="11790"/>
    <cellStyle name="F7 4 2" xfId="11791"/>
    <cellStyle name="F7 5" xfId="11792"/>
    <cellStyle name="F7 5 2" xfId="11793"/>
    <cellStyle name="F7 6" xfId="11794"/>
    <cellStyle name="F7 7" xfId="11795"/>
    <cellStyle name="F7 8" xfId="11796"/>
    <cellStyle name="F7 8 2" xfId="11797"/>
    <cellStyle name="F8" xfId="11798"/>
    <cellStyle name="F8 2" xfId="11799"/>
    <cellStyle name="F8 2 2" xfId="11800"/>
    <cellStyle name="F8 3" xfId="11801"/>
    <cellStyle name="F8 4" xfId="11802"/>
    <cellStyle name="F8 5" xfId="11803"/>
    <cellStyle name="F8 5 2" xfId="11804"/>
    <cellStyle name="F8 6" xfId="11805"/>
    <cellStyle name="F8 7" xfId="11806"/>
    <cellStyle name="F8 8" xfId="11807"/>
    <cellStyle name="Fixed" xfId="11808"/>
    <cellStyle name="Fixed 2" xfId="11809"/>
    <cellStyle name="Fixed 2 2" xfId="11810"/>
    <cellStyle name="Fixed 3" xfId="11811"/>
    <cellStyle name="Fixed 3 2" xfId="11812"/>
    <cellStyle name="Fixed 4" xfId="11813"/>
    <cellStyle name="Fixed 4 2" xfId="11814"/>
    <cellStyle name="Fixed 5" xfId="11815"/>
    <cellStyle name="Fixed 5 2" xfId="11816"/>
    <cellStyle name="Fixed 6" xfId="11817"/>
    <cellStyle name="Fixed 7" xfId="11818"/>
    <cellStyle name="Fixed 8" xfId="11819"/>
    <cellStyle name="Fixed 9" xfId="11820"/>
    <cellStyle name="ƒnƒCƒp[ƒŠƒ“ƒN" xfId="11821"/>
    <cellStyle name="Followed Hyperlink 2" xfId="11822"/>
    <cellStyle name="Followed Hyperlink 2 2" xfId="11823"/>
    <cellStyle name="Font Britannic16" xfId="11824"/>
    <cellStyle name="Font Britannic18" xfId="11825"/>
    <cellStyle name="Font CenturyCond 18" xfId="11826"/>
    <cellStyle name="Font Cond20" xfId="11827"/>
    <cellStyle name="Font LucidaSans16" xfId="11828"/>
    <cellStyle name="Font NewCenturyCond18" xfId="11829"/>
    <cellStyle name="Font Ottawa14" xfId="11830"/>
    <cellStyle name="Font Ottawa16" xfId="11831"/>
    <cellStyle name="Forecast_Data" xfId="11832"/>
    <cellStyle name="Good 1" xfId="11833"/>
    <cellStyle name="Good 10 2" xfId="11834"/>
    <cellStyle name="Good 10 3" xfId="11835"/>
    <cellStyle name="Good 10 4" xfId="11836"/>
    <cellStyle name="Good 11 2" xfId="11837"/>
    <cellStyle name="Good 11 3" xfId="11838"/>
    <cellStyle name="Good 11 4" xfId="11839"/>
    <cellStyle name="Good 12 2" xfId="11840"/>
    <cellStyle name="Good 12 3" xfId="11841"/>
    <cellStyle name="Good 12 4" xfId="11842"/>
    <cellStyle name="Good 13 2" xfId="11843"/>
    <cellStyle name="Good 13 2 2" xfId="11844"/>
    <cellStyle name="Good 13 3" xfId="11845"/>
    <cellStyle name="Good 13 3 2" xfId="11846"/>
    <cellStyle name="Good 13 4" xfId="11847"/>
    <cellStyle name="Good 13 4 2" xfId="11848"/>
    <cellStyle name="Good 14 2" xfId="11849"/>
    <cellStyle name="Good 14 2 2" xfId="11850"/>
    <cellStyle name="Good 14 3" xfId="11851"/>
    <cellStyle name="Good 14 4" xfId="11852"/>
    <cellStyle name="Good 15 2" xfId="11853"/>
    <cellStyle name="Good 15 2 2" xfId="11854"/>
    <cellStyle name="Good 15 3" xfId="11855"/>
    <cellStyle name="Good 15 4" xfId="11856"/>
    <cellStyle name="Good 15 4 2" xfId="11857"/>
    <cellStyle name="Good 16 2" xfId="11858"/>
    <cellStyle name="Good 16 3" xfId="11859"/>
    <cellStyle name="Good 16 4" xfId="11860"/>
    <cellStyle name="Good 16 4 2" xfId="11861"/>
    <cellStyle name="Good 17 2" xfId="11862"/>
    <cellStyle name="Good 17 2 2" xfId="11863"/>
    <cellStyle name="Good 17 3" xfId="11864"/>
    <cellStyle name="Good 17 3 2" xfId="11865"/>
    <cellStyle name="Good 17 4" xfId="11866"/>
    <cellStyle name="Good 17 4 2" xfId="11867"/>
    <cellStyle name="Good 2" xfId="11868"/>
    <cellStyle name="Good 2 2" xfId="11869"/>
    <cellStyle name="Good 2 3" xfId="11870"/>
    <cellStyle name="Good 2 3 2" xfId="11871"/>
    <cellStyle name="Good 2 4" xfId="11872"/>
    <cellStyle name="Good 2 4 2" xfId="11873"/>
    <cellStyle name="Good 2 5" xfId="11874"/>
    <cellStyle name="Good 3" xfId="11875"/>
    <cellStyle name="Good 3 2" xfId="11876"/>
    <cellStyle name="Good 3 3" xfId="11877"/>
    <cellStyle name="Good 3 4" xfId="11878"/>
    <cellStyle name="Good 3 5" xfId="11879"/>
    <cellStyle name="Good 4" xfId="11880"/>
    <cellStyle name="Good 4 2" xfId="11881"/>
    <cellStyle name="Good 4 2 2" xfId="11882"/>
    <cellStyle name="Good 4 3" xfId="11883"/>
    <cellStyle name="Good 4 3 2" xfId="11884"/>
    <cellStyle name="Good 4 4" xfId="11885"/>
    <cellStyle name="Good 4 5" xfId="11886"/>
    <cellStyle name="Good 5" xfId="11887"/>
    <cellStyle name="Good 5 2" xfId="11888"/>
    <cellStyle name="Good 5 3" xfId="11889"/>
    <cellStyle name="Good 5 4" xfId="11890"/>
    <cellStyle name="Good 6" xfId="11891"/>
    <cellStyle name="Good 6 2" xfId="11892"/>
    <cellStyle name="Good 6 2 2" xfId="11893"/>
    <cellStyle name="Good 6 3" xfId="11894"/>
    <cellStyle name="Good 6 3 2" xfId="11895"/>
    <cellStyle name="Good 6 4" xfId="11896"/>
    <cellStyle name="Good 6 4 2" xfId="11897"/>
    <cellStyle name="Good 7 2" xfId="11898"/>
    <cellStyle name="Good 7 2 2" xfId="11899"/>
    <cellStyle name="Good 7 3" xfId="11900"/>
    <cellStyle name="Good 7 3 2" xfId="11901"/>
    <cellStyle name="Good 7 4" xfId="11902"/>
    <cellStyle name="Good 7 4 2" xfId="11903"/>
    <cellStyle name="Good 8 2" xfId="11904"/>
    <cellStyle name="Good 8 3" xfId="11905"/>
    <cellStyle name="Good 8 3 2" xfId="11906"/>
    <cellStyle name="Good 8 4" xfId="11907"/>
    <cellStyle name="Good 8 4 2" xfId="11908"/>
    <cellStyle name="Good 9 2" xfId="11909"/>
    <cellStyle name="Good 9 2 2" xfId="11910"/>
    <cellStyle name="Good 9 3" xfId="11911"/>
    <cellStyle name="Good 9 3 2" xfId="11912"/>
    <cellStyle name="Good 9 4" xfId="11913"/>
    <cellStyle name="Good 9 4 2" xfId="11914"/>
    <cellStyle name="Grey" xfId="11915"/>
    <cellStyle name="Grey 10" xfId="11916"/>
    <cellStyle name="Grey 10 2" xfId="11917"/>
    <cellStyle name="Grey 2" xfId="11918"/>
    <cellStyle name="Grey 2 2" xfId="11919"/>
    <cellStyle name="Grey 3" xfId="11920"/>
    <cellStyle name="Grey 4" xfId="11921"/>
    <cellStyle name="Grey 5" xfId="11922"/>
    <cellStyle name="Grey 6" xfId="11923"/>
    <cellStyle name="Grey 7" xfId="11924"/>
    <cellStyle name="Grey 8" xfId="11925"/>
    <cellStyle name="Grey 9" xfId="11926"/>
    <cellStyle name="HEADER" xfId="11927"/>
    <cellStyle name="Header - Style1" xfId="11928"/>
    <cellStyle name="Header - Style1 2" xfId="11929"/>
    <cellStyle name="Header1" xfId="11930"/>
    <cellStyle name="Header2" xfId="11931"/>
    <cellStyle name="Header2 2" xfId="11932"/>
    <cellStyle name="Header2 2 2" xfId="11933"/>
    <cellStyle name="Header2 2 2 2" xfId="11934"/>
    <cellStyle name="Header2 2 2 3" xfId="11935"/>
    <cellStyle name="Header2 2 2 4" xfId="11936"/>
    <cellStyle name="Header2 2 3" xfId="11937"/>
    <cellStyle name="Header2 2 4" xfId="11938"/>
    <cellStyle name="Header2 2 5" xfId="11939"/>
    <cellStyle name="Header2 3" xfId="11940"/>
    <cellStyle name="Header2 3 2" xfId="11941"/>
    <cellStyle name="Header2 3 2 2" xfId="11942"/>
    <cellStyle name="Header2 3 2 3" xfId="11943"/>
    <cellStyle name="Header2 3 2 4" xfId="11944"/>
    <cellStyle name="Header2 3 3" xfId="11945"/>
    <cellStyle name="Header2 3 4" xfId="11946"/>
    <cellStyle name="Header2 3 5" xfId="11947"/>
    <cellStyle name="Header2 4" xfId="11948"/>
    <cellStyle name="Header2 4 2" xfId="11949"/>
    <cellStyle name="Header2 4 3" xfId="11950"/>
    <cellStyle name="Header2 4 4" xfId="11951"/>
    <cellStyle name="Header2 5" xfId="11952"/>
    <cellStyle name="Header2 6" xfId="11953"/>
    <cellStyle name="Header2 7" xfId="11954"/>
    <cellStyle name="Heading" xfId="11955"/>
    <cellStyle name="Heading 1 1" xfId="11956"/>
    <cellStyle name="Heading 1 10 2" xfId="11957"/>
    <cellStyle name="Heading 1 10 2 2" xfId="11958"/>
    <cellStyle name="Heading 1 10 3" xfId="11959"/>
    <cellStyle name="Heading 1 10 3 2" xfId="11960"/>
    <cellStyle name="Heading 1 10 4" xfId="11961"/>
    <cellStyle name="Heading 1 10 4 2" xfId="11962"/>
    <cellStyle name="Heading 1 11 2" xfId="11963"/>
    <cellStyle name="Heading 1 11 3" xfId="11964"/>
    <cellStyle name="Heading 1 11 4" xfId="11965"/>
    <cellStyle name="Heading 1 12 2" xfId="11966"/>
    <cellStyle name="Heading 1 12 3" xfId="11967"/>
    <cellStyle name="Heading 1 12 3 2" xfId="11968"/>
    <cellStyle name="Heading 1 12 4" xfId="11969"/>
    <cellStyle name="Heading 1 13 2" xfId="11970"/>
    <cellStyle name="Heading 1 13 2 2" xfId="11971"/>
    <cellStyle name="Heading 1 13 3" xfId="11972"/>
    <cellStyle name="Heading 1 13 3 2" xfId="11973"/>
    <cellStyle name="Heading 1 13 4" xfId="11974"/>
    <cellStyle name="Heading 1 13 4 2" xfId="11975"/>
    <cellStyle name="Heading 1 14 2" xfId="11976"/>
    <cellStyle name="Heading 1 14 2 2" xfId="11977"/>
    <cellStyle name="Heading 1 14 3" xfId="11978"/>
    <cellStyle name="Heading 1 14 3 2" xfId="11979"/>
    <cellStyle name="Heading 1 14 4" xfId="11980"/>
    <cellStyle name="Heading 1 14 4 2" xfId="11981"/>
    <cellStyle name="Heading 1 15 2" xfId="11982"/>
    <cellStyle name="Heading 1 15 3" xfId="11983"/>
    <cellStyle name="Heading 1 15 4" xfId="11984"/>
    <cellStyle name="Heading 1 16 2" xfId="11985"/>
    <cellStyle name="Heading 1 16 3" xfId="11986"/>
    <cellStyle name="Heading 1 16 4" xfId="11987"/>
    <cellStyle name="Heading 1 17 2" xfId="11988"/>
    <cellStyle name="Heading 1 17 3" xfId="11989"/>
    <cellStyle name="Heading 1 17 4" xfId="11990"/>
    <cellStyle name="Heading 1 2" xfId="11991"/>
    <cellStyle name="Heading 1 2 2" xfId="11992"/>
    <cellStyle name="Heading 1 2 3" xfId="11993"/>
    <cellStyle name="Heading 1 2 4" xfId="11994"/>
    <cellStyle name="Heading 1 3" xfId="11995"/>
    <cellStyle name="Heading 1 3 2" xfId="11996"/>
    <cellStyle name="Heading 1 3 3" xfId="11997"/>
    <cellStyle name="Heading 1 3 4" xfId="11998"/>
    <cellStyle name="Heading 1 4" xfId="11999"/>
    <cellStyle name="Heading 1 4 2" xfId="12000"/>
    <cellStyle name="Heading 1 4 3" xfId="12001"/>
    <cellStyle name="Heading 1 4 4" xfId="12002"/>
    <cellStyle name="Heading 1 5" xfId="12003"/>
    <cellStyle name="Heading 1 5 2" xfId="12004"/>
    <cellStyle name="Heading 1 5 3" xfId="12005"/>
    <cellStyle name="Heading 1 5 4" xfId="12006"/>
    <cellStyle name="Heading 1 6" xfId="12007"/>
    <cellStyle name="Heading 1 6 2" xfId="12008"/>
    <cellStyle name="Heading 1 6 3" xfId="12009"/>
    <cellStyle name="Heading 1 6 4" xfId="12010"/>
    <cellStyle name="Heading 1 7 2" xfId="12011"/>
    <cellStyle name="Heading 1 7 3" xfId="12012"/>
    <cellStyle name="Heading 1 7 4" xfId="12013"/>
    <cellStyle name="Heading 1 8 2" xfId="12014"/>
    <cellStyle name="Heading 1 8 3" xfId="12015"/>
    <cellStyle name="Heading 1 8 4" xfId="12016"/>
    <cellStyle name="Heading 1 9 2" xfId="12017"/>
    <cellStyle name="Heading 1 9 3" xfId="12018"/>
    <cellStyle name="Heading 1 9 4" xfId="12019"/>
    <cellStyle name="Heading 2 1" xfId="12020"/>
    <cellStyle name="Heading 2 10 2" xfId="12021"/>
    <cellStyle name="Heading 2 10 3" xfId="12022"/>
    <cellStyle name="Heading 2 10 4" xfId="12023"/>
    <cellStyle name="Heading 2 11 2" xfId="12024"/>
    <cellStyle name="Heading 2 11 3" xfId="12025"/>
    <cellStyle name="Heading 2 11 4" xfId="12026"/>
    <cellStyle name="Heading 2 12 2" xfId="12027"/>
    <cellStyle name="Heading 2 12 3" xfId="12028"/>
    <cellStyle name="Heading 2 12 4" xfId="12029"/>
    <cellStyle name="Heading 2 13 2" xfId="12030"/>
    <cellStyle name="Heading 2 13 3" xfId="12031"/>
    <cellStyle name="Heading 2 13 4" xfId="12032"/>
    <cellStyle name="Heading 2 14 2" xfId="12033"/>
    <cellStyle name="Heading 2 14 3" xfId="12034"/>
    <cellStyle name="Heading 2 14 4" xfId="12035"/>
    <cellStyle name="Heading 2 15 2" xfId="12036"/>
    <cellStyle name="Heading 2 15 3" xfId="12037"/>
    <cellStyle name="Heading 2 15 4" xfId="12038"/>
    <cellStyle name="Heading 2 16 2" xfId="12039"/>
    <cellStyle name="Heading 2 16 3" xfId="12040"/>
    <cellStyle name="Heading 2 16 4" xfId="12041"/>
    <cellStyle name="Heading 2 17 2" xfId="12042"/>
    <cellStyle name="Heading 2 17 3" xfId="12043"/>
    <cellStyle name="Heading 2 17 4" xfId="12044"/>
    <cellStyle name="Heading 2 2" xfId="12045"/>
    <cellStyle name="Heading 2 2 2" xfId="12046"/>
    <cellStyle name="Heading 2 2 3" xfId="12047"/>
    <cellStyle name="Heading 2 2 4" xfId="12048"/>
    <cellStyle name="Heading 2 3" xfId="12049"/>
    <cellStyle name="Heading 2 3 2" xfId="12050"/>
    <cellStyle name="Heading 2 3 3" xfId="12051"/>
    <cellStyle name="Heading 2 3 4" xfId="12052"/>
    <cellStyle name="Heading 2 4" xfId="12053"/>
    <cellStyle name="Heading 2 4 2" xfId="12054"/>
    <cellStyle name="Heading 2 4 3" xfId="12055"/>
    <cellStyle name="Heading 2 4 4" xfId="12056"/>
    <cellStyle name="Heading 2 5" xfId="12057"/>
    <cellStyle name="Heading 2 5 2" xfId="12058"/>
    <cellStyle name="Heading 2 5 3" xfId="12059"/>
    <cellStyle name="Heading 2 5 4" xfId="12060"/>
    <cellStyle name="Heading 2 6" xfId="12061"/>
    <cellStyle name="Heading 2 6 2" xfId="12062"/>
    <cellStyle name="Heading 2 6 3" xfId="12063"/>
    <cellStyle name="Heading 2 6 4" xfId="12064"/>
    <cellStyle name="Heading 2 7 2" xfId="12065"/>
    <cellStyle name="Heading 2 7 3" xfId="12066"/>
    <cellStyle name="Heading 2 7 4" xfId="12067"/>
    <cellStyle name="Heading 2 8 2" xfId="12068"/>
    <cellStyle name="Heading 2 8 3" xfId="12069"/>
    <cellStyle name="Heading 2 8 4" xfId="12070"/>
    <cellStyle name="Heading 2 9 2" xfId="12071"/>
    <cellStyle name="Heading 2 9 3" xfId="12072"/>
    <cellStyle name="Heading 2 9 4" xfId="12073"/>
    <cellStyle name="Heading 3 1" xfId="12074"/>
    <cellStyle name="Heading 3 10 2" xfId="12075"/>
    <cellStyle name="Heading 3 10 3" xfId="12076"/>
    <cellStyle name="Heading 3 10 4" xfId="12077"/>
    <cellStyle name="Heading 3 11 2" xfId="12078"/>
    <cellStyle name="Heading 3 11 3" xfId="12079"/>
    <cellStyle name="Heading 3 11 4" xfId="12080"/>
    <cellStyle name="Heading 3 12 2" xfId="12081"/>
    <cellStyle name="Heading 3 12 3" xfId="12082"/>
    <cellStyle name="Heading 3 12 4" xfId="12083"/>
    <cellStyle name="Heading 3 13 2" xfId="12084"/>
    <cellStyle name="Heading 3 13 3" xfId="12085"/>
    <cellStyle name="Heading 3 13 4" xfId="12086"/>
    <cellStyle name="Heading 3 14 2" xfId="12087"/>
    <cellStyle name="Heading 3 14 3" xfId="12088"/>
    <cellStyle name="Heading 3 14 4" xfId="12089"/>
    <cellStyle name="Heading 3 15 2" xfId="12090"/>
    <cellStyle name="Heading 3 15 3" xfId="12091"/>
    <cellStyle name="Heading 3 15 4" xfId="12092"/>
    <cellStyle name="Heading 3 16 2" xfId="12093"/>
    <cellStyle name="Heading 3 16 3" xfId="12094"/>
    <cellStyle name="Heading 3 16 4" xfId="12095"/>
    <cellStyle name="Heading 3 17 2" xfId="12096"/>
    <cellStyle name="Heading 3 17 3" xfId="12097"/>
    <cellStyle name="Heading 3 17 4" xfId="12098"/>
    <cellStyle name="Heading 3 2" xfId="12099"/>
    <cellStyle name="Heading 3 2 2" xfId="12100"/>
    <cellStyle name="Heading 3 2 2 2" xfId="12101"/>
    <cellStyle name="Heading 3 2 2 3" xfId="12102"/>
    <cellStyle name="Heading 3 2 2 4" xfId="12103"/>
    <cellStyle name="Heading 3 2 2 5" xfId="12104"/>
    <cellStyle name="Heading 3 2 2 6" xfId="12105"/>
    <cellStyle name="Heading 3 2 3" xfId="12106"/>
    <cellStyle name="Heading 3 2 3 2" xfId="12107"/>
    <cellStyle name="Heading 3 2 3 3" xfId="12108"/>
    <cellStyle name="Heading 3 2 3 4" xfId="12109"/>
    <cellStyle name="Heading 3 2 3 5" xfId="12110"/>
    <cellStyle name="Heading 3 2 3 6" xfId="12111"/>
    <cellStyle name="Heading 3 2 4" xfId="12112"/>
    <cellStyle name="Heading 3 2 4 2" xfId="12113"/>
    <cellStyle name="Heading 3 2 4 3" xfId="12114"/>
    <cellStyle name="Heading 3 2 4 4" xfId="12115"/>
    <cellStyle name="Heading 3 2 4 5" xfId="12116"/>
    <cellStyle name="Heading 3 2 4 6" xfId="12117"/>
    <cellStyle name="Heading 3 2 5" xfId="12118"/>
    <cellStyle name="Heading 3 2 6" xfId="12119"/>
    <cellStyle name="Heading 3 2 7" xfId="12120"/>
    <cellStyle name="Heading 3 2 8" xfId="12121"/>
    <cellStyle name="Heading 3 2 9" xfId="12122"/>
    <cellStyle name="Heading 3 3" xfId="12123"/>
    <cellStyle name="Heading 3 3 2" xfId="12124"/>
    <cellStyle name="Heading 3 3 3" xfId="12125"/>
    <cellStyle name="Heading 3 3 4" xfId="12126"/>
    <cellStyle name="Heading 3 3 5" xfId="12127"/>
    <cellStyle name="Heading 3 3 6" xfId="12128"/>
    <cellStyle name="Heading 3 3 7" xfId="12129"/>
    <cellStyle name="Heading 3 3 8" xfId="12130"/>
    <cellStyle name="Heading 3 3 9" xfId="12131"/>
    <cellStyle name="Heading 3 4" xfId="12132"/>
    <cellStyle name="Heading 3 4 2" xfId="12133"/>
    <cellStyle name="Heading 3 4 3" xfId="12134"/>
    <cellStyle name="Heading 3 4 4" xfId="12135"/>
    <cellStyle name="Heading 3 5" xfId="12136"/>
    <cellStyle name="Heading 3 5 2" xfId="12137"/>
    <cellStyle name="Heading 3 5 3" xfId="12138"/>
    <cellStyle name="Heading 3 5 4" xfId="12139"/>
    <cellStyle name="Heading 3 6 2" xfId="12140"/>
    <cellStyle name="Heading 3 6 3" xfId="12141"/>
    <cellStyle name="Heading 3 6 4" xfId="12142"/>
    <cellStyle name="Heading 3 7 2" xfId="12143"/>
    <cellStyle name="Heading 3 7 3" xfId="12144"/>
    <cellStyle name="Heading 3 7 4" xfId="12145"/>
    <cellStyle name="Heading 3 8 2" xfId="12146"/>
    <cellStyle name="Heading 3 8 3" xfId="12147"/>
    <cellStyle name="Heading 3 8 4" xfId="12148"/>
    <cellStyle name="Heading 3 9 2" xfId="12149"/>
    <cellStyle name="Heading 3 9 3" xfId="12150"/>
    <cellStyle name="Heading 3 9 4" xfId="12151"/>
    <cellStyle name="Heading 4 1" xfId="12152"/>
    <cellStyle name="Heading 4 10 2" xfId="12153"/>
    <cellStyle name="Heading 4 10 3" xfId="12154"/>
    <cellStyle name="Heading 4 10 4" xfId="12155"/>
    <cellStyle name="Heading 4 11 2" xfId="12156"/>
    <cellStyle name="Heading 4 11 3" xfId="12157"/>
    <cellStyle name="Heading 4 11 4" xfId="12158"/>
    <cellStyle name="Heading 4 12 2" xfId="12159"/>
    <cellStyle name="Heading 4 12 3" xfId="12160"/>
    <cellStyle name="Heading 4 12 4" xfId="12161"/>
    <cellStyle name="Heading 4 13 2" xfId="12162"/>
    <cellStyle name="Heading 4 13 3" xfId="12163"/>
    <cellStyle name="Heading 4 13 4" xfId="12164"/>
    <cellStyle name="Heading 4 14 2" xfId="12165"/>
    <cellStyle name="Heading 4 14 3" xfId="12166"/>
    <cellStyle name="Heading 4 14 4" xfId="12167"/>
    <cellStyle name="Heading 4 15 2" xfId="12168"/>
    <cellStyle name="Heading 4 15 3" xfId="12169"/>
    <cellStyle name="Heading 4 15 4" xfId="12170"/>
    <cellStyle name="Heading 4 16 2" xfId="12171"/>
    <cellStyle name="Heading 4 16 3" xfId="12172"/>
    <cellStyle name="Heading 4 16 4" xfId="12173"/>
    <cellStyle name="Heading 4 17 2" xfId="12174"/>
    <cellStyle name="Heading 4 17 3" xfId="12175"/>
    <cellStyle name="Heading 4 17 4" xfId="12176"/>
    <cellStyle name="Heading 4 2" xfId="12177"/>
    <cellStyle name="Heading 4 2 2" xfId="12178"/>
    <cellStyle name="Heading 4 2 3" xfId="12179"/>
    <cellStyle name="Heading 4 2 4" xfId="12180"/>
    <cellStyle name="Heading 4 3" xfId="12181"/>
    <cellStyle name="Heading 4 3 2" xfId="12182"/>
    <cellStyle name="Heading 4 3 3" xfId="12183"/>
    <cellStyle name="Heading 4 3 4" xfId="12184"/>
    <cellStyle name="Heading 4 4" xfId="12185"/>
    <cellStyle name="Heading 4 4 2" xfId="12186"/>
    <cellStyle name="Heading 4 4 3" xfId="12187"/>
    <cellStyle name="Heading 4 4 4" xfId="12188"/>
    <cellStyle name="Heading 4 5" xfId="12189"/>
    <cellStyle name="Heading 4 5 2" xfId="12190"/>
    <cellStyle name="Heading 4 5 3" xfId="12191"/>
    <cellStyle name="Heading 4 5 4" xfId="12192"/>
    <cellStyle name="Heading 4 6" xfId="12193"/>
    <cellStyle name="Heading 4 6 2" xfId="12194"/>
    <cellStyle name="Heading 4 6 3" xfId="12195"/>
    <cellStyle name="Heading 4 6 4" xfId="12196"/>
    <cellStyle name="Heading 4 7 2" xfId="12197"/>
    <cellStyle name="Heading 4 7 3" xfId="12198"/>
    <cellStyle name="Heading 4 7 3 2" xfId="12199"/>
    <cellStyle name="Heading 4 7 4" xfId="12200"/>
    <cellStyle name="Heading 4 8 2" xfId="12201"/>
    <cellStyle name="Heading 4 8 3" xfId="12202"/>
    <cellStyle name="Heading 4 8 3 2" xfId="12203"/>
    <cellStyle name="Heading 4 8 4" xfId="12204"/>
    <cellStyle name="Heading 4 9 2" xfId="12205"/>
    <cellStyle name="Heading 4 9 3" xfId="12206"/>
    <cellStyle name="Heading 4 9 3 2" xfId="12207"/>
    <cellStyle name="Heading 4 9 4" xfId="12208"/>
    <cellStyle name="Heading 4 9 4 2" xfId="12209"/>
    <cellStyle name="Heading1" xfId="12210"/>
    <cellStyle name="Heading1 1" xfId="12211"/>
    <cellStyle name="Heading1 2" xfId="12212"/>
    <cellStyle name="Heading1 3" xfId="12213"/>
    <cellStyle name="Heading1 4" xfId="12214"/>
    <cellStyle name="Heading1 5" xfId="12215"/>
    <cellStyle name="Heading1 6" xfId="12216"/>
    <cellStyle name="Heading1 7" xfId="12217"/>
    <cellStyle name="Heading1 8" xfId="12218"/>
    <cellStyle name="Heading1 9" xfId="12219"/>
    <cellStyle name="Heading1_AP Logistic 2010 Konsolidasi (091110)" xfId="12220"/>
    <cellStyle name="Heading2" xfId="12221"/>
    <cellStyle name="Heading2 2" xfId="12222"/>
    <cellStyle name="Heading2 3" xfId="12223"/>
    <cellStyle name="Heading2 4" xfId="12224"/>
    <cellStyle name="Heading2 5" xfId="12225"/>
    <cellStyle name="Heading2 6" xfId="12226"/>
    <cellStyle name="Heading2 7" xfId="12227"/>
    <cellStyle name="Heading2 8" xfId="12228"/>
    <cellStyle name="Heading2 9" xfId="12229"/>
    <cellStyle name="Heading3" xfId="12230"/>
    <cellStyle name="Hyperlink 2" xfId="12231"/>
    <cellStyle name="Hyperlink 2 2" xfId="12232"/>
    <cellStyle name="Hyperlink 3" xfId="12233"/>
    <cellStyle name="i·0" xfId="12234"/>
    <cellStyle name="Input [yellow]" xfId="12235"/>
    <cellStyle name="Input [yellow] 10" xfId="12236"/>
    <cellStyle name="Input [yellow] 10 2" xfId="12237"/>
    <cellStyle name="Input [yellow] 10 2 2" xfId="12238"/>
    <cellStyle name="Input [yellow] 10 2 2 2" xfId="12239"/>
    <cellStyle name="Input [yellow] 10 2 2 3" xfId="12240"/>
    <cellStyle name="Input [yellow] 10 2 3" xfId="12241"/>
    <cellStyle name="Input [yellow] 10 2 4" xfId="12242"/>
    <cellStyle name="Input [yellow] 10 2 5" xfId="12243"/>
    <cellStyle name="Input [yellow] 10 2 6" xfId="12244"/>
    <cellStyle name="Input [yellow] 10 2 7" xfId="12245"/>
    <cellStyle name="Input [yellow] 10 3" xfId="12246"/>
    <cellStyle name="Input [yellow] 10 3 2" xfId="12247"/>
    <cellStyle name="Input [yellow] 10 3 2 2" xfId="12248"/>
    <cellStyle name="Input [yellow] 10 3 2 3" xfId="12249"/>
    <cellStyle name="Input [yellow] 10 3 3" xfId="12250"/>
    <cellStyle name="Input [yellow] 10 3 4" xfId="12251"/>
    <cellStyle name="Input [yellow] 10 3 5" xfId="12252"/>
    <cellStyle name="Input [yellow] 10 3 6" xfId="12253"/>
    <cellStyle name="Input [yellow] 10 3 7" xfId="12254"/>
    <cellStyle name="Input [yellow] 10 4" xfId="12255"/>
    <cellStyle name="Input [yellow] 10 4 2" xfId="12256"/>
    <cellStyle name="Input [yellow] 10 4 3" xfId="12257"/>
    <cellStyle name="Input [yellow] 10 5" xfId="12258"/>
    <cellStyle name="Input [yellow] 10 6" xfId="12259"/>
    <cellStyle name="Input [yellow] 10 7" xfId="12260"/>
    <cellStyle name="Input [yellow] 10 8" xfId="12261"/>
    <cellStyle name="Input [yellow] 10 9" xfId="12262"/>
    <cellStyle name="Input [yellow] 11" xfId="12263"/>
    <cellStyle name="Input [yellow] 11 2" xfId="12264"/>
    <cellStyle name="Input [yellow] 11 2 2" xfId="12265"/>
    <cellStyle name="Input [yellow] 11 2 3" xfId="12266"/>
    <cellStyle name="Input [yellow] 11 3" xfId="12267"/>
    <cellStyle name="Input [yellow] 11 4" xfId="12268"/>
    <cellStyle name="Input [yellow] 11 5" xfId="12269"/>
    <cellStyle name="Input [yellow] 11 6" xfId="12270"/>
    <cellStyle name="Input [yellow] 11 7" xfId="12271"/>
    <cellStyle name="Input [yellow] 12" xfId="12272"/>
    <cellStyle name="Input [yellow] 12 2" xfId="12273"/>
    <cellStyle name="Input [yellow] 12 2 2" xfId="12274"/>
    <cellStyle name="Input [yellow] 12 2 3" xfId="12275"/>
    <cellStyle name="Input [yellow] 12 3" xfId="12276"/>
    <cellStyle name="Input [yellow] 12 4" xfId="12277"/>
    <cellStyle name="Input [yellow] 12 5" xfId="12278"/>
    <cellStyle name="Input [yellow] 12 6" xfId="12279"/>
    <cellStyle name="Input [yellow] 12 7" xfId="12280"/>
    <cellStyle name="Input [yellow] 13" xfId="12281"/>
    <cellStyle name="Input [yellow] 13 2" xfId="12282"/>
    <cellStyle name="Input [yellow] 13 3" xfId="12283"/>
    <cellStyle name="Input [yellow] 14" xfId="12284"/>
    <cellStyle name="Input [yellow] 15" xfId="12285"/>
    <cellStyle name="Input [yellow] 16" xfId="12286"/>
    <cellStyle name="Input [yellow] 17" xfId="12287"/>
    <cellStyle name="Input [yellow] 18" xfId="12288"/>
    <cellStyle name="Input [yellow] 2" xfId="12289"/>
    <cellStyle name="Input [yellow] 2 2" xfId="12290"/>
    <cellStyle name="Input [yellow] 2 2 2" xfId="12291"/>
    <cellStyle name="Input [yellow] 2 2 2 2" xfId="12292"/>
    <cellStyle name="Input [yellow] 2 2 2 3" xfId="12293"/>
    <cellStyle name="Input [yellow] 2 2 3" xfId="12294"/>
    <cellStyle name="Input [yellow] 2 2 4" xfId="12295"/>
    <cellStyle name="Input [yellow] 2 2 5" xfId="12296"/>
    <cellStyle name="Input [yellow] 2 2 6" xfId="12297"/>
    <cellStyle name="Input [yellow] 2 2 7" xfId="12298"/>
    <cellStyle name="Input [yellow] 2 3" xfId="12299"/>
    <cellStyle name="Input [yellow] 2 3 2" xfId="12300"/>
    <cellStyle name="Input [yellow] 2 3 2 2" xfId="12301"/>
    <cellStyle name="Input [yellow] 2 3 2 3" xfId="12302"/>
    <cellStyle name="Input [yellow] 2 3 3" xfId="12303"/>
    <cellStyle name="Input [yellow] 2 3 4" xfId="12304"/>
    <cellStyle name="Input [yellow] 2 3 5" xfId="12305"/>
    <cellStyle name="Input [yellow] 2 3 6" xfId="12306"/>
    <cellStyle name="Input [yellow] 2 3 7" xfId="12307"/>
    <cellStyle name="Input [yellow] 2 4" xfId="12308"/>
    <cellStyle name="Input [yellow] 2 4 2" xfId="12309"/>
    <cellStyle name="Input [yellow] 2 4 3" xfId="12310"/>
    <cellStyle name="Input [yellow] 2 5" xfId="12311"/>
    <cellStyle name="Input [yellow] 2 6" xfId="12312"/>
    <cellStyle name="Input [yellow] 2 7" xfId="12313"/>
    <cellStyle name="Input [yellow] 2 8" xfId="12314"/>
    <cellStyle name="Input [yellow] 2 9" xfId="12315"/>
    <cellStyle name="Input [yellow] 3" xfId="12316"/>
    <cellStyle name="Input [yellow] 3 2" xfId="12317"/>
    <cellStyle name="Input [yellow] 3 2 2" xfId="12318"/>
    <cellStyle name="Input [yellow] 3 2 2 2" xfId="12319"/>
    <cellStyle name="Input [yellow] 3 2 2 3" xfId="12320"/>
    <cellStyle name="Input [yellow] 3 2 3" xfId="12321"/>
    <cellStyle name="Input [yellow] 3 2 4" xfId="12322"/>
    <cellStyle name="Input [yellow] 3 2 5" xfId="12323"/>
    <cellStyle name="Input [yellow] 3 2 6" xfId="12324"/>
    <cellStyle name="Input [yellow] 3 2 7" xfId="12325"/>
    <cellStyle name="Input [yellow] 3 3" xfId="12326"/>
    <cellStyle name="Input [yellow] 3 3 2" xfId="12327"/>
    <cellStyle name="Input [yellow] 3 3 2 2" xfId="12328"/>
    <cellStyle name="Input [yellow] 3 3 2 3" xfId="12329"/>
    <cellStyle name="Input [yellow] 3 3 3" xfId="12330"/>
    <cellStyle name="Input [yellow] 3 3 4" xfId="12331"/>
    <cellStyle name="Input [yellow] 3 3 5" xfId="12332"/>
    <cellStyle name="Input [yellow] 3 3 6" xfId="12333"/>
    <cellStyle name="Input [yellow] 3 3 7" xfId="12334"/>
    <cellStyle name="Input [yellow] 3 4" xfId="12335"/>
    <cellStyle name="Input [yellow] 3 4 2" xfId="12336"/>
    <cellStyle name="Input [yellow] 3 4 3" xfId="12337"/>
    <cellStyle name="Input [yellow] 3 5" xfId="12338"/>
    <cellStyle name="Input [yellow] 3 6" xfId="12339"/>
    <cellStyle name="Input [yellow] 3 7" xfId="12340"/>
    <cellStyle name="Input [yellow] 3 8" xfId="12341"/>
    <cellStyle name="Input [yellow] 3 9" xfId="12342"/>
    <cellStyle name="Input [yellow] 4" xfId="12343"/>
    <cellStyle name="Input [yellow] 4 2" xfId="12344"/>
    <cellStyle name="Input [yellow] 4 2 2" xfId="12345"/>
    <cellStyle name="Input [yellow] 4 2 2 2" xfId="12346"/>
    <cellStyle name="Input [yellow] 4 2 2 3" xfId="12347"/>
    <cellStyle name="Input [yellow] 4 2 3" xfId="12348"/>
    <cellStyle name="Input [yellow] 4 2 4" xfId="12349"/>
    <cellStyle name="Input [yellow] 4 2 5" xfId="12350"/>
    <cellStyle name="Input [yellow] 4 2 6" xfId="12351"/>
    <cellStyle name="Input [yellow] 4 2 7" xfId="12352"/>
    <cellStyle name="Input [yellow] 4 3" xfId="12353"/>
    <cellStyle name="Input [yellow] 4 3 2" xfId="12354"/>
    <cellStyle name="Input [yellow] 4 3 2 2" xfId="12355"/>
    <cellStyle name="Input [yellow] 4 3 2 3" xfId="12356"/>
    <cellStyle name="Input [yellow] 4 3 3" xfId="12357"/>
    <cellStyle name="Input [yellow] 4 3 4" xfId="12358"/>
    <cellStyle name="Input [yellow] 4 3 5" xfId="12359"/>
    <cellStyle name="Input [yellow] 4 3 6" xfId="12360"/>
    <cellStyle name="Input [yellow] 4 3 7" xfId="12361"/>
    <cellStyle name="Input [yellow] 4 4" xfId="12362"/>
    <cellStyle name="Input [yellow] 4 4 2" xfId="12363"/>
    <cellStyle name="Input [yellow] 4 4 3" xfId="12364"/>
    <cellStyle name="Input [yellow] 4 5" xfId="12365"/>
    <cellStyle name="Input [yellow] 4 6" xfId="12366"/>
    <cellStyle name="Input [yellow] 4 7" xfId="12367"/>
    <cellStyle name="Input [yellow] 4 8" xfId="12368"/>
    <cellStyle name="Input [yellow] 4 9" xfId="12369"/>
    <cellStyle name="Input [yellow] 5" xfId="12370"/>
    <cellStyle name="Input [yellow] 5 2" xfId="12371"/>
    <cellStyle name="Input [yellow] 5 2 2" xfId="12372"/>
    <cellStyle name="Input [yellow] 5 2 2 2" xfId="12373"/>
    <cellStyle name="Input [yellow] 5 2 2 3" xfId="12374"/>
    <cellStyle name="Input [yellow] 5 2 3" xfId="12375"/>
    <cellStyle name="Input [yellow] 5 2 4" xfId="12376"/>
    <cellStyle name="Input [yellow] 5 2 5" xfId="12377"/>
    <cellStyle name="Input [yellow] 5 2 6" xfId="12378"/>
    <cellStyle name="Input [yellow] 5 2 7" xfId="12379"/>
    <cellStyle name="Input [yellow] 5 3" xfId="12380"/>
    <cellStyle name="Input [yellow] 5 3 2" xfId="12381"/>
    <cellStyle name="Input [yellow] 5 3 2 2" xfId="12382"/>
    <cellStyle name="Input [yellow] 5 3 2 3" xfId="12383"/>
    <cellStyle name="Input [yellow] 5 3 3" xfId="12384"/>
    <cellStyle name="Input [yellow] 5 3 4" xfId="12385"/>
    <cellStyle name="Input [yellow] 5 3 5" xfId="12386"/>
    <cellStyle name="Input [yellow] 5 3 6" xfId="12387"/>
    <cellStyle name="Input [yellow] 5 3 7" xfId="12388"/>
    <cellStyle name="Input [yellow] 5 4" xfId="12389"/>
    <cellStyle name="Input [yellow] 5 4 2" xfId="12390"/>
    <cellStyle name="Input [yellow] 5 4 3" xfId="12391"/>
    <cellStyle name="Input [yellow] 5 5" xfId="12392"/>
    <cellStyle name="Input [yellow] 5 6" xfId="12393"/>
    <cellStyle name="Input [yellow] 5 7" xfId="12394"/>
    <cellStyle name="Input [yellow] 5 8" xfId="12395"/>
    <cellStyle name="Input [yellow] 5 9" xfId="12396"/>
    <cellStyle name="Input [yellow] 6" xfId="12397"/>
    <cellStyle name="Input [yellow] 6 2" xfId="12398"/>
    <cellStyle name="Input [yellow] 6 2 2" xfId="12399"/>
    <cellStyle name="Input [yellow] 6 2 2 2" xfId="12400"/>
    <cellStyle name="Input [yellow] 6 2 2 3" xfId="12401"/>
    <cellStyle name="Input [yellow] 6 2 3" xfId="12402"/>
    <cellStyle name="Input [yellow] 6 2 4" xfId="12403"/>
    <cellStyle name="Input [yellow] 6 2 5" xfId="12404"/>
    <cellStyle name="Input [yellow] 6 2 6" xfId="12405"/>
    <cellStyle name="Input [yellow] 6 2 7" xfId="12406"/>
    <cellStyle name="Input [yellow] 6 3" xfId="12407"/>
    <cellStyle name="Input [yellow] 6 3 2" xfId="12408"/>
    <cellStyle name="Input [yellow] 6 3 2 2" xfId="12409"/>
    <cellStyle name="Input [yellow] 6 3 2 3" xfId="12410"/>
    <cellStyle name="Input [yellow] 6 3 3" xfId="12411"/>
    <cellStyle name="Input [yellow] 6 3 4" xfId="12412"/>
    <cellStyle name="Input [yellow] 6 3 5" xfId="12413"/>
    <cellStyle name="Input [yellow] 6 3 6" xfId="12414"/>
    <cellStyle name="Input [yellow] 6 3 7" xfId="12415"/>
    <cellStyle name="Input [yellow] 6 4" xfId="12416"/>
    <cellStyle name="Input [yellow] 6 4 2" xfId="12417"/>
    <cellStyle name="Input [yellow] 6 4 3" xfId="12418"/>
    <cellStyle name="Input [yellow] 6 5" xfId="12419"/>
    <cellStyle name="Input [yellow] 6 6" xfId="12420"/>
    <cellStyle name="Input [yellow] 6 7" xfId="12421"/>
    <cellStyle name="Input [yellow] 6 8" xfId="12422"/>
    <cellStyle name="Input [yellow] 6 9" xfId="12423"/>
    <cellStyle name="Input [yellow] 7" xfId="12424"/>
    <cellStyle name="Input [yellow] 7 2" xfId="12425"/>
    <cellStyle name="Input [yellow] 7 2 2" xfId="12426"/>
    <cellStyle name="Input [yellow] 7 2 2 2" xfId="12427"/>
    <cellStyle name="Input [yellow] 7 2 2 3" xfId="12428"/>
    <cellStyle name="Input [yellow] 7 2 3" xfId="12429"/>
    <cellStyle name="Input [yellow] 7 2 4" xfId="12430"/>
    <cellStyle name="Input [yellow] 7 2 5" xfId="12431"/>
    <cellStyle name="Input [yellow] 7 2 6" xfId="12432"/>
    <cellStyle name="Input [yellow] 7 2 7" xfId="12433"/>
    <cellStyle name="Input [yellow] 7 3" xfId="12434"/>
    <cellStyle name="Input [yellow] 7 3 2" xfId="12435"/>
    <cellStyle name="Input [yellow] 7 3 2 2" xfId="12436"/>
    <cellStyle name="Input [yellow] 7 3 2 3" xfId="12437"/>
    <cellStyle name="Input [yellow] 7 3 3" xfId="12438"/>
    <cellStyle name="Input [yellow] 7 3 4" xfId="12439"/>
    <cellStyle name="Input [yellow] 7 3 5" xfId="12440"/>
    <cellStyle name="Input [yellow] 7 3 6" xfId="12441"/>
    <cellStyle name="Input [yellow] 7 3 7" xfId="12442"/>
    <cellStyle name="Input [yellow] 7 4" xfId="12443"/>
    <cellStyle name="Input [yellow] 7 4 2" xfId="12444"/>
    <cellStyle name="Input [yellow] 7 4 3" xfId="12445"/>
    <cellStyle name="Input [yellow] 7 5" xfId="12446"/>
    <cellStyle name="Input [yellow] 7 6" xfId="12447"/>
    <cellStyle name="Input [yellow] 7 7" xfId="12448"/>
    <cellStyle name="Input [yellow] 7 8" xfId="12449"/>
    <cellStyle name="Input [yellow] 7 9" xfId="12450"/>
    <cellStyle name="Input [yellow] 8" xfId="12451"/>
    <cellStyle name="Input [yellow] 8 2" xfId="12452"/>
    <cellStyle name="Input [yellow] 8 2 2" xfId="12453"/>
    <cellStyle name="Input [yellow] 8 2 2 2" xfId="12454"/>
    <cellStyle name="Input [yellow] 8 2 2 3" xfId="12455"/>
    <cellStyle name="Input [yellow] 8 2 3" xfId="12456"/>
    <cellStyle name="Input [yellow] 8 2 4" xfId="12457"/>
    <cellStyle name="Input [yellow] 8 2 5" xfId="12458"/>
    <cellStyle name="Input [yellow] 8 2 6" xfId="12459"/>
    <cellStyle name="Input [yellow] 8 2 7" xfId="12460"/>
    <cellStyle name="Input [yellow] 8 3" xfId="12461"/>
    <cellStyle name="Input [yellow] 8 3 2" xfId="12462"/>
    <cellStyle name="Input [yellow] 8 3 2 2" xfId="12463"/>
    <cellStyle name="Input [yellow] 8 3 2 3" xfId="12464"/>
    <cellStyle name="Input [yellow] 8 3 3" xfId="12465"/>
    <cellStyle name="Input [yellow] 8 3 4" xfId="12466"/>
    <cellStyle name="Input [yellow] 8 3 5" xfId="12467"/>
    <cellStyle name="Input [yellow] 8 3 6" xfId="12468"/>
    <cellStyle name="Input [yellow] 8 3 7" xfId="12469"/>
    <cellStyle name="Input [yellow] 8 4" xfId="12470"/>
    <cellStyle name="Input [yellow] 8 4 2" xfId="12471"/>
    <cellStyle name="Input [yellow] 8 4 3" xfId="12472"/>
    <cellStyle name="Input [yellow] 8 5" xfId="12473"/>
    <cellStyle name="Input [yellow] 8 6" xfId="12474"/>
    <cellStyle name="Input [yellow] 8 7" xfId="12475"/>
    <cellStyle name="Input [yellow] 8 8" xfId="12476"/>
    <cellStyle name="Input [yellow] 8 9" xfId="12477"/>
    <cellStyle name="Input [yellow] 9" xfId="12478"/>
    <cellStyle name="Input [yellow] 9 2" xfId="12479"/>
    <cellStyle name="Input [yellow] 9 2 2" xfId="12480"/>
    <cellStyle name="Input [yellow] 9 2 2 2" xfId="12481"/>
    <cellStyle name="Input [yellow] 9 2 2 3" xfId="12482"/>
    <cellStyle name="Input [yellow] 9 2 3" xfId="12483"/>
    <cellStyle name="Input [yellow] 9 2 4" xfId="12484"/>
    <cellStyle name="Input [yellow] 9 2 5" xfId="12485"/>
    <cellStyle name="Input [yellow] 9 2 6" xfId="12486"/>
    <cellStyle name="Input [yellow] 9 2 7" xfId="12487"/>
    <cellStyle name="Input [yellow] 9 3" xfId="12488"/>
    <cellStyle name="Input [yellow] 9 3 2" xfId="12489"/>
    <cellStyle name="Input [yellow] 9 3 2 2" xfId="12490"/>
    <cellStyle name="Input [yellow] 9 3 2 3" xfId="12491"/>
    <cellStyle name="Input [yellow] 9 3 3" xfId="12492"/>
    <cellStyle name="Input [yellow] 9 3 4" xfId="12493"/>
    <cellStyle name="Input [yellow] 9 3 5" xfId="12494"/>
    <cellStyle name="Input [yellow] 9 3 6" xfId="12495"/>
    <cellStyle name="Input [yellow] 9 3 7" xfId="12496"/>
    <cellStyle name="Input [yellow] 9 4" xfId="12497"/>
    <cellStyle name="Input [yellow] 9 4 2" xfId="12498"/>
    <cellStyle name="Input [yellow] 9 4 3" xfId="12499"/>
    <cellStyle name="Input [yellow] 9 5" xfId="12500"/>
    <cellStyle name="Input [yellow] 9 6" xfId="12501"/>
    <cellStyle name="Input [yellow] 9 7" xfId="12502"/>
    <cellStyle name="Input [yellow] 9 8" xfId="12503"/>
    <cellStyle name="Input [yellow] 9 9" xfId="12504"/>
    <cellStyle name="Input 1" xfId="12505"/>
    <cellStyle name="Input 1 10" xfId="12506"/>
    <cellStyle name="Input 1 11" xfId="12507"/>
    <cellStyle name="Input 1 12" xfId="12508"/>
    <cellStyle name="Input 1 13" xfId="12509"/>
    <cellStyle name="Input 1 14" xfId="12510"/>
    <cellStyle name="Input 1 15" xfId="12511"/>
    <cellStyle name="Input 1 16" xfId="12512"/>
    <cellStyle name="Input 1 2" xfId="12513"/>
    <cellStyle name="Input 1 2 2" xfId="12514"/>
    <cellStyle name="Input 1 2 3" xfId="12515"/>
    <cellStyle name="Input 1 2 4" xfId="12516"/>
    <cellStyle name="Input 1 3" xfId="12517"/>
    <cellStyle name="Input 1 4" xfId="12518"/>
    <cellStyle name="Input 1 5" xfId="12519"/>
    <cellStyle name="Input 1 6" xfId="12520"/>
    <cellStyle name="Input 1 7" xfId="12521"/>
    <cellStyle name="Input 1 8" xfId="12522"/>
    <cellStyle name="Input 1 9" xfId="12523"/>
    <cellStyle name="Input 10" xfId="12524"/>
    <cellStyle name="Input 10 10" xfId="12525"/>
    <cellStyle name="Input 10 11" xfId="12526"/>
    <cellStyle name="Input 10 12" xfId="12527"/>
    <cellStyle name="Input 10 13" xfId="12528"/>
    <cellStyle name="Input 10 14" xfId="12529"/>
    <cellStyle name="Input 10 15" xfId="12530"/>
    <cellStyle name="Input 10 16" xfId="12531"/>
    <cellStyle name="Input 10 17" xfId="12532"/>
    <cellStyle name="Input 10 18" xfId="12533"/>
    <cellStyle name="Input 10 19" xfId="12534"/>
    <cellStyle name="Input 10 2" xfId="12535"/>
    <cellStyle name="Input 10 2 10" xfId="12536"/>
    <cellStyle name="Input 10 2 11" xfId="12537"/>
    <cellStyle name="Input 10 2 12" xfId="12538"/>
    <cellStyle name="Input 10 2 13" xfId="12539"/>
    <cellStyle name="Input 10 2 14" xfId="12540"/>
    <cellStyle name="Input 10 2 15" xfId="12541"/>
    <cellStyle name="Input 10 2 16" xfId="12542"/>
    <cellStyle name="Input 10 2 17" xfId="12543"/>
    <cellStyle name="Input 10 2 18" xfId="12544"/>
    <cellStyle name="Input 10 2 2" xfId="12545"/>
    <cellStyle name="Input 10 2 2 10" xfId="12546"/>
    <cellStyle name="Input 10 2 2 11" xfId="12547"/>
    <cellStyle name="Input 10 2 2 12" xfId="12548"/>
    <cellStyle name="Input 10 2 2 13" xfId="12549"/>
    <cellStyle name="Input 10 2 2 14" xfId="12550"/>
    <cellStyle name="Input 10 2 2 15" xfId="12551"/>
    <cellStyle name="Input 10 2 2 16" xfId="12552"/>
    <cellStyle name="Input 10 2 2 2" xfId="12553"/>
    <cellStyle name="Input 10 2 2 2 2" xfId="12554"/>
    <cellStyle name="Input 10 2 2 2 3" xfId="12555"/>
    <cellStyle name="Input 10 2 2 2 4" xfId="12556"/>
    <cellStyle name="Input 10 2 2 3" xfId="12557"/>
    <cellStyle name="Input 10 2 2 4" xfId="12558"/>
    <cellStyle name="Input 10 2 2 5" xfId="12559"/>
    <cellStyle name="Input 10 2 2 6" xfId="12560"/>
    <cellStyle name="Input 10 2 2 7" xfId="12561"/>
    <cellStyle name="Input 10 2 2 8" xfId="12562"/>
    <cellStyle name="Input 10 2 2 9" xfId="12563"/>
    <cellStyle name="Input 10 2 3" xfId="12564"/>
    <cellStyle name="Input 10 2 3 10" xfId="12565"/>
    <cellStyle name="Input 10 2 3 11" xfId="12566"/>
    <cellStyle name="Input 10 2 3 12" xfId="12567"/>
    <cellStyle name="Input 10 2 3 13" xfId="12568"/>
    <cellStyle name="Input 10 2 3 14" xfId="12569"/>
    <cellStyle name="Input 10 2 3 15" xfId="12570"/>
    <cellStyle name="Input 10 2 3 16" xfId="12571"/>
    <cellStyle name="Input 10 2 3 2" xfId="12572"/>
    <cellStyle name="Input 10 2 3 2 2" xfId="12573"/>
    <cellStyle name="Input 10 2 3 2 3" xfId="12574"/>
    <cellStyle name="Input 10 2 3 2 4" xfId="12575"/>
    <cellStyle name="Input 10 2 3 3" xfId="12576"/>
    <cellStyle name="Input 10 2 3 4" xfId="12577"/>
    <cellStyle name="Input 10 2 3 5" xfId="12578"/>
    <cellStyle name="Input 10 2 3 6" xfId="12579"/>
    <cellStyle name="Input 10 2 3 7" xfId="12580"/>
    <cellStyle name="Input 10 2 3 8" xfId="12581"/>
    <cellStyle name="Input 10 2 3 9" xfId="12582"/>
    <cellStyle name="Input 10 2 4" xfId="12583"/>
    <cellStyle name="Input 10 2 4 2" xfId="12584"/>
    <cellStyle name="Input 10 2 4 3" xfId="12585"/>
    <cellStyle name="Input 10 2 4 4" xfId="12586"/>
    <cellStyle name="Input 10 2 5" xfId="12587"/>
    <cellStyle name="Input 10 2 6" xfId="12588"/>
    <cellStyle name="Input 10 2 7" xfId="12589"/>
    <cellStyle name="Input 10 2 8" xfId="12590"/>
    <cellStyle name="Input 10 2 9" xfId="12591"/>
    <cellStyle name="Input 10 3" xfId="12592"/>
    <cellStyle name="Input 10 3 10" xfId="12593"/>
    <cellStyle name="Input 10 3 11" xfId="12594"/>
    <cellStyle name="Input 10 3 12" xfId="12595"/>
    <cellStyle name="Input 10 3 13" xfId="12596"/>
    <cellStyle name="Input 10 3 14" xfId="12597"/>
    <cellStyle name="Input 10 3 15" xfId="12598"/>
    <cellStyle name="Input 10 3 16" xfId="12599"/>
    <cellStyle name="Input 10 3 17" xfId="12600"/>
    <cellStyle name="Input 10 3 18" xfId="12601"/>
    <cellStyle name="Input 10 3 2" xfId="12602"/>
    <cellStyle name="Input 10 3 2 10" xfId="12603"/>
    <cellStyle name="Input 10 3 2 11" xfId="12604"/>
    <cellStyle name="Input 10 3 2 12" xfId="12605"/>
    <cellStyle name="Input 10 3 2 13" xfId="12606"/>
    <cellStyle name="Input 10 3 2 14" xfId="12607"/>
    <cellStyle name="Input 10 3 2 15" xfId="12608"/>
    <cellStyle name="Input 10 3 2 16" xfId="12609"/>
    <cellStyle name="Input 10 3 2 2" xfId="12610"/>
    <cellStyle name="Input 10 3 2 2 2" xfId="12611"/>
    <cellStyle name="Input 10 3 2 2 3" xfId="12612"/>
    <cellStyle name="Input 10 3 2 2 4" xfId="12613"/>
    <cellStyle name="Input 10 3 2 3" xfId="12614"/>
    <cellStyle name="Input 10 3 2 4" xfId="12615"/>
    <cellStyle name="Input 10 3 2 5" xfId="12616"/>
    <cellStyle name="Input 10 3 2 6" xfId="12617"/>
    <cellStyle name="Input 10 3 2 7" xfId="12618"/>
    <cellStyle name="Input 10 3 2 8" xfId="12619"/>
    <cellStyle name="Input 10 3 2 9" xfId="12620"/>
    <cellStyle name="Input 10 3 3" xfId="12621"/>
    <cellStyle name="Input 10 3 3 10" xfId="12622"/>
    <cellStyle name="Input 10 3 3 11" xfId="12623"/>
    <cellStyle name="Input 10 3 3 12" xfId="12624"/>
    <cellStyle name="Input 10 3 3 13" xfId="12625"/>
    <cellStyle name="Input 10 3 3 14" xfId="12626"/>
    <cellStyle name="Input 10 3 3 15" xfId="12627"/>
    <cellStyle name="Input 10 3 3 16" xfId="12628"/>
    <cellStyle name="Input 10 3 3 2" xfId="12629"/>
    <cellStyle name="Input 10 3 3 2 2" xfId="12630"/>
    <cellStyle name="Input 10 3 3 2 3" xfId="12631"/>
    <cellStyle name="Input 10 3 3 2 4" xfId="12632"/>
    <cellStyle name="Input 10 3 3 3" xfId="12633"/>
    <cellStyle name="Input 10 3 3 4" xfId="12634"/>
    <cellStyle name="Input 10 3 3 5" xfId="12635"/>
    <cellStyle name="Input 10 3 3 6" xfId="12636"/>
    <cellStyle name="Input 10 3 3 7" xfId="12637"/>
    <cellStyle name="Input 10 3 3 8" xfId="12638"/>
    <cellStyle name="Input 10 3 3 9" xfId="12639"/>
    <cellStyle name="Input 10 3 4" xfId="12640"/>
    <cellStyle name="Input 10 3 4 2" xfId="12641"/>
    <cellStyle name="Input 10 3 4 3" xfId="12642"/>
    <cellStyle name="Input 10 3 4 4" xfId="12643"/>
    <cellStyle name="Input 10 3 5" xfId="12644"/>
    <cellStyle name="Input 10 3 6" xfId="12645"/>
    <cellStyle name="Input 10 3 7" xfId="12646"/>
    <cellStyle name="Input 10 3 8" xfId="12647"/>
    <cellStyle name="Input 10 3 9" xfId="12648"/>
    <cellStyle name="Input 10 4" xfId="12649"/>
    <cellStyle name="Input 10 4 10" xfId="12650"/>
    <cellStyle name="Input 10 4 11" xfId="12651"/>
    <cellStyle name="Input 10 4 12" xfId="12652"/>
    <cellStyle name="Input 10 4 13" xfId="12653"/>
    <cellStyle name="Input 10 4 14" xfId="12654"/>
    <cellStyle name="Input 10 4 15" xfId="12655"/>
    <cellStyle name="Input 10 4 16" xfId="12656"/>
    <cellStyle name="Input 10 4 17" xfId="12657"/>
    <cellStyle name="Input 10 4 18" xfId="12658"/>
    <cellStyle name="Input 10 4 2" xfId="12659"/>
    <cellStyle name="Input 10 4 2 10" xfId="12660"/>
    <cellStyle name="Input 10 4 2 11" xfId="12661"/>
    <cellStyle name="Input 10 4 2 12" xfId="12662"/>
    <cellStyle name="Input 10 4 2 13" xfId="12663"/>
    <cellStyle name="Input 10 4 2 14" xfId="12664"/>
    <cellStyle name="Input 10 4 2 15" xfId="12665"/>
    <cellStyle name="Input 10 4 2 16" xfId="12666"/>
    <cellStyle name="Input 10 4 2 2" xfId="12667"/>
    <cellStyle name="Input 10 4 2 2 2" xfId="12668"/>
    <cellStyle name="Input 10 4 2 2 3" xfId="12669"/>
    <cellStyle name="Input 10 4 2 2 4" xfId="12670"/>
    <cellStyle name="Input 10 4 2 3" xfId="12671"/>
    <cellStyle name="Input 10 4 2 4" xfId="12672"/>
    <cellStyle name="Input 10 4 2 5" xfId="12673"/>
    <cellStyle name="Input 10 4 2 6" xfId="12674"/>
    <cellStyle name="Input 10 4 2 7" xfId="12675"/>
    <cellStyle name="Input 10 4 2 8" xfId="12676"/>
    <cellStyle name="Input 10 4 2 9" xfId="12677"/>
    <cellStyle name="Input 10 4 3" xfId="12678"/>
    <cellStyle name="Input 10 4 3 10" xfId="12679"/>
    <cellStyle name="Input 10 4 3 11" xfId="12680"/>
    <cellStyle name="Input 10 4 3 12" xfId="12681"/>
    <cellStyle name="Input 10 4 3 13" xfId="12682"/>
    <cellStyle name="Input 10 4 3 14" xfId="12683"/>
    <cellStyle name="Input 10 4 3 15" xfId="12684"/>
    <cellStyle name="Input 10 4 3 16" xfId="12685"/>
    <cellStyle name="Input 10 4 3 2" xfId="12686"/>
    <cellStyle name="Input 10 4 3 2 2" xfId="12687"/>
    <cellStyle name="Input 10 4 3 2 3" xfId="12688"/>
    <cellStyle name="Input 10 4 3 2 4" xfId="12689"/>
    <cellStyle name="Input 10 4 3 3" xfId="12690"/>
    <cellStyle name="Input 10 4 3 4" xfId="12691"/>
    <cellStyle name="Input 10 4 3 5" xfId="12692"/>
    <cellStyle name="Input 10 4 3 6" xfId="12693"/>
    <cellStyle name="Input 10 4 3 7" xfId="12694"/>
    <cellStyle name="Input 10 4 3 8" xfId="12695"/>
    <cellStyle name="Input 10 4 3 9" xfId="12696"/>
    <cellStyle name="Input 10 4 4" xfId="12697"/>
    <cellStyle name="Input 10 4 4 2" xfId="12698"/>
    <cellStyle name="Input 10 4 4 3" xfId="12699"/>
    <cellStyle name="Input 10 4 4 4" xfId="12700"/>
    <cellStyle name="Input 10 4 5" xfId="12701"/>
    <cellStyle name="Input 10 4 6" xfId="12702"/>
    <cellStyle name="Input 10 4 7" xfId="12703"/>
    <cellStyle name="Input 10 4 8" xfId="12704"/>
    <cellStyle name="Input 10 4 9" xfId="12705"/>
    <cellStyle name="Input 10 5" xfId="12706"/>
    <cellStyle name="Input 10 5 2" xfId="12707"/>
    <cellStyle name="Input 10 5 3" xfId="12708"/>
    <cellStyle name="Input 10 5 4" xfId="12709"/>
    <cellStyle name="Input 10 6" xfId="12710"/>
    <cellStyle name="Input 10 7" xfId="12711"/>
    <cellStyle name="Input 10 8" xfId="12712"/>
    <cellStyle name="Input 10 9" xfId="12713"/>
    <cellStyle name="Input 11" xfId="12714"/>
    <cellStyle name="Input 11 10" xfId="12715"/>
    <cellStyle name="Input 11 11" xfId="12716"/>
    <cellStyle name="Input 11 12" xfId="12717"/>
    <cellStyle name="Input 11 13" xfId="12718"/>
    <cellStyle name="Input 11 14" xfId="12719"/>
    <cellStyle name="Input 11 15" xfId="12720"/>
    <cellStyle name="Input 11 16" xfId="12721"/>
    <cellStyle name="Input 11 17" xfId="12722"/>
    <cellStyle name="Input 11 18" xfId="12723"/>
    <cellStyle name="Input 11 19" xfId="12724"/>
    <cellStyle name="Input 11 2" xfId="12725"/>
    <cellStyle name="Input 11 2 10" xfId="12726"/>
    <cellStyle name="Input 11 2 11" xfId="12727"/>
    <cellStyle name="Input 11 2 12" xfId="12728"/>
    <cellStyle name="Input 11 2 13" xfId="12729"/>
    <cellStyle name="Input 11 2 14" xfId="12730"/>
    <cellStyle name="Input 11 2 15" xfId="12731"/>
    <cellStyle name="Input 11 2 16" xfId="12732"/>
    <cellStyle name="Input 11 2 17" xfId="12733"/>
    <cellStyle name="Input 11 2 18" xfId="12734"/>
    <cellStyle name="Input 11 2 2" xfId="12735"/>
    <cellStyle name="Input 11 2 2 10" xfId="12736"/>
    <cellStyle name="Input 11 2 2 11" xfId="12737"/>
    <cellStyle name="Input 11 2 2 12" xfId="12738"/>
    <cellStyle name="Input 11 2 2 13" xfId="12739"/>
    <cellStyle name="Input 11 2 2 14" xfId="12740"/>
    <cellStyle name="Input 11 2 2 15" xfId="12741"/>
    <cellStyle name="Input 11 2 2 16" xfId="12742"/>
    <cellStyle name="Input 11 2 2 2" xfId="12743"/>
    <cellStyle name="Input 11 2 2 2 2" xfId="12744"/>
    <cellStyle name="Input 11 2 2 2 3" xfId="12745"/>
    <cellStyle name="Input 11 2 2 2 4" xfId="12746"/>
    <cellStyle name="Input 11 2 2 3" xfId="12747"/>
    <cellStyle name="Input 11 2 2 4" xfId="12748"/>
    <cellStyle name="Input 11 2 2 5" xfId="12749"/>
    <cellStyle name="Input 11 2 2 6" xfId="12750"/>
    <cellStyle name="Input 11 2 2 7" xfId="12751"/>
    <cellStyle name="Input 11 2 2 8" xfId="12752"/>
    <cellStyle name="Input 11 2 2 9" xfId="12753"/>
    <cellStyle name="Input 11 2 3" xfId="12754"/>
    <cellStyle name="Input 11 2 3 10" xfId="12755"/>
    <cellStyle name="Input 11 2 3 11" xfId="12756"/>
    <cellStyle name="Input 11 2 3 12" xfId="12757"/>
    <cellStyle name="Input 11 2 3 13" xfId="12758"/>
    <cellStyle name="Input 11 2 3 14" xfId="12759"/>
    <cellStyle name="Input 11 2 3 15" xfId="12760"/>
    <cellStyle name="Input 11 2 3 16" xfId="12761"/>
    <cellStyle name="Input 11 2 3 2" xfId="12762"/>
    <cellStyle name="Input 11 2 3 2 2" xfId="12763"/>
    <cellStyle name="Input 11 2 3 2 3" xfId="12764"/>
    <cellStyle name="Input 11 2 3 2 4" xfId="12765"/>
    <cellStyle name="Input 11 2 3 3" xfId="12766"/>
    <cellStyle name="Input 11 2 3 4" xfId="12767"/>
    <cellStyle name="Input 11 2 3 5" xfId="12768"/>
    <cellStyle name="Input 11 2 3 6" xfId="12769"/>
    <cellStyle name="Input 11 2 3 7" xfId="12770"/>
    <cellStyle name="Input 11 2 3 8" xfId="12771"/>
    <cellStyle name="Input 11 2 3 9" xfId="12772"/>
    <cellStyle name="Input 11 2 4" xfId="12773"/>
    <cellStyle name="Input 11 2 4 2" xfId="12774"/>
    <cellStyle name="Input 11 2 4 3" xfId="12775"/>
    <cellStyle name="Input 11 2 4 4" xfId="12776"/>
    <cellStyle name="Input 11 2 5" xfId="12777"/>
    <cellStyle name="Input 11 2 6" xfId="12778"/>
    <cellStyle name="Input 11 2 7" xfId="12779"/>
    <cellStyle name="Input 11 2 8" xfId="12780"/>
    <cellStyle name="Input 11 2 9" xfId="12781"/>
    <cellStyle name="Input 11 3" xfId="12782"/>
    <cellStyle name="Input 11 3 10" xfId="12783"/>
    <cellStyle name="Input 11 3 11" xfId="12784"/>
    <cellStyle name="Input 11 3 12" xfId="12785"/>
    <cellStyle name="Input 11 3 13" xfId="12786"/>
    <cellStyle name="Input 11 3 14" xfId="12787"/>
    <cellStyle name="Input 11 3 15" xfId="12788"/>
    <cellStyle name="Input 11 3 16" xfId="12789"/>
    <cellStyle name="Input 11 3 17" xfId="12790"/>
    <cellStyle name="Input 11 3 18" xfId="12791"/>
    <cellStyle name="Input 11 3 2" xfId="12792"/>
    <cellStyle name="Input 11 3 2 10" xfId="12793"/>
    <cellStyle name="Input 11 3 2 11" xfId="12794"/>
    <cellStyle name="Input 11 3 2 12" xfId="12795"/>
    <cellStyle name="Input 11 3 2 13" xfId="12796"/>
    <cellStyle name="Input 11 3 2 14" xfId="12797"/>
    <cellStyle name="Input 11 3 2 15" xfId="12798"/>
    <cellStyle name="Input 11 3 2 16" xfId="12799"/>
    <cellStyle name="Input 11 3 2 2" xfId="12800"/>
    <cellStyle name="Input 11 3 2 2 2" xfId="12801"/>
    <cellStyle name="Input 11 3 2 2 3" xfId="12802"/>
    <cellStyle name="Input 11 3 2 2 4" xfId="12803"/>
    <cellStyle name="Input 11 3 2 3" xfId="12804"/>
    <cellStyle name="Input 11 3 2 4" xfId="12805"/>
    <cellStyle name="Input 11 3 2 5" xfId="12806"/>
    <cellStyle name="Input 11 3 2 6" xfId="12807"/>
    <cellStyle name="Input 11 3 2 7" xfId="12808"/>
    <cellStyle name="Input 11 3 2 8" xfId="12809"/>
    <cellStyle name="Input 11 3 2 9" xfId="12810"/>
    <cellStyle name="Input 11 3 3" xfId="12811"/>
    <cellStyle name="Input 11 3 3 10" xfId="12812"/>
    <cellStyle name="Input 11 3 3 11" xfId="12813"/>
    <cellStyle name="Input 11 3 3 12" xfId="12814"/>
    <cellStyle name="Input 11 3 3 13" xfId="12815"/>
    <cellStyle name="Input 11 3 3 14" xfId="12816"/>
    <cellStyle name="Input 11 3 3 15" xfId="12817"/>
    <cellStyle name="Input 11 3 3 16" xfId="12818"/>
    <cellStyle name="Input 11 3 3 2" xfId="12819"/>
    <cellStyle name="Input 11 3 3 2 2" xfId="12820"/>
    <cellStyle name="Input 11 3 3 2 3" xfId="12821"/>
    <cellStyle name="Input 11 3 3 2 4" xfId="12822"/>
    <cellStyle name="Input 11 3 3 3" xfId="12823"/>
    <cellStyle name="Input 11 3 3 4" xfId="12824"/>
    <cellStyle name="Input 11 3 3 5" xfId="12825"/>
    <cellStyle name="Input 11 3 3 6" xfId="12826"/>
    <cellStyle name="Input 11 3 3 7" xfId="12827"/>
    <cellStyle name="Input 11 3 3 8" xfId="12828"/>
    <cellStyle name="Input 11 3 3 9" xfId="12829"/>
    <cellStyle name="Input 11 3 4" xfId="12830"/>
    <cellStyle name="Input 11 3 4 2" xfId="12831"/>
    <cellStyle name="Input 11 3 4 3" xfId="12832"/>
    <cellStyle name="Input 11 3 4 4" xfId="12833"/>
    <cellStyle name="Input 11 3 5" xfId="12834"/>
    <cellStyle name="Input 11 3 6" xfId="12835"/>
    <cellStyle name="Input 11 3 7" xfId="12836"/>
    <cellStyle name="Input 11 3 8" xfId="12837"/>
    <cellStyle name="Input 11 3 9" xfId="12838"/>
    <cellStyle name="Input 11 4" xfId="12839"/>
    <cellStyle name="Input 11 4 10" xfId="12840"/>
    <cellStyle name="Input 11 4 11" xfId="12841"/>
    <cellStyle name="Input 11 4 12" xfId="12842"/>
    <cellStyle name="Input 11 4 13" xfId="12843"/>
    <cellStyle name="Input 11 4 14" xfId="12844"/>
    <cellStyle name="Input 11 4 15" xfId="12845"/>
    <cellStyle name="Input 11 4 16" xfId="12846"/>
    <cellStyle name="Input 11 4 17" xfId="12847"/>
    <cellStyle name="Input 11 4 18" xfId="12848"/>
    <cellStyle name="Input 11 4 2" xfId="12849"/>
    <cellStyle name="Input 11 4 2 10" xfId="12850"/>
    <cellStyle name="Input 11 4 2 11" xfId="12851"/>
    <cellStyle name="Input 11 4 2 12" xfId="12852"/>
    <cellStyle name="Input 11 4 2 13" xfId="12853"/>
    <cellStyle name="Input 11 4 2 14" xfId="12854"/>
    <cellStyle name="Input 11 4 2 15" xfId="12855"/>
    <cellStyle name="Input 11 4 2 16" xfId="12856"/>
    <cellStyle name="Input 11 4 2 2" xfId="12857"/>
    <cellStyle name="Input 11 4 2 2 2" xfId="12858"/>
    <cellStyle name="Input 11 4 2 2 3" xfId="12859"/>
    <cellStyle name="Input 11 4 2 2 4" xfId="12860"/>
    <cellStyle name="Input 11 4 2 3" xfId="12861"/>
    <cellStyle name="Input 11 4 2 4" xfId="12862"/>
    <cellStyle name="Input 11 4 2 5" xfId="12863"/>
    <cellStyle name="Input 11 4 2 6" xfId="12864"/>
    <cellStyle name="Input 11 4 2 7" xfId="12865"/>
    <cellStyle name="Input 11 4 2 8" xfId="12866"/>
    <cellStyle name="Input 11 4 2 9" xfId="12867"/>
    <cellStyle name="Input 11 4 3" xfId="12868"/>
    <cellStyle name="Input 11 4 3 10" xfId="12869"/>
    <cellStyle name="Input 11 4 3 11" xfId="12870"/>
    <cellStyle name="Input 11 4 3 12" xfId="12871"/>
    <cellStyle name="Input 11 4 3 13" xfId="12872"/>
    <cellStyle name="Input 11 4 3 14" xfId="12873"/>
    <cellStyle name="Input 11 4 3 15" xfId="12874"/>
    <cellStyle name="Input 11 4 3 16" xfId="12875"/>
    <cellStyle name="Input 11 4 3 2" xfId="12876"/>
    <cellStyle name="Input 11 4 3 2 2" xfId="12877"/>
    <cellStyle name="Input 11 4 3 2 3" xfId="12878"/>
    <cellStyle name="Input 11 4 3 2 4" xfId="12879"/>
    <cellStyle name="Input 11 4 3 3" xfId="12880"/>
    <cellStyle name="Input 11 4 3 4" xfId="12881"/>
    <cellStyle name="Input 11 4 3 5" xfId="12882"/>
    <cellStyle name="Input 11 4 3 6" xfId="12883"/>
    <cellStyle name="Input 11 4 3 7" xfId="12884"/>
    <cellStyle name="Input 11 4 3 8" xfId="12885"/>
    <cellStyle name="Input 11 4 3 9" xfId="12886"/>
    <cellStyle name="Input 11 4 4" xfId="12887"/>
    <cellStyle name="Input 11 4 4 2" xfId="12888"/>
    <cellStyle name="Input 11 4 4 3" xfId="12889"/>
    <cellStyle name="Input 11 4 4 4" xfId="12890"/>
    <cellStyle name="Input 11 4 5" xfId="12891"/>
    <cellStyle name="Input 11 4 6" xfId="12892"/>
    <cellStyle name="Input 11 4 7" xfId="12893"/>
    <cellStyle name="Input 11 4 8" xfId="12894"/>
    <cellStyle name="Input 11 4 9" xfId="12895"/>
    <cellStyle name="Input 11 5" xfId="12896"/>
    <cellStyle name="Input 11 5 2" xfId="12897"/>
    <cellStyle name="Input 11 5 3" xfId="12898"/>
    <cellStyle name="Input 11 5 4" xfId="12899"/>
    <cellStyle name="Input 11 6" xfId="12900"/>
    <cellStyle name="Input 11 7" xfId="12901"/>
    <cellStyle name="Input 11 8" xfId="12902"/>
    <cellStyle name="Input 11 9" xfId="12903"/>
    <cellStyle name="Input 12" xfId="12904"/>
    <cellStyle name="Input 12 10" xfId="12905"/>
    <cellStyle name="Input 12 11" xfId="12906"/>
    <cellStyle name="Input 12 12" xfId="12907"/>
    <cellStyle name="Input 12 13" xfId="12908"/>
    <cellStyle name="Input 12 14" xfId="12909"/>
    <cellStyle name="Input 12 15" xfId="12910"/>
    <cellStyle name="Input 12 16" xfId="12911"/>
    <cellStyle name="Input 12 17" xfId="12912"/>
    <cellStyle name="Input 12 18" xfId="12913"/>
    <cellStyle name="Input 12 19" xfId="12914"/>
    <cellStyle name="Input 12 2" xfId="12915"/>
    <cellStyle name="Input 12 2 10" xfId="12916"/>
    <cellStyle name="Input 12 2 11" xfId="12917"/>
    <cellStyle name="Input 12 2 12" xfId="12918"/>
    <cellStyle name="Input 12 2 13" xfId="12919"/>
    <cellStyle name="Input 12 2 14" xfId="12920"/>
    <cellStyle name="Input 12 2 15" xfId="12921"/>
    <cellStyle name="Input 12 2 16" xfId="12922"/>
    <cellStyle name="Input 12 2 17" xfId="12923"/>
    <cellStyle name="Input 12 2 18" xfId="12924"/>
    <cellStyle name="Input 12 2 2" xfId="12925"/>
    <cellStyle name="Input 12 2 2 10" xfId="12926"/>
    <cellStyle name="Input 12 2 2 11" xfId="12927"/>
    <cellStyle name="Input 12 2 2 12" xfId="12928"/>
    <cellStyle name="Input 12 2 2 13" xfId="12929"/>
    <cellStyle name="Input 12 2 2 14" xfId="12930"/>
    <cellStyle name="Input 12 2 2 15" xfId="12931"/>
    <cellStyle name="Input 12 2 2 16" xfId="12932"/>
    <cellStyle name="Input 12 2 2 2" xfId="12933"/>
    <cellStyle name="Input 12 2 2 2 2" xfId="12934"/>
    <cellStyle name="Input 12 2 2 2 3" xfId="12935"/>
    <cellStyle name="Input 12 2 2 2 4" xfId="12936"/>
    <cellStyle name="Input 12 2 2 3" xfId="12937"/>
    <cellStyle name="Input 12 2 2 4" xfId="12938"/>
    <cellStyle name="Input 12 2 2 5" xfId="12939"/>
    <cellStyle name="Input 12 2 2 6" xfId="12940"/>
    <cellStyle name="Input 12 2 2 7" xfId="12941"/>
    <cellStyle name="Input 12 2 2 8" xfId="12942"/>
    <cellStyle name="Input 12 2 2 9" xfId="12943"/>
    <cellStyle name="Input 12 2 3" xfId="12944"/>
    <cellStyle name="Input 12 2 3 10" xfId="12945"/>
    <cellStyle name="Input 12 2 3 11" xfId="12946"/>
    <cellStyle name="Input 12 2 3 12" xfId="12947"/>
    <cellStyle name="Input 12 2 3 13" xfId="12948"/>
    <cellStyle name="Input 12 2 3 14" xfId="12949"/>
    <cellStyle name="Input 12 2 3 15" xfId="12950"/>
    <cellStyle name="Input 12 2 3 16" xfId="12951"/>
    <cellStyle name="Input 12 2 3 2" xfId="12952"/>
    <cellStyle name="Input 12 2 3 2 2" xfId="12953"/>
    <cellStyle name="Input 12 2 3 2 3" xfId="12954"/>
    <cellStyle name="Input 12 2 3 2 4" xfId="12955"/>
    <cellStyle name="Input 12 2 3 3" xfId="12956"/>
    <cellStyle name="Input 12 2 3 4" xfId="12957"/>
    <cellStyle name="Input 12 2 3 5" xfId="12958"/>
    <cellStyle name="Input 12 2 3 6" xfId="12959"/>
    <cellStyle name="Input 12 2 3 7" xfId="12960"/>
    <cellStyle name="Input 12 2 3 8" xfId="12961"/>
    <cellStyle name="Input 12 2 3 9" xfId="12962"/>
    <cellStyle name="Input 12 2 4" xfId="12963"/>
    <cellStyle name="Input 12 2 4 2" xfId="12964"/>
    <cellStyle name="Input 12 2 4 3" xfId="12965"/>
    <cellStyle name="Input 12 2 4 4" xfId="12966"/>
    <cellStyle name="Input 12 2 5" xfId="12967"/>
    <cellStyle name="Input 12 2 6" xfId="12968"/>
    <cellStyle name="Input 12 2 7" xfId="12969"/>
    <cellStyle name="Input 12 2 8" xfId="12970"/>
    <cellStyle name="Input 12 2 9" xfId="12971"/>
    <cellStyle name="Input 12 3" xfId="12972"/>
    <cellStyle name="Input 12 3 10" xfId="12973"/>
    <cellStyle name="Input 12 3 11" xfId="12974"/>
    <cellStyle name="Input 12 3 12" xfId="12975"/>
    <cellStyle name="Input 12 3 13" xfId="12976"/>
    <cellStyle name="Input 12 3 14" xfId="12977"/>
    <cellStyle name="Input 12 3 15" xfId="12978"/>
    <cellStyle name="Input 12 3 16" xfId="12979"/>
    <cellStyle name="Input 12 3 17" xfId="12980"/>
    <cellStyle name="Input 12 3 18" xfId="12981"/>
    <cellStyle name="Input 12 3 2" xfId="12982"/>
    <cellStyle name="Input 12 3 2 10" xfId="12983"/>
    <cellStyle name="Input 12 3 2 11" xfId="12984"/>
    <cellStyle name="Input 12 3 2 12" xfId="12985"/>
    <cellStyle name="Input 12 3 2 13" xfId="12986"/>
    <cellStyle name="Input 12 3 2 14" xfId="12987"/>
    <cellStyle name="Input 12 3 2 15" xfId="12988"/>
    <cellStyle name="Input 12 3 2 16" xfId="12989"/>
    <cellStyle name="Input 12 3 2 2" xfId="12990"/>
    <cellStyle name="Input 12 3 2 2 2" xfId="12991"/>
    <cellStyle name="Input 12 3 2 2 3" xfId="12992"/>
    <cellStyle name="Input 12 3 2 2 4" xfId="12993"/>
    <cellStyle name="Input 12 3 2 3" xfId="12994"/>
    <cellStyle name="Input 12 3 2 4" xfId="12995"/>
    <cellStyle name="Input 12 3 2 5" xfId="12996"/>
    <cellStyle name="Input 12 3 2 6" xfId="12997"/>
    <cellStyle name="Input 12 3 2 7" xfId="12998"/>
    <cellStyle name="Input 12 3 2 8" xfId="12999"/>
    <cellStyle name="Input 12 3 2 9" xfId="13000"/>
    <cellStyle name="Input 12 3 3" xfId="13001"/>
    <cellStyle name="Input 12 3 3 10" xfId="13002"/>
    <cellStyle name="Input 12 3 3 11" xfId="13003"/>
    <cellStyle name="Input 12 3 3 12" xfId="13004"/>
    <cellStyle name="Input 12 3 3 13" xfId="13005"/>
    <cellStyle name="Input 12 3 3 14" xfId="13006"/>
    <cellStyle name="Input 12 3 3 15" xfId="13007"/>
    <cellStyle name="Input 12 3 3 16" xfId="13008"/>
    <cellStyle name="Input 12 3 3 2" xfId="13009"/>
    <cellStyle name="Input 12 3 3 2 2" xfId="13010"/>
    <cellStyle name="Input 12 3 3 2 3" xfId="13011"/>
    <cellStyle name="Input 12 3 3 2 4" xfId="13012"/>
    <cellStyle name="Input 12 3 3 3" xfId="13013"/>
    <cellStyle name="Input 12 3 3 4" xfId="13014"/>
    <cellStyle name="Input 12 3 3 5" xfId="13015"/>
    <cellStyle name="Input 12 3 3 6" xfId="13016"/>
    <cellStyle name="Input 12 3 3 7" xfId="13017"/>
    <cellStyle name="Input 12 3 3 8" xfId="13018"/>
    <cellStyle name="Input 12 3 3 9" xfId="13019"/>
    <cellStyle name="Input 12 3 4" xfId="13020"/>
    <cellStyle name="Input 12 3 4 2" xfId="13021"/>
    <cellStyle name="Input 12 3 4 3" xfId="13022"/>
    <cellStyle name="Input 12 3 4 4" xfId="13023"/>
    <cellStyle name="Input 12 3 5" xfId="13024"/>
    <cellStyle name="Input 12 3 6" xfId="13025"/>
    <cellStyle name="Input 12 3 7" xfId="13026"/>
    <cellStyle name="Input 12 3 8" xfId="13027"/>
    <cellStyle name="Input 12 3 9" xfId="13028"/>
    <cellStyle name="Input 12 4" xfId="13029"/>
    <cellStyle name="Input 12 4 10" xfId="13030"/>
    <cellStyle name="Input 12 4 11" xfId="13031"/>
    <cellStyle name="Input 12 4 12" xfId="13032"/>
    <cellStyle name="Input 12 4 13" xfId="13033"/>
    <cellStyle name="Input 12 4 14" xfId="13034"/>
    <cellStyle name="Input 12 4 15" xfId="13035"/>
    <cellStyle name="Input 12 4 16" xfId="13036"/>
    <cellStyle name="Input 12 4 17" xfId="13037"/>
    <cellStyle name="Input 12 4 18" xfId="13038"/>
    <cellStyle name="Input 12 4 2" xfId="13039"/>
    <cellStyle name="Input 12 4 2 10" xfId="13040"/>
    <cellStyle name="Input 12 4 2 11" xfId="13041"/>
    <cellStyle name="Input 12 4 2 12" xfId="13042"/>
    <cellStyle name="Input 12 4 2 13" xfId="13043"/>
    <cellStyle name="Input 12 4 2 14" xfId="13044"/>
    <cellStyle name="Input 12 4 2 15" xfId="13045"/>
    <cellStyle name="Input 12 4 2 16" xfId="13046"/>
    <cellStyle name="Input 12 4 2 2" xfId="13047"/>
    <cellStyle name="Input 12 4 2 2 2" xfId="13048"/>
    <cellStyle name="Input 12 4 2 2 3" xfId="13049"/>
    <cellStyle name="Input 12 4 2 2 4" xfId="13050"/>
    <cellStyle name="Input 12 4 2 3" xfId="13051"/>
    <cellStyle name="Input 12 4 2 4" xfId="13052"/>
    <cellStyle name="Input 12 4 2 5" xfId="13053"/>
    <cellStyle name="Input 12 4 2 6" xfId="13054"/>
    <cellStyle name="Input 12 4 2 7" xfId="13055"/>
    <cellStyle name="Input 12 4 2 8" xfId="13056"/>
    <cellStyle name="Input 12 4 2 9" xfId="13057"/>
    <cellStyle name="Input 12 4 3" xfId="13058"/>
    <cellStyle name="Input 12 4 3 10" xfId="13059"/>
    <cellStyle name="Input 12 4 3 11" xfId="13060"/>
    <cellStyle name="Input 12 4 3 12" xfId="13061"/>
    <cellStyle name="Input 12 4 3 13" xfId="13062"/>
    <cellStyle name="Input 12 4 3 14" xfId="13063"/>
    <cellStyle name="Input 12 4 3 15" xfId="13064"/>
    <cellStyle name="Input 12 4 3 16" xfId="13065"/>
    <cellStyle name="Input 12 4 3 2" xfId="13066"/>
    <cellStyle name="Input 12 4 3 2 2" xfId="13067"/>
    <cellStyle name="Input 12 4 3 2 3" xfId="13068"/>
    <cellStyle name="Input 12 4 3 2 4" xfId="13069"/>
    <cellStyle name="Input 12 4 3 3" xfId="13070"/>
    <cellStyle name="Input 12 4 3 4" xfId="13071"/>
    <cellStyle name="Input 12 4 3 5" xfId="13072"/>
    <cellStyle name="Input 12 4 3 6" xfId="13073"/>
    <cellStyle name="Input 12 4 3 7" xfId="13074"/>
    <cellStyle name="Input 12 4 3 8" xfId="13075"/>
    <cellStyle name="Input 12 4 3 9" xfId="13076"/>
    <cellStyle name="Input 12 4 4" xfId="13077"/>
    <cellStyle name="Input 12 4 4 2" xfId="13078"/>
    <cellStyle name="Input 12 4 4 3" xfId="13079"/>
    <cellStyle name="Input 12 4 4 4" xfId="13080"/>
    <cellStyle name="Input 12 4 5" xfId="13081"/>
    <cellStyle name="Input 12 4 6" xfId="13082"/>
    <cellStyle name="Input 12 4 7" xfId="13083"/>
    <cellStyle name="Input 12 4 8" xfId="13084"/>
    <cellStyle name="Input 12 4 9" xfId="13085"/>
    <cellStyle name="Input 12 5" xfId="13086"/>
    <cellStyle name="Input 12 5 2" xfId="13087"/>
    <cellStyle name="Input 12 5 3" xfId="13088"/>
    <cellStyle name="Input 12 5 4" xfId="13089"/>
    <cellStyle name="Input 12 6" xfId="13090"/>
    <cellStyle name="Input 12 7" xfId="13091"/>
    <cellStyle name="Input 12 8" xfId="13092"/>
    <cellStyle name="Input 12 9" xfId="13093"/>
    <cellStyle name="Input 13" xfId="13094"/>
    <cellStyle name="Input 13 10" xfId="13095"/>
    <cellStyle name="Input 13 11" xfId="13096"/>
    <cellStyle name="Input 13 12" xfId="13097"/>
    <cellStyle name="Input 13 13" xfId="13098"/>
    <cellStyle name="Input 13 14" xfId="13099"/>
    <cellStyle name="Input 13 15" xfId="13100"/>
    <cellStyle name="Input 13 16" xfId="13101"/>
    <cellStyle name="Input 13 17" xfId="13102"/>
    <cellStyle name="Input 13 18" xfId="13103"/>
    <cellStyle name="Input 13 19" xfId="13104"/>
    <cellStyle name="Input 13 2" xfId="13105"/>
    <cellStyle name="Input 13 2 10" xfId="13106"/>
    <cellStyle name="Input 13 2 11" xfId="13107"/>
    <cellStyle name="Input 13 2 12" xfId="13108"/>
    <cellStyle name="Input 13 2 13" xfId="13109"/>
    <cellStyle name="Input 13 2 14" xfId="13110"/>
    <cellStyle name="Input 13 2 15" xfId="13111"/>
    <cellStyle name="Input 13 2 16" xfId="13112"/>
    <cellStyle name="Input 13 2 17" xfId="13113"/>
    <cellStyle name="Input 13 2 18" xfId="13114"/>
    <cellStyle name="Input 13 2 2" xfId="13115"/>
    <cellStyle name="Input 13 2 2 10" xfId="13116"/>
    <cellStyle name="Input 13 2 2 11" xfId="13117"/>
    <cellStyle name="Input 13 2 2 12" xfId="13118"/>
    <cellStyle name="Input 13 2 2 13" xfId="13119"/>
    <cellStyle name="Input 13 2 2 14" xfId="13120"/>
    <cellStyle name="Input 13 2 2 15" xfId="13121"/>
    <cellStyle name="Input 13 2 2 16" xfId="13122"/>
    <cellStyle name="Input 13 2 2 2" xfId="13123"/>
    <cellStyle name="Input 13 2 2 2 2" xfId="13124"/>
    <cellStyle name="Input 13 2 2 2 3" xfId="13125"/>
    <cellStyle name="Input 13 2 2 2 4" xfId="13126"/>
    <cellStyle name="Input 13 2 2 3" xfId="13127"/>
    <cellStyle name="Input 13 2 2 4" xfId="13128"/>
    <cellStyle name="Input 13 2 2 5" xfId="13129"/>
    <cellStyle name="Input 13 2 2 6" xfId="13130"/>
    <cellStyle name="Input 13 2 2 7" xfId="13131"/>
    <cellStyle name="Input 13 2 2 8" xfId="13132"/>
    <cellStyle name="Input 13 2 2 9" xfId="13133"/>
    <cellStyle name="Input 13 2 3" xfId="13134"/>
    <cellStyle name="Input 13 2 3 10" xfId="13135"/>
    <cellStyle name="Input 13 2 3 11" xfId="13136"/>
    <cellStyle name="Input 13 2 3 12" xfId="13137"/>
    <cellStyle name="Input 13 2 3 13" xfId="13138"/>
    <cellStyle name="Input 13 2 3 14" xfId="13139"/>
    <cellStyle name="Input 13 2 3 15" xfId="13140"/>
    <cellStyle name="Input 13 2 3 16" xfId="13141"/>
    <cellStyle name="Input 13 2 3 2" xfId="13142"/>
    <cellStyle name="Input 13 2 3 2 2" xfId="13143"/>
    <cellStyle name="Input 13 2 3 2 3" xfId="13144"/>
    <cellStyle name="Input 13 2 3 2 4" xfId="13145"/>
    <cellStyle name="Input 13 2 3 3" xfId="13146"/>
    <cellStyle name="Input 13 2 3 4" xfId="13147"/>
    <cellStyle name="Input 13 2 3 5" xfId="13148"/>
    <cellStyle name="Input 13 2 3 6" xfId="13149"/>
    <cellStyle name="Input 13 2 3 7" xfId="13150"/>
    <cellStyle name="Input 13 2 3 8" xfId="13151"/>
    <cellStyle name="Input 13 2 3 9" xfId="13152"/>
    <cellStyle name="Input 13 2 4" xfId="13153"/>
    <cellStyle name="Input 13 2 4 2" xfId="13154"/>
    <cellStyle name="Input 13 2 4 3" xfId="13155"/>
    <cellStyle name="Input 13 2 4 4" xfId="13156"/>
    <cellStyle name="Input 13 2 5" xfId="13157"/>
    <cellStyle name="Input 13 2 6" xfId="13158"/>
    <cellStyle name="Input 13 2 7" xfId="13159"/>
    <cellStyle name="Input 13 2 8" xfId="13160"/>
    <cellStyle name="Input 13 2 9" xfId="13161"/>
    <cellStyle name="Input 13 3" xfId="13162"/>
    <cellStyle name="Input 13 3 10" xfId="13163"/>
    <cellStyle name="Input 13 3 11" xfId="13164"/>
    <cellStyle name="Input 13 3 12" xfId="13165"/>
    <cellStyle name="Input 13 3 13" xfId="13166"/>
    <cellStyle name="Input 13 3 14" xfId="13167"/>
    <cellStyle name="Input 13 3 15" xfId="13168"/>
    <cellStyle name="Input 13 3 16" xfId="13169"/>
    <cellStyle name="Input 13 3 17" xfId="13170"/>
    <cellStyle name="Input 13 3 18" xfId="13171"/>
    <cellStyle name="Input 13 3 2" xfId="13172"/>
    <cellStyle name="Input 13 3 2 10" xfId="13173"/>
    <cellStyle name="Input 13 3 2 11" xfId="13174"/>
    <cellStyle name="Input 13 3 2 12" xfId="13175"/>
    <cellStyle name="Input 13 3 2 13" xfId="13176"/>
    <cellStyle name="Input 13 3 2 14" xfId="13177"/>
    <cellStyle name="Input 13 3 2 15" xfId="13178"/>
    <cellStyle name="Input 13 3 2 16" xfId="13179"/>
    <cellStyle name="Input 13 3 2 2" xfId="13180"/>
    <cellStyle name="Input 13 3 2 2 2" xfId="13181"/>
    <cellStyle name="Input 13 3 2 2 3" xfId="13182"/>
    <cellStyle name="Input 13 3 2 2 4" xfId="13183"/>
    <cellStyle name="Input 13 3 2 3" xfId="13184"/>
    <cellStyle name="Input 13 3 2 4" xfId="13185"/>
    <cellStyle name="Input 13 3 2 5" xfId="13186"/>
    <cellStyle name="Input 13 3 2 6" xfId="13187"/>
    <cellStyle name="Input 13 3 2 7" xfId="13188"/>
    <cellStyle name="Input 13 3 2 8" xfId="13189"/>
    <cellStyle name="Input 13 3 2 9" xfId="13190"/>
    <cellStyle name="Input 13 3 3" xfId="13191"/>
    <cellStyle name="Input 13 3 3 10" xfId="13192"/>
    <cellStyle name="Input 13 3 3 11" xfId="13193"/>
    <cellStyle name="Input 13 3 3 12" xfId="13194"/>
    <cellStyle name="Input 13 3 3 13" xfId="13195"/>
    <cellStyle name="Input 13 3 3 14" xfId="13196"/>
    <cellStyle name="Input 13 3 3 15" xfId="13197"/>
    <cellStyle name="Input 13 3 3 16" xfId="13198"/>
    <cellStyle name="Input 13 3 3 2" xfId="13199"/>
    <cellStyle name="Input 13 3 3 2 2" xfId="13200"/>
    <cellStyle name="Input 13 3 3 2 3" xfId="13201"/>
    <cellStyle name="Input 13 3 3 2 4" xfId="13202"/>
    <cellStyle name="Input 13 3 3 3" xfId="13203"/>
    <cellStyle name="Input 13 3 3 4" xfId="13204"/>
    <cellStyle name="Input 13 3 3 5" xfId="13205"/>
    <cellStyle name="Input 13 3 3 6" xfId="13206"/>
    <cellStyle name="Input 13 3 3 7" xfId="13207"/>
    <cellStyle name="Input 13 3 3 8" xfId="13208"/>
    <cellStyle name="Input 13 3 3 9" xfId="13209"/>
    <cellStyle name="Input 13 3 4" xfId="13210"/>
    <cellStyle name="Input 13 3 4 2" xfId="13211"/>
    <cellStyle name="Input 13 3 4 3" xfId="13212"/>
    <cellStyle name="Input 13 3 4 4" xfId="13213"/>
    <cellStyle name="Input 13 3 5" xfId="13214"/>
    <cellStyle name="Input 13 3 6" xfId="13215"/>
    <cellStyle name="Input 13 3 7" xfId="13216"/>
    <cellStyle name="Input 13 3 8" xfId="13217"/>
    <cellStyle name="Input 13 3 9" xfId="13218"/>
    <cellStyle name="Input 13 4" xfId="13219"/>
    <cellStyle name="Input 13 4 10" xfId="13220"/>
    <cellStyle name="Input 13 4 11" xfId="13221"/>
    <cellStyle name="Input 13 4 12" xfId="13222"/>
    <cellStyle name="Input 13 4 13" xfId="13223"/>
    <cellStyle name="Input 13 4 14" xfId="13224"/>
    <cellStyle name="Input 13 4 15" xfId="13225"/>
    <cellStyle name="Input 13 4 16" xfId="13226"/>
    <cellStyle name="Input 13 4 17" xfId="13227"/>
    <cellStyle name="Input 13 4 18" xfId="13228"/>
    <cellStyle name="Input 13 4 2" xfId="13229"/>
    <cellStyle name="Input 13 4 2 10" xfId="13230"/>
    <cellStyle name="Input 13 4 2 11" xfId="13231"/>
    <cellStyle name="Input 13 4 2 12" xfId="13232"/>
    <cellStyle name="Input 13 4 2 13" xfId="13233"/>
    <cellStyle name="Input 13 4 2 14" xfId="13234"/>
    <cellStyle name="Input 13 4 2 15" xfId="13235"/>
    <cellStyle name="Input 13 4 2 16" xfId="13236"/>
    <cellStyle name="Input 13 4 2 2" xfId="13237"/>
    <cellStyle name="Input 13 4 2 2 2" xfId="13238"/>
    <cellStyle name="Input 13 4 2 2 3" xfId="13239"/>
    <cellStyle name="Input 13 4 2 2 4" xfId="13240"/>
    <cellStyle name="Input 13 4 2 3" xfId="13241"/>
    <cellStyle name="Input 13 4 2 4" xfId="13242"/>
    <cellStyle name="Input 13 4 2 5" xfId="13243"/>
    <cellStyle name="Input 13 4 2 6" xfId="13244"/>
    <cellStyle name="Input 13 4 2 7" xfId="13245"/>
    <cellStyle name="Input 13 4 2 8" xfId="13246"/>
    <cellStyle name="Input 13 4 2 9" xfId="13247"/>
    <cellStyle name="Input 13 4 3" xfId="13248"/>
    <cellStyle name="Input 13 4 3 10" xfId="13249"/>
    <cellStyle name="Input 13 4 3 11" xfId="13250"/>
    <cellStyle name="Input 13 4 3 12" xfId="13251"/>
    <cellStyle name="Input 13 4 3 13" xfId="13252"/>
    <cellStyle name="Input 13 4 3 14" xfId="13253"/>
    <cellStyle name="Input 13 4 3 15" xfId="13254"/>
    <cellStyle name="Input 13 4 3 16" xfId="13255"/>
    <cellStyle name="Input 13 4 3 2" xfId="13256"/>
    <cellStyle name="Input 13 4 3 2 2" xfId="13257"/>
    <cellStyle name="Input 13 4 3 2 3" xfId="13258"/>
    <cellStyle name="Input 13 4 3 2 4" xfId="13259"/>
    <cellStyle name="Input 13 4 3 3" xfId="13260"/>
    <cellStyle name="Input 13 4 3 4" xfId="13261"/>
    <cellStyle name="Input 13 4 3 5" xfId="13262"/>
    <cellStyle name="Input 13 4 3 6" xfId="13263"/>
    <cellStyle name="Input 13 4 3 7" xfId="13264"/>
    <cellStyle name="Input 13 4 3 8" xfId="13265"/>
    <cellStyle name="Input 13 4 3 9" xfId="13266"/>
    <cellStyle name="Input 13 4 4" xfId="13267"/>
    <cellStyle name="Input 13 4 4 2" xfId="13268"/>
    <cellStyle name="Input 13 4 4 3" xfId="13269"/>
    <cellStyle name="Input 13 4 4 4" xfId="13270"/>
    <cellStyle name="Input 13 4 5" xfId="13271"/>
    <cellStyle name="Input 13 4 6" xfId="13272"/>
    <cellStyle name="Input 13 4 7" xfId="13273"/>
    <cellStyle name="Input 13 4 8" xfId="13274"/>
    <cellStyle name="Input 13 4 9" xfId="13275"/>
    <cellStyle name="Input 13 5" xfId="13276"/>
    <cellStyle name="Input 13 5 2" xfId="13277"/>
    <cellStyle name="Input 13 5 3" xfId="13278"/>
    <cellStyle name="Input 13 5 4" xfId="13279"/>
    <cellStyle name="Input 13 6" xfId="13280"/>
    <cellStyle name="Input 13 7" xfId="13281"/>
    <cellStyle name="Input 13 8" xfId="13282"/>
    <cellStyle name="Input 13 9" xfId="13283"/>
    <cellStyle name="Input 14" xfId="13284"/>
    <cellStyle name="Input 14 10" xfId="13285"/>
    <cellStyle name="Input 14 11" xfId="13286"/>
    <cellStyle name="Input 14 12" xfId="13287"/>
    <cellStyle name="Input 14 13" xfId="13288"/>
    <cellStyle name="Input 14 14" xfId="13289"/>
    <cellStyle name="Input 14 15" xfId="13290"/>
    <cellStyle name="Input 14 16" xfId="13291"/>
    <cellStyle name="Input 14 17" xfId="13292"/>
    <cellStyle name="Input 14 18" xfId="13293"/>
    <cellStyle name="Input 14 19" xfId="13294"/>
    <cellStyle name="Input 14 2" xfId="13295"/>
    <cellStyle name="Input 14 2 10" xfId="13296"/>
    <cellStyle name="Input 14 2 11" xfId="13297"/>
    <cellStyle name="Input 14 2 12" xfId="13298"/>
    <cellStyle name="Input 14 2 13" xfId="13299"/>
    <cellStyle name="Input 14 2 14" xfId="13300"/>
    <cellStyle name="Input 14 2 15" xfId="13301"/>
    <cellStyle name="Input 14 2 16" xfId="13302"/>
    <cellStyle name="Input 14 2 17" xfId="13303"/>
    <cellStyle name="Input 14 2 18" xfId="13304"/>
    <cellStyle name="Input 14 2 2" xfId="13305"/>
    <cellStyle name="Input 14 2 2 10" xfId="13306"/>
    <cellStyle name="Input 14 2 2 11" xfId="13307"/>
    <cellStyle name="Input 14 2 2 12" xfId="13308"/>
    <cellStyle name="Input 14 2 2 13" xfId="13309"/>
    <cellStyle name="Input 14 2 2 14" xfId="13310"/>
    <cellStyle name="Input 14 2 2 15" xfId="13311"/>
    <cellStyle name="Input 14 2 2 16" xfId="13312"/>
    <cellStyle name="Input 14 2 2 2" xfId="13313"/>
    <cellStyle name="Input 14 2 2 2 2" xfId="13314"/>
    <cellStyle name="Input 14 2 2 2 3" xfId="13315"/>
    <cellStyle name="Input 14 2 2 2 4" xfId="13316"/>
    <cellStyle name="Input 14 2 2 3" xfId="13317"/>
    <cellStyle name="Input 14 2 2 4" xfId="13318"/>
    <cellStyle name="Input 14 2 2 5" xfId="13319"/>
    <cellStyle name="Input 14 2 2 6" xfId="13320"/>
    <cellStyle name="Input 14 2 2 7" xfId="13321"/>
    <cellStyle name="Input 14 2 2 8" xfId="13322"/>
    <cellStyle name="Input 14 2 2 9" xfId="13323"/>
    <cellStyle name="Input 14 2 3" xfId="13324"/>
    <cellStyle name="Input 14 2 3 10" xfId="13325"/>
    <cellStyle name="Input 14 2 3 11" xfId="13326"/>
    <cellStyle name="Input 14 2 3 12" xfId="13327"/>
    <cellStyle name="Input 14 2 3 13" xfId="13328"/>
    <cellStyle name="Input 14 2 3 14" xfId="13329"/>
    <cellStyle name="Input 14 2 3 15" xfId="13330"/>
    <cellStyle name="Input 14 2 3 16" xfId="13331"/>
    <cellStyle name="Input 14 2 3 2" xfId="13332"/>
    <cellStyle name="Input 14 2 3 2 2" xfId="13333"/>
    <cellStyle name="Input 14 2 3 2 3" xfId="13334"/>
    <cellStyle name="Input 14 2 3 2 4" xfId="13335"/>
    <cellStyle name="Input 14 2 3 3" xfId="13336"/>
    <cellStyle name="Input 14 2 3 4" xfId="13337"/>
    <cellStyle name="Input 14 2 3 5" xfId="13338"/>
    <cellStyle name="Input 14 2 3 6" xfId="13339"/>
    <cellStyle name="Input 14 2 3 7" xfId="13340"/>
    <cellStyle name="Input 14 2 3 8" xfId="13341"/>
    <cellStyle name="Input 14 2 3 9" xfId="13342"/>
    <cellStyle name="Input 14 2 4" xfId="13343"/>
    <cellStyle name="Input 14 2 4 2" xfId="13344"/>
    <cellStyle name="Input 14 2 4 3" xfId="13345"/>
    <cellStyle name="Input 14 2 4 4" xfId="13346"/>
    <cellStyle name="Input 14 2 5" xfId="13347"/>
    <cellStyle name="Input 14 2 6" xfId="13348"/>
    <cellStyle name="Input 14 2 7" xfId="13349"/>
    <cellStyle name="Input 14 2 8" xfId="13350"/>
    <cellStyle name="Input 14 2 9" xfId="13351"/>
    <cellStyle name="Input 14 3" xfId="13352"/>
    <cellStyle name="Input 14 3 10" xfId="13353"/>
    <cellStyle name="Input 14 3 11" xfId="13354"/>
    <cellStyle name="Input 14 3 12" xfId="13355"/>
    <cellStyle name="Input 14 3 13" xfId="13356"/>
    <cellStyle name="Input 14 3 14" xfId="13357"/>
    <cellStyle name="Input 14 3 15" xfId="13358"/>
    <cellStyle name="Input 14 3 16" xfId="13359"/>
    <cellStyle name="Input 14 3 17" xfId="13360"/>
    <cellStyle name="Input 14 3 18" xfId="13361"/>
    <cellStyle name="Input 14 3 2" xfId="13362"/>
    <cellStyle name="Input 14 3 2 10" xfId="13363"/>
    <cellStyle name="Input 14 3 2 11" xfId="13364"/>
    <cellStyle name="Input 14 3 2 12" xfId="13365"/>
    <cellStyle name="Input 14 3 2 13" xfId="13366"/>
    <cellStyle name="Input 14 3 2 14" xfId="13367"/>
    <cellStyle name="Input 14 3 2 15" xfId="13368"/>
    <cellStyle name="Input 14 3 2 16" xfId="13369"/>
    <cellStyle name="Input 14 3 2 2" xfId="13370"/>
    <cellStyle name="Input 14 3 2 2 2" xfId="13371"/>
    <cellStyle name="Input 14 3 2 2 3" xfId="13372"/>
    <cellStyle name="Input 14 3 2 2 4" xfId="13373"/>
    <cellStyle name="Input 14 3 2 3" xfId="13374"/>
    <cellStyle name="Input 14 3 2 4" xfId="13375"/>
    <cellStyle name="Input 14 3 2 5" xfId="13376"/>
    <cellStyle name="Input 14 3 2 6" xfId="13377"/>
    <cellStyle name="Input 14 3 2 7" xfId="13378"/>
    <cellStyle name="Input 14 3 2 8" xfId="13379"/>
    <cellStyle name="Input 14 3 2 9" xfId="13380"/>
    <cellStyle name="Input 14 3 3" xfId="13381"/>
    <cellStyle name="Input 14 3 3 10" xfId="13382"/>
    <cellStyle name="Input 14 3 3 11" xfId="13383"/>
    <cellStyle name="Input 14 3 3 12" xfId="13384"/>
    <cellStyle name="Input 14 3 3 13" xfId="13385"/>
    <cellStyle name="Input 14 3 3 14" xfId="13386"/>
    <cellStyle name="Input 14 3 3 15" xfId="13387"/>
    <cellStyle name="Input 14 3 3 16" xfId="13388"/>
    <cellStyle name="Input 14 3 3 2" xfId="13389"/>
    <cellStyle name="Input 14 3 3 2 2" xfId="13390"/>
    <cellStyle name="Input 14 3 3 2 3" xfId="13391"/>
    <cellStyle name="Input 14 3 3 2 4" xfId="13392"/>
    <cellStyle name="Input 14 3 3 3" xfId="13393"/>
    <cellStyle name="Input 14 3 3 4" xfId="13394"/>
    <cellStyle name="Input 14 3 3 5" xfId="13395"/>
    <cellStyle name="Input 14 3 3 6" xfId="13396"/>
    <cellStyle name="Input 14 3 3 7" xfId="13397"/>
    <cellStyle name="Input 14 3 3 8" xfId="13398"/>
    <cellStyle name="Input 14 3 3 9" xfId="13399"/>
    <cellStyle name="Input 14 3 4" xfId="13400"/>
    <cellStyle name="Input 14 3 4 2" xfId="13401"/>
    <cellStyle name="Input 14 3 4 3" xfId="13402"/>
    <cellStyle name="Input 14 3 4 4" xfId="13403"/>
    <cellStyle name="Input 14 3 5" xfId="13404"/>
    <cellStyle name="Input 14 3 6" xfId="13405"/>
    <cellStyle name="Input 14 3 7" xfId="13406"/>
    <cellStyle name="Input 14 3 8" xfId="13407"/>
    <cellStyle name="Input 14 3 9" xfId="13408"/>
    <cellStyle name="Input 14 4" xfId="13409"/>
    <cellStyle name="Input 14 4 10" xfId="13410"/>
    <cellStyle name="Input 14 4 11" xfId="13411"/>
    <cellStyle name="Input 14 4 12" xfId="13412"/>
    <cellStyle name="Input 14 4 13" xfId="13413"/>
    <cellStyle name="Input 14 4 14" xfId="13414"/>
    <cellStyle name="Input 14 4 15" xfId="13415"/>
    <cellStyle name="Input 14 4 16" xfId="13416"/>
    <cellStyle name="Input 14 4 17" xfId="13417"/>
    <cellStyle name="Input 14 4 18" xfId="13418"/>
    <cellStyle name="Input 14 4 2" xfId="13419"/>
    <cellStyle name="Input 14 4 2 10" xfId="13420"/>
    <cellStyle name="Input 14 4 2 11" xfId="13421"/>
    <cellStyle name="Input 14 4 2 12" xfId="13422"/>
    <cellStyle name="Input 14 4 2 13" xfId="13423"/>
    <cellStyle name="Input 14 4 2 14" xfId="13424"/>
    <cellStyle name="Input 14 4 2 15" xfId="13425"/>
    <cellStyle name="Input 14 4 2 16" xfId="13426"/>
    <cellStyle name="Input 14 4 2 2" xfId="13427"/>
    <cellStyle name="Input 14 4 2 2 2" xfId="13428"/>
    <cellStyle name="Input 14 4 2 2 3" xfId="13429"/>
    <cellStyle name="Input 14 4 2 2 4" xfId="13430"/>
    <cellStyle name="Input 14 4 2 3" xfId="13431"/>
    <cellStyle name="Input 14 4 2 4" xfId="13432"/>
    <cellStyle name="Input 14 4 2 5" xfId="13433"/>
    <cellStyle name="Input 14 4 2 6" xfId="13434"/>
    <cellStyle name="Input 14 4 2 7" xfId="13435"/>
    <cellStyle name="Input 14 4 2 8" xfId="13436"/>
    <cellStyle name="Input 14 4 2 9" xfId="13437"/>
    <cellStyle name="Input 14 4 3" xfId="13438"/>
    <cellStyle name="Input 14 4 3 10" xfId="13439"/>
    <cellStyle name="Input 14 4 3 11" xfId="13440"/>
    <cellStyle name="Input 14 4 3 12" xfId="13441"/>
    <cellStyle name="Input 14 4 3 13" xfId="13442"/>
    <cellStyle name="Input 14 4 3 14" xfId="13443"/>
    <cellStyle name="Input 14 4 3 15" xfId="13444"/>
    <cellStyle name="Input 14 4 3 16" xfId="13445"/>
    <cellStyle name="Input 14 4 3 2" xfId="13446"/>
    <cellStyle name="Input 14 4 3 2 2" xfId="13447"/>
    <cellStyle name="Input 14 4 3 2 3" xfId="13448"/>
    <cellStyle name="Input 14 4 3 2 4" xfId="13449"/>
    <cellStyle name="Input 14 4 3 3" xfId="13450"/>
    <cellStyle name="Input 14 4 3 4" xfId="13451"/>
    <cellStyle name="Input 14 4 3 5" xfId="13452"/>
    <cellStyle name="Input 14 4 3 6" xfId="13453"/>
    <cellStyle name="Input 14 4 3 7" xfId="13454"/>
    <cellStyle name="Input 14 4 3 8" xfId="13455"/>
    <cellStyle name="Input 14 4 3 9" xfId="13456"/>
    <cellStyle name="Input 14 4 4" xfId="13457"/>
    <cellStyle name="Input 14 4 4 2" xfId="13458"/>
    <cellStyle name="Input 14 4 4 3" xfId="13459"/>
    <cellStyle name="Input 14 4 4 4" xfId="13460"/>
    <cellStyle name="Input 14 4 5" xfId="13461"/>
    <cellStyle name="Input 14 4 6" xfId="13462"/>
    <cellStyle name="Input 14 4 7" xfId="13463"/>
    <cellStyle name="Input 14 4 8" xfId="13464"/>
    <cellStyle name="Input 14 4 9" xfId="13465"/>
    <cellStyle name="Input 14 5" xfId="13466"/>
    <cellStyle name="Input 14 5 2" xfId="13467"/>
    <cellStyle name="Input 14 5 3" xfId="13468"/>
    <cellStyle name="Input 14 5 4" xfId="13469"/>
    <cellStyle name="Input 14 6" xfId="13470"/>
    <cellStyle name="Input 14 7" xfId="13471"/>
    <cellStyle name="Input 14 8" xfId="13472"/>
    <cellStyle name="Input 14 9" xfId="13473"/>
    <cellStyle name="Input 15" xfId="13474"/>
    <cellStyle name="Input 15 10" xfId="13475"/>
    <cellStyle name="Input 15 11" xfId="13476"/>
    <cellStyle name="Input 15 12" xfId="13477"/>
    <cellStyle name="Input 15 13" xfId="13478"/>
    <cellStyle name="Input 15 14" xfId="13479"/>
    <cellStyle name="Input 15 15" xfId="13480"/>
    <cellStyle name="Input 15 16" xfId="13481"/>
    <cellStyle name="Input 15 17" xfId="13482"/>
    <cellStyle name="Input 15 18" xfId="13483"/>
    <cellStyle name="Input 15 2" xfId="13484"/>
    <cellStyle name="Input 15 2 10" xfId="13485"/>
    <cellStyle name="Input 15 2 11" xfId="13486"/>
    <cellStyle name="Input 15 2 12" xfId="13487"/>
    <cellStyle name="Input 15 2 13" xfId="13488"/>
    <cellStyle name="Input 15 2 14" xfId="13489"/>
    <cellStyle name="Input 15 2 15" xfId="13490"/>
    <cellStyle name="Input 15 2 16" xfId="13491"/>
    <cellStyle name="Input 15 2 17" xfId="13492"/>
    <cellStyle name="Input 15 2 18" xfId="13493"/>
    <cellStyle name="Input 15 2 2" xfId="13494"/>
    <cellStyle name="Input 15 2 2 10" xfId="13495"/>
    <cellStyle name="Input 15 2 2 11" xfId="13496"/>
    <cellStyle name="Input 15 2 2 12" xfId="13497"/>
    <cellStyle name="Input 15 2 2 13" xfId="13498"/>
    <cellStyle name="Input 15 2 2 14" xfId="13499"/>
    <cellStyle name="Input 15 2 2 15" xfId="13500"/>
    <cellStyle name="Input 15 2 2 16" xfId="13501"/>
    <cellStyle name="Input 15 2 2 2" xfId="13502"/>
    <cellStyle name="Input 15 2 2 2 2" xfId="13503"/>
    <cellStyle name="Input 15 2 2 2 3" xfId="13504"/>
    <cellStyle name="Input 15 2 2 2 4" xfId="13505"/>
    <cellStyle name="Input 15 2 2 3" xfId="13506"/>
    <cellStyle name="Input 15 2 2 4" xfId="13507"/>
    <cellStyle name="Input 15 2 2 5" xfId="13508"/>
    <cellStyle name="Input 15 2 2 6" xfId="13509"/>
    <cellStyle name="Input 15 2 2 7" xfId="13510"/>
    <cellStyle name="Input 15 2 2 8" xfId="13511"/>
    <cellStyle name="Input 15 2 2 9" xfId="13512"/>
    <cellStyle name="Input 15 2 3" xfId="13513"/>
    <cellStyle name="Input 15 2 3 10" xfId="13514"/>
    <cellStyle name="Input 15 2 3 11" xfId="13515"/>
    <cellStyle name="Input 15 2 3 12" xfId="13516"/>
    <cellStyle name="Input 15 2 3 13" xfId="13517"/>
    <cellStyle name="Input 15 2 3 14" xfId="13518"/>
    <cellStyle name="Input 15 2 3 15" xfId="13519"/>
    <cellStyle name="Input 15 2 3 16" xfId="13520"/>
    <cellStyle name="Input 15 2 3 2" xfId="13521"/>
    <cellStyle name="Input 15 2 3 2 2" xfId="13522"/>
    <cellStyle name="Input 15 2 3 2 3" xfId="13523"/>
    <cellStyle name="Input 15 2 3 2 4" xfId="13524"/>
    <cellStyle name="Input 15 2 3 3" xfId="13525"/>
    <cellStyle name="Input 15 2 3 4" xfId="13526"/>
    <cellStyle name="Input 15 2 3 5" xfId="13527"/>
    <cellStyle name="Input 15 2 3 6" xfId="13528"/>
    <cellStyle name="Input 15 2 3 7" xfId="13529"/>
    <cellStyle name="Input 15 2 3 8" xfId="13530"/>
    <cellStyle name="Input 15 2 3 9" xfId="13531"/>
    <cellStyle name="Input 15 2 4" xfId="13532"/>
    <cellStyle name="Input 15 2 4 2" xfId="13533"/>
    <cellStyle name="Input 15 2 4 3" xfId="13534"/>
    <cellStyle name="Input 15 2 4 4" xfId="13535"/>
    <cellStyle name="Input 15 2 5" xfId="13536"/>
    <cellStyle name="Input 15 2 6" xfId="13537"/>
    <cellStyle name="Input 15 2 7" xfId="13538"/>
    <cellStyle name="Input 15 2 8" xfId="13539"/>
    <cellStyle name="Input 15 2 9" xfId="13540"/>
    <cellStyle name="Input 15 3" xfId="13541"/>
    <cellStyle name="Input 15 3 10" xfId="13542"/>
    <cellStyle name="Input 15 3 11" xfId="13543"/>
    <cellStyle name="Input 15 3 12" xfId="13544"/>
    <cellStyle name="Input 15 3 13" xfId="13545"/>
    <cellStyle name="Input 15 3 14" xfId="13546"/>
    <cellStyle name="Input 15 3 15" xfId="13547"/>
    <cellStyle name="Input 15 3 16" xfId="13548"/>
    <cellStyle name="Input 15 3 17" xfId="13549"/>
    <cellStyle name="Input 15 3 18" xfId="13550"/>
    <cellStyle name="Input 15 3 2" xfId="13551"/>
    <cellStyle name="Input 15 3 2 10" xfId="13552"/>
    <cellStyle name="Input 15 3 2 11" xfId="13553"/>
    <cellStyle name="Input 15 3 2 12" xfId="13554"/>
    <cellStyle name="Input 15 3 2 13" xfId="13555"/>
    <cellStyle name="Input 15 3 2 14" xfId="13556"/>
    <cellStyle name="Input 15 3 2 15" xfId="13557"/>
    <cellStyle name="Input 15 3 2 16" xfId="13558"/>
    <cellStyle name="Input 15 3 2 2" xfId="13559"/>
    <cellStyle name="Input 15 3 2 2 2" xfId="13560"/>
    <cellStyle name="Input 15 3 2 2 3" xfId="13561"/>
    <cellStyle name="Input 15 3 2 2 4" xfId="13562"/>
    <cellStyle name="Input 15 3 2 3" xfId="13563"/>
    <cellStyle name="Input 15 3 2 4" xfId="13564"/>
    <cellStyle name="Input 15 3 2 5" xfId="13565"/>
    <cellStyle name="Input 15 3 2 6" xfId="13566"/>
    <cellStyle name="Input 15 3 2 7" xfId="13567"/>
    <cellStyle name="Input 15 3 2 8" xfId="13568"/>
    <cellStyle name="Input 15 3 2 9" xfId="13569"/>
    <cellStyle name="Input 15 3 3" xfId="13570"/>
    <cellStyle name="Input 15 3 3 10" xfId="13571"/>
    <cellStyle name="Input 15 3 3 11" xfId="13572"/>
    <cellStyle name="Input 15 3 3 12" xfId="13573"/>
    <cellStyle name="Input 15 3 3 13" xfId="13574"/>
    <cellStyle name="Input 15 3 3 14" xfId="13575"/>
    <cellStyle name="Input 15 3 3 15" xfId="13576"/>
    <cellStyle name="Input 15 3 3 16" xfId="13577"/>
    <cellStyle name="Input 15 3 3 2" xfId="13578"/>
    <cellStyle name="Input 15 3 3 2 2" xfId="13579"/>
    <cellStyle name="Input 15 3 3 2 3" xfId="13580"/>
    <cellStyle name="Input 15 3 3 2 4" xfId="13581"/>
    <cellStyle name="Input 15 3 3 3" xfId="13582"/>
    <cellStyle name="Input 15 3 3 4" xfId="13583"/>
    <cellStyle name="Input 15 3 3 5" xfId="13584"/>
    <cellStyle name="Input 15 3 3 6" xfId="13585"/>
    <cellStyle name="Input 15 3 3 7" xfId="13586"/>
    <cellStyle name="Input 15 3 3 8" xfId="13587"/>
    <cellStyle name="Input 15 3 3 9" xfId="13588"/>
    <cellStyle name="Input 15 3 4" xfId="13589"/>
    <cellStyle name="Input 15 3 4 2" xfId="13590"/>
    <cellStyle name="Input 15 3 4 3" xfId="13591"/>
    <cellStyle name="Input 15 3 4 4" xfId="13592"/>
    <cellStyle name="Input 15 3 5" xfId="13593"/>
    <cellStyle name="Input 15 3 6" xfId="13594"/>
    <cellStyle name="Input 15 3 7" xfId="13595"/>
    <cellStyle name="Input 15 3 8" xfId="13596"/>
    <cellStyle name="Input 15 3 9" xfId="13597"/>
    <cellStyle name="Input 15 4" xfId="13598"/>
    <cellStyle name="Input 15 4 10" xfId="13599"/>
    <cellStyle name="Input 15 4 11" xfId="13600"/>
    <cellStyle name="Input 15 4 12" xfId="13601"/>
    <cellStyle name="Input 15 4 13" xfId="13602"/>
    <cellStyle name="Input 15 4 14" xfId="13603"/>
    <cellStyle name="Input 15 4 15" xfId="13604"/>
    <cellStyle name="Input 15 4 16" xfId="13605"/>
    <cellStyle name="Input 15 4 17" xfId="13606"/>
    <cellStyle name="Input 15 4 18" xfId="13607"/>
    <cellStyle name="Input 15 4 2" xfId="13608"/>
    <cellStyle name="Input 15 4 2 10" xfId="13609"/>
    <cellStyle name="Input 15 4 2 11" xfId="13610"/>
    <cellStyle name="Input 15 4 2 12" xfId="13611"/>
    <cellStyle name="Input 15 4 2 13" xfId="13612"/>
    <cellStyle name="Input 15 4 2 14" xfId="13613"/>
    <cellStyle name="Input 15 4 2 15" xfId="13614"/>
    <cellStyle name="Input 15 4 2 16" xfId="13615"/>
    <cellStyle name="Input 15 4 2 2" xfId="13616"/>
    <cellStyle name="Input 15 4 2 2 2" xfId="13617"/>
    <cellStyle name="Input 15 4 2 2 3" xfId="13618"/>
    <cellStyle name="Input 15 4 2 2 4" xfId="13619"/>
    <cellStyle name="Input 15 4 2 3" xfId="13620"/>
    <cellStyle name="Input 15 4 2 4" xfId="13621"/>
    <cellStyle name="Input 15 4 2 5" xfId="13622"/>
    <cellStyle name="Input 15 4 2 6" xfId="13623"/>
    <cellStyle name="Input 15 4 2 7" xfId="13624"/>
    <cellStyle name="Input 15 4 2 8" xfId="13625"/>
    <cellStyle name="Input 15 4 2 9" xfId="13626"/>
    <cellStyle name="Input 15 4 3" xfId="13627"/>
    <cellStyle name="Input 15 4 3 10" xfId="13628"/>
    <cellStyle name="Input 15 4 3 11" xfId="13629"/>
    <cellStyle name="Input 15 4 3 12" xfId="13630"/>
    <cellStyle name="Input 15 4 3 13" xfId="13631"/>
    <cellStyle name="Input 15 4 3 14" xfId="13632"/>
    <cellStyle name="Input 15 4 3 15" xfId="13633"/>
    <cellStyle name="Input 15 4 3 16" xfId="13634"/>
    <cellStyle name="Input 15 4 3 2" xfId="13635"/>
    <cellStyle name="Input 15 4 3 2 2" xfId="13636"/>
    <cellStyle name="Input 15 4 3 2 3" xfId="13637"/>
    <cellStyle name="Input 15 4 3 2 4" xfId="13638"/>
    <cellStyle name="Input 15 4 3 3" xfId="13639"/>
    <cellStyle name="Input 15 4 3 4" xfId="13640"/>
    <cellStyle name="Input 15 4 3 5" xfId="13641"/>
    <cellStyle name="Input 15 4 3 6" xfId="13642"/>
    <cellStyle name="Input 15 4 3 7" xfId="13643"/>
    <cellStyle name="Input 15 4 3 8" xfId="13644"/>
    <cellStyle name="Input 15 4 3 9" xfId="13645"/>
    <cellStyle name="Input 15 4 4" xfId="13646"/>
    <cellStyle name="Input 15 4 4 2" xfId="13647"/>
    <cellStyle name="Input 15 4 4 3" xfId="13648"/>
    <cellStyle name="Input 15 4 4 4" xfId="13649"/>
    <cellStyle name="Input 15 4 5" xfId="13650"/>
    <cellStyle name="Input 15 4 6" xfId="13651"/>
    <cellStyle name="Input 15 4 7" xfId="13652"/>
    <cellStyle name="Input 15 4 8" xfId="13653"/>
    <cellStyle name="Input 15 4 9" xfId="13654"/>
    <cellStyle name="Input 15 5" xfId="13655"/>
    <cellStyle name="Input 15 5 2" xfId="13656"/>
    <cellStyle name="Input 15 5 3" xfId="13657"/>
    <cellStyle name="Input 15 5 4" xfId="13658"/>
    <cellStyle name="Input 15 6" xfId="13659"/>
    <cellStyle name="Input 15 7" xfId="13660"/>
    <cellStyle name="Input 15 8" xfId="13661"/>
    <cellStyle name="Input 15 9" xfId="13662"/>
    <cellStyle name="Input 16" xfId="13663"/>
    <cellStyle name="Input 16 10" xfId="13664"/>
    <cellStyle name="Input 16 11" xfId="13665"/>
    <cellStyle name="Input 16 12" xfId="13666"/>
    <cellStyle name="Input 16 13" xfId="13667"/>
    <cellStyle name="Input 16 14" xfId="13668"/>
    <cellStyle name="Input 16 15" xfId="13669"/>
    <cellStyle name="Input 16 16" xfId="13670"/>
    <cellStyle name="Input 16 17" xfId="13671"/>
    <cellStyle name="Input 16 18" xfId="13672"/>
    <cellStyle name="Input 16 2" xfId="13673"/>
    <cellStyle name="Input 16 2 10" xfId="13674"/>
    <cellStyle name="Input 16 2 11" xfId="13675"/>
    <cellStyle name="Input 16 2 12" xfId="13676"/>
    <cellStyle name="Input 16 2 13" xfId="13677"/>
    <cellStyle name="Input 16 2 14" xfId="13678"/>
    <cellStyle name="Input 16 2 15" xfId="13679"/>
    <cellStyle name="Input 16 2 16" xfId="13680"/>
    <cellStyle name="Input 16 2 17" xfId="13681"/>
    <cellStyle name="Input 16 2 18" xfId="13682"/>
    <cellStyle name="Input 16 2 2" xfId="13683"/>
    <cellStyle name="Input 16 2 2 10" xfId="13684"/>
    <cellStyle name="Input 16 2 2 11" xfId="13685"/>
    <cellStyle name="Input 16 2 2 12" xfId="13686"/>
    <cellStyle name="Input 16 2 2 13" xfId="13687"/>
    <cellStyle name="Input 16 2 2 14" xfId="13688"/>
    <cellStyle name="Input 16 2 2 15" xfId="13689"/>
    <cellStyle name="Input 16 2 2 16" xfId="13690"/>
    <cellStyle name="Input 16 2 2 2" xfId="13691"/>
    <cellStyle name="Input 16 2 2 2 2" xfId="13692"/>
    <cellStyle name="Input 16 2 2 2 3" xfId="13693"/>
    <cellStyle name="Input 16 2 2 2 4" xfId="13694"/>
    <cellStyle name="Input 16 2 2 3" xfId="13695"/>
    <cellStyle name="Input 16 2 2 4" xfId="13696"/>
    <cellStyle name="Input 16 2 2 5" xfId="13697"/>
    <cellStyle name="Input 16 2 2 6" xfId="13698"/>
    <cellStyle name="Input 16 2 2 7" xfId="13699"/>
    <cellStyle name="Input 16 2 2 8" xfId="13700"/>
    <cellStyle name="Input 16 2 2 9" xfId="13701"/>
    <cellStyle name="Input 16 2 3" xfId="13702"/>
    <cellStyle name="Input 16 2 3 10" xfId="13703"/>
    <cellStyle name="Input 16 2 3 11" xfId="13704"/>
    <cellStyle name="Input 16 2 3 12" xfId="13705"/>
    <cellStyle name="Input 16 2 3 13" xfId="13706"/>
    <cellStyle name="Input 16 2 3 14" xfId="13707"/>
    <cellStyle name="Input 16 2 3 15" xfId="13708"/>
    <cellStyle name="Input 16 2 3 16" xfId="13709"/>
    <cellStyle name="Input 16 2 3 2" xfId="13710"/>
    <cellStyle name="Input 16 2 3 2 2" xfId="13711"/>
    <cellStyle name="Input 16 2 3 2 3" xfId="13712"/>
    <cellStyle name="Input 16 2 3 2 4" xfId="13713"/>
    <cellStyle name="Input 16 2 3 3" xfId="13714"/>
    <cellStyle name="Input 16 2 3 4" xfId="13715"/>
    <cellStyle name="Input 16 2 3 5" xfId="13716"/>
    <cellStyle name="Input 16 2 3 6" xfId="13717"/>
    <cellStyle name="Input 16 2 3 7" xfId="13718"/>
    <cellStyle name="Input 16 2 3 8" xfId="13719"/>
    <cellStyle name="Input 16 2 3 9" xfId="13720"/>
    <cellStyle name="Input 16 2 4" xfId="13721"/>
    <cellStyle name="Input 16 2 4 2" xfId="13722"/>
    <cellStyle name="Input 16 2 4 3" xfId="13723"/>
    <cellStyle name="Input 16 2 4 4" xfId="13724"/>
    <cellStyle name="Input 16 2 5" xfId="13725"/>
    <cellStyle name="Input 16 2 6" xfId="13726"/>
    <cellStyle name="Input 16 2 7" xfId="13727"/>
    <cellStyle name="Input 16 2 8" xfId="13728"/>
    <cellStyle name="Input 16 2 9" xfId="13729"/>
    <cellStyle name="Input 16 3" xfId="13730"/>
    <cellStyle name="Input 16 3 10" xfId="13731"/>
    <cellStyle name="Input 16 3 11" xfId="13732"/>
    <cellStyle name="Input 16 3 12" xfId="13733"/>
    <cellStyle name="Input 16 3 13" xfId="13734"/>
    <cellStyle name="Input 16 3 14" xfId="13735"/>
    <cellStyle name="Input 16 3 15" xfId="13736"/>
    <cellStyle name="Input 16 3 16" xfId="13737"/>
    <cellStyle name="Input 16 3 17" xfId="13738"/>
    <cellStyle name="Input 16 3 18" xfId="13739"/>
    <cellStyle name="Input 16 3 2" xfId="13740"/>
    <cellStyle name="Input 16 3 2 10" xfId="13741"/>
    <cellStyle name="Input 16 3 2 11" xfId="13742"/>
    <cellStyle name="Input 16 3 2 12" xfId="13743"/>
    <cellStyle name="Input 16 3 2 13" xfId="13744"/>
    <cellStyle name="Input 16 3 2 14" xfId="13745"/>
    <cellStyle name="Input 16 3 2 15" xfId="13746"/>
    <cellStyle name="Input 16 3 2 16" xfId="13747"/>
    <cellStyle name="Input 16 3 2 2" xfId="13748"/>
    <cellStyle name="Input 16 3 2 2 2" xfId="13749"/>
    <cellStyle name="Input 16 3 2 2 3" xfId="13750"/>
    <cellStyle name="Input 16 3 2 2 4" xfId="13751"/>
    <cellStyle name="Input 16 3 2 3" xfId="13752"/>
    <cellStyle name="Input 16 3 2 4" xfId="13753"/>
    <cellStyle name="Input 16 3 2 5" xfId="13754"/>
    <cellStyle name="Input 16 3 2 6" xfId="13755"/>
    <cellStyle name="Input 16 3 2 7" xfId="13756"/>
    <cellStyle name="Input 16 3 2 8" xfId="13757"/>
    <cellStyle name="Input 16 3 2 9" xfId="13758"/>
    <cellStyle name="Input 16 3 3" xfId="13759"/>
    <cellStyle name="Input 16 3 3 10" xfId="13760"/>
    <cellStyle name="Input 16 3 3 11" xfId="13761"/>
    <cellStyle name="Input 16 3 3 12" xfId="13762"/>
    <cellStyle name="Input 16 3 3 13" xfId="13763"/>
    <cellStyle name="Input 16 3 3 14" xfId="13764"/>
    <cellStyle name="Input 16 3 3 15" xfId="13765"/>
    <cellStyle name="Input 16 3 3 16" xfId="13766"/>
    <cellStyle name="Input 16 3 3 2" xfId="13767"/>
    <cellStyle name="Input 16 3 3 2 2" xfId="13768"/>
    <cellStyle name="Input 16 3 3 2 3" xfId="13769"/>
    <cellStyle name="Input 16 3 3 2 4" xfId="13770"/>
    <cellStyle name="Input 16 3 3 3" xfId="13771"/>
    <cellStyle name="Input 16 3 3 4" xfId="13772"/>
    <cellStyle name="Input 16 3 3 5" xfId="13773"/>
    <cellStyle name="Input 16 3 3 6" xfId="13774"/>
    <cellStyle name="Input 16 3 3 7" xfId="13775"/>
    <cellStyle name="Input 16 3 3 8" xfId="13776"/>
    <cellStyle name="Input 16 3 3 9" xfId="13777"/>
    <cellStyle name="Input 16 3 4" xfId="13778"/>
    <cellStyle name="Input 16 3 4 2" xfId="13779"/>
    <cellStyle name="Input 16 3 4 3" xfId="13780"/>
    <cellStyle name="Input 16 3 4 4" xfId="13781"/>
    <cellStyle name="Input 16 3 5" xfId="13782"/>
    <cellStyle name="Input 16 3 6" xfId="13783"/>
    <cellStyle name="Input 16 3 7" xfId="13784"/>
    <cellStyle name="Input 16 3 8" xfId="13785"/>
    <cellStyle name="Input 16 3 9" xfId="13786"/>
    <cellStyle name="Input 16 4" xfId="13787"/>
    <cellStyle name="Input 16 4 10" xfId="13788"/>
    <cellStyle name="Input 16 4 11" xfId="13789"/>
    <cellStyle name="Input 16 4 12" xfId="13790"/>
    <cellStyle name="Input 16 4 13" xfId="13791"/>
    <cellStyle name="Input 16 4 14" xfId="13792"/>
    <cellStyle name="Input 16 4 15" xfId="13793"/>
    <cellStyle name="Input 16 4 16" xfId="13794"/>
    <cellStyle name="Input 16 4 17" xfId="13795"/>
    <cellStyle name="Input 16 4 18" xfId="13796"/>
    <cellStyle name="Input 16 4 2" xfId="13797"/>
    <cellStyle name="Input 16 4 2 10" xfId="13798"/>
    <cellStyle name="Input 16 4 2 11" xfId="13799"/>
    <cellStyle name="Input 16 4 2 12" xfId="13800"/>
    <cellStyle name="Input 16 4 2 13" xfId="13801"/>
    <cellStyle name="Input 16 4 2 14" xfId="13802"/>
    <cellStyle name="Input 16 4 2 15" xfId="13803"/>
    <cellStyle name="Input 16 4 2 16" xfId="13804"/>
    <cellStyle name="Input 16 4 2 2" xfId="13805"/>
    <cellStyle name="Input 16 4 2 2 2" xfId="13806"/>
    <cellStyle name="Input 16 4 2 2 3" xfId="13807"/>
    <cellStyle name="Input 16 4 2 2 4" xfId="13808"/>
    <cellStyle name="Input 16 4 2 3" xfId="13809"/>
    <cellStyle name="Input 16 4 2 4" xfId="13810"/>
    <cellStyle name="Input 16 4 2 5" xfId="13811"/>
    <cellStyle name="Input 16 4 2 6" xfId="13812"/>
    <cellStyle name="Input 16 4 2 7" xfId="13813"/>
    <cellStyle name="Input 16 4 2 8" xfId="13814"/>
    <cellStyle name="Input 16 4 2 9" xfId="13815"/>
    <cellStyle name="Input 16 4 3" xfId="13816"/>
    <cellStyle name="Input 16 4 3 10" xfId="13817"/>
    <cellStyle name="Input 16 4 3 11" xfId="13818"/>
    <cellStyle name="Input 16 4 3 12" xfId="13819"/>
    <cellStyle name="Input 16 4 3 13" xfId="13820"/>
    <cellStyle name="Input 16 4 3 14" xfId="13821"/>
    <cellStyle name="Input 16 4 3 15" xfId="13822"/>
    <cellStyle name="Input 16 4 3 16" xfId="13823"/>
    <cellStyle name="Input 16 4 3 2" xfId="13824"/>
    <cellStyle name="Input 16 4 3 2 2" xfId="13825"/>
    <cellStyle name="Input 16 4 3 2 3" xfId="13826"/>
    <cellStyle name="Input 16 4 3 2 4" xfId="13827"/>
    <cellStyle name="Input 16 4 3 3" xfId="13828"/>
    <cellStyle name="Input 16 4 3 4" xfId="13829"/>
    <cellStyle name="Input 16 4 3 5" xfId="13830"/>
    <cellStyle name="Input 16 4 3 6" xfId="13831"/>
    <cellStyle name="Input 16 4 3 7" xfId="13832"/>
    <cellStyle name="Input 16 4 3 8" xfId="13833"/>
    <cellStyle name="Input 16 4 3 9" xfId="13834"/>
    <cellStyle name="Input 16 4 4" xfId="13835"/>
    <cellStyle name="Input 16 4 4 2" xfId="13836"/>
    <cellStyle name="Input 16 4 4 3" xfId="13837"/>
    <cellStyle name="Input 16 4 4 4" xfId="13838"/>
    <cellStyle name="Input 16 4 5" xfId="13839"/>
    <cellStyle name="Input 16 4 6" xfId="13840"/>
    <cellStyle name="Input 16 4 7" xfId="13841"/>
    <cellStyle name="Input 16 4 8" xfId="13842"/>
    <cellStyle name="Input 16 4 9" xfId="13843"/>
    <cellStyle name="Input 16 5" xfId="13844"/>
    <cellStyle name="Input 16 5 2" xfId="13845"/>
    <cellStyle name="Input 16 5 3" xfId="13846"/>
    <cellStyle name="Input 16 5 4" xfId="13847"/>
    <cellStyle name="Input 16 6" xfId="13848"/>
    <cellStyle name="Input 16 7" xfId="13849"/>
    <cellStyle name="Input 16 8" xfId="13850"/>
    <cellStyle name="Input 16 9" xfId="13851"/>
    <cellStyle name="Input 17" xfId="13852"/>
    <cellStyle name="Input 17 10" xfId="13853"/>
    <cellStyle name="Input 17 11" xfId="13854"/>
    <cellStyle name="Input 17 12" xfId="13855"/>
    <cellStyle name="Input 17 13" xfId="13856"/>
    <cellStyle name="Input 17 14" xfId="13857"/>
    <cellStyle name="Input 17 15" xfId="13858"/>
    <cellStyle name="Input 17 16" xfId="13859"/>
    <cellStyle name="Input 17 17" xfId="13860"/>
    <cellStyle name="Input 17 18" xfId="13861"/>
    <cellStyle name="Input 17 2" xfId="13862"/>
    <cellStyle name="Input 17 2 10" xfId="13863"/>
    <cellStyle name="Input 17 2 11" xfId="13864"/>
    <cellStyle name="Input 17 2 12" xfId="13865"/>
    <cellStyle name="Input 17 2 13" xfId="13866"/>
    <cellStyle name="Input 17 2 14" xfId="13867"/>
    <cellStyle name="Input 17 2 15" xfId="13868"/>
    <cellStyle name="Input 17 2 16" xfId="13869"/>
    <cellStyle name="Input 17 2 17" xfId="13870"/>
    <cellStyle name="Input 17 2 18" xfId="13871"/>
    <cellStyle name="Input 17 2 2" xfId="13872"/>
    <cellStyle name="Input 17 2 2 10" xfId="13873"/>
    <cellStyle name="Input 17 2 2 11" xfId="13874"/>
    <cellStyle name="Input 17 2 2 12" xfId="13875"/>
    <cellStyle name="Input 17 2 2 13" xfId="13876"/>
    <cellStyle name="Input 17 2 2 14" xfId="13877"/>
    <cellStyle name="Input 17 2 2 15" xfId="13878"/>
    <cellStyle name="Input 17 2 2 16" xfId="13879"/>
    <cellStyle name="Input 17 2 2 2" xfId="13880"/>
    <cellStyle name="Input 17 2 2 2 2" xfId="13881"/>
    <cellStyle name="Input 17 2 2 2 3" xfId="13882"/>
    <cellStyle name="Input 17 2 2 2 4" xfId="13883"/>
    <cellStyle name="Input 17 2 2 3" xfId="13884"/>
    <cellStyle name="Input 17 2 2 4" xfId="13885"/>
    <cellStyle name="Input 17 2 2 5" xfId="13886"/>
    <cellStyle name="Input 17 2 2 6" xfId="13887"/>
    <cellStyle name="Input 17 2 2 7" xfId="13888"/>
    <cellStyle name="Input 17 2 2 8" xfId="13889"/>
    <cellStyle name="Input 17 2 2 9" xfId="13890"/>
    <cellStyle name="Input 17 2 3" xfId="13891"/>
    <cellStyle name="Input 17 2 3 10" xfId="13892"/>
    <cellStyle name="Input 17 2 3 11" xfId="13893"/>
    <cellStyle name="Input 17 2 3 12" xfId="13894"/>
    <cellStyle name="Input 17 2 3 13" xfId="13895"/>
    <cellStyle name="Input 17 2 3 14" xfId="13896"/>
    <cellStyle name="Input 17 2 3 15" xfId="13897"/>
    <cellStyle name="Input 17 2 3 16" xfId="13898"/>
    <cellStyle name="Input 17 2 3 2" xfId="13899"/>
    <cellStyle name="Input 17 2 3 2 2" xfId="13900"/>
    <cellStyle name="Input 17 2 3 2 3" xfId="13901"/>
    <cellStyle name="Input 17 2 3 2 4" xfId="13902"/>
    <cellStyle name="Input 17 2 3 3" xfId="13903"/>
    <cellStyle name="Input 17 2 3 4" xfId="13904"/>
    <cellStyle name="Input 17 2 3 5" xfId="13905"/>
    <cellStyle name="Input 17 2 3 6" xfId="13906"/>
    <cellStyle name="Input 17 2 3 7" xfId="13907"/>
    <cellStyle name="Input 17 2 3 8" xfId="13908"/>
    <cellStyle name="Input 17 2 3 9" xfId="13909"/>
    <cellStyle name="Input 17 2 4" xfId="13910"/>
    <cellStyle name="Input 17 2 4 2" xfId="13911"/>
    <cellStyle name="Input 17 2 4 3" xfId="13912"/>
    <cellStyle name="Input 17 2 4 4" xfId="13913"/>
    <cellStyle name="Input 17 2 5" xfId="13914"/>
    <cellStyle name="Input 17 2 6" xfId="13915"/>
    <cellStyle name="Input 17 2 7" xfId="13916"/>
    <cellStyle name="Input 17 2 8" xfId="13917"/>
    <cellStyle name="Input 17 2 9" xfId="13918"/>
    <cellStyle name="Input 17 3" xfId="13919"/>
    <cellStyle name="Input 17 3 10" xfId="13920"/>
    <cellStyle name="Input 17 3 11" xfId="13921"/>
    <cellStyle name="Input 17 3 12" xfId="13922"/>
    <cellStyle name="Input 17 3 13" xfId="13923"/>
    <cellStyle name="Input 17 3 14" xfId="13924"/>
    <cellStyle name="Input 17 3 15" xfId="13925"/>
    <cellStyle name="Input 17 3 16" xfId="13926"/>
    <cellStyle name="Input 17 3 17" xfId="13927"/>
    <cellStyle name="Input 17 3 18" xfId="13928"/>
    <cellStyle name="Input 17 3 2" xfId="13929"/>
    <cellStyle name="Input 17 3 2 10" xfId="13930"/>
    <cellStyle name="Input 17 3 2 11" xfId="13931"/>
    <cellStyle name="Input 17 3 2 12" xfId="13932"/>
    <cellStyle name="Input 17 3 2 13" xfId="13933"/>
    <cellStyle name="Input 17 3 2 14" xfId="13934"/>
    <cellStyle name="Input 17 3 2 15" xfId="13935"/>
    <cellStyle name="Input 17 3 2 16" xfId="13936"/>
    <cellStyle name="Input 17 3 2 2" xfId="13937"/>
    <cellStyle name="Input 17 3 2 2 2" xfId="13938"/>
    <cellStyle name="Input 17 3 2 2 3" xfId="13939"/>
    <cellStyle name="Input 17 3 2 2 4" xfId="13940"/>
    <cellStyle name="Input 17 3 2 3" xfId="13941"/>
    <cellStyle name="Input 17 3 2 4" xfId="13942"/>
    <cellStyle name="Input 17 3 2 5" xfId="13943"/>
    <cellStyle name="Input 17 3 2 6" xfId="13944"/>
    <cellStyle name="Input 17 3 2 7" xfId="13945"/>
    <cellStyle name="Input 17 3 2 8" xfId="13946"/>
    <cellStyle name="Input 17 3 2 9" xfId="13947"/>
    <cellStyle name="Input 17 3 3" xfId="13948"/>
    <cellStyle name="Input 17 3 3 10" xfId="13949"/>
    <cellStyle name="Input 17 3 3 11" xfId="13950"/>
    <cellStyle name="Input 17 3 3 12" xfId="13951"/>
    <cellStyle name="Input 17 3 3 13" xfId="13952"/>
    <cellStyle name="Input 17 3 3 14" xfId="13953"/>
    <cellStyle name="Input 17 3 3 15" xfId="13954"/>
    <cellStyle name="Input 17 3 3 16" xfId="13955"/>
    <cellStyle name="Input 17 3 3 2" xfId="13956"/>
    <cellStyle name="Input 17 3 3 2 2" xfId="13957"/>
    <cellStyle name="Input 17 3 3 2 3" xfId="13958"/>
    <cellStyle name="Input 17 3 3 2 4" xfId="13959"/>
    <cellStyle name="Input 17 3 3 3" xfId="13960"/>
    <cellStyle name="Input 17 3 3 4" xfId="13961"/>
    <cellStyle name="Input 17 3 3 5" xfId="13962"/>
    <cellStyle name="Input 17 3 3 6" xfId="13963"/>
    <cellStyle name="Input 17 3 3 7" xfId="13964"/>
    <cellStyle name="Input 17 3 3 8" xfId="13965"/>
    <cellStyle name="Input 17 3 3 9" xfId="13966"/>
    <cellStyle name="Input 17 3 4" xfId="13967"/>
    <cellStyle name="Input 17 3 4 2" xfId="13968"/>
    <cellStyle name="Input 17 3 4 3" xfId="13969"/>
    <cellStyle name="Input 17 3 4 4" xfId="13970"/>
    <cellStyle name="Input 17 3 5" xfId="13971"/>
    <cellStyle name="Input 17 3 6" xfId="13972"/>
    <cellStyle name="Input 17 3 7" xfId="13973"/>
    <cellStyle name="Input 17 3 8" xfId="13974"/>
    <cellStyle name="Input 17 3 9" xfId="13975"/>
    <cellStyle name="Input 17 4" xfId="13976"/>
    <cellStyle name="Input 17 4 10" xfId="13977"/>
    <cellStyle name="Input 17 4 11" xfId="13978"/>
    <cellStyle name="Input 17 4 12" xfId="13979"/>
    <cellStyle name="Input 17 4 13" xfId="13980"/>
    <cellStyle name="Input 17 4 14" xfId="13981"/>
    <cellStyle name="Input 17 4 15" xfId="13982"/>
    <cellStyle name="Input 17 4 16" xfId="13983"/>
    <cellStyle name="Input 17 4 17" xfId="13984"/>
    <cellStyle name="Input 17 4 18" xfId="13985"/>
    <cellStyle name="Input 17 4 2" xfId="13986"/>
    <cellStyle name="Input 17 4 2 10" xfId="13987"/>
    <cellStyle name="Input 17 4 2 11" xfId="13988"/>
    <cellStyle name="Input 17 4 2 12" xfId="13989"/>
    <cellStyle name="Input 17 4 2 13" xfId="13990"/>
    <cellStyle name="Input 17 4 2 14" xfId="13991"/>
    <cellStyle name="Input 17 4 2 15" xfId="13992"/>
    <cellStyle name="Input 17 4 2 16" xfId="13993"/>
    <cellStyle name="Input 17 4 2 2" xfId="13994"/>
    <cellStyle name="Input 17 4 2 2 2" xfId="13995"/>
    <cellStyle name="Input 17 4 2 2 3" xfId="13996"/>
    <cellStyle name="Input 17 4 2 2 4" xfId="13997"/>
    <cellStyle name="Input 17 4 2 3" xfId="13998"/>
    <cellStyle name="Input 17 4 2 4" xfId="13999"/>
    <cellStyle name="Input 17 4 2 5" xfId="14000"/>
    <cellStyle name="Input 17 4 2 6" xfId="14001"/>
    <cellStyle name="Input 17 4 2 7" xfId="14002"/>
    <cellStyle name="Input 17 4 2 8" xfId="14003"/>
    <cellStyle name="Input 17 4 2 9" xfId="14004"/>
    <cellStyle name="Input 17 4 3" xfId="14005"/>
    <cellStyle name="Input 17 4 3 10" xfId="14006"/>
    <cellStyle name="Input 17 4 3 11" xfId="14007"/>
    <cellStyle name="Input 17 4 3 12" xfId="14008"/>
    <cellStyle name="Input 17 4 3 13" xfId="14009"/>
    <cellStyle name="Input 17 4 3 14" xfId="14010"/>
    <cellStyle name="Input 17 4 3 15" xfId="14011"/>
    <cellStyle name="Input 17 4 3 16" xfId="14012"/>
    <cellStyle name="Input 17 4 3 2" xfId="14013"/>
    <cellStyle name="Input 17 4 3 2 2" xfId="14014"/>
    <cellStyle name="Input 17 4 3 2 3" xfId="14015"/>
    <cellStyle name="Input 17 4 3 2 4" xfId="14016"/>
    <cellStyle name="Input 17 4 3 3" xfId="14017"/>
    <cellStyle name="Input 17 4 3 4" xfId="14018"/>
    <cellStyle name="Input 17 4 3 5" xfId="14019"/>
    <cellStyle name="Input 17 4 3 6" xfId="14020"/>
    <cellStyle name="Input 17 4 3 7" xfId="14021"/>
    <cellStyle name="Input 17 4 3 8" xfId="14022"/>
    <cellStyle name="Input 17 4 3 9" xfId="14023"/>
    <cellStyle name="Input 17 4 4" xfId="14024"/>
    <cellStyle name="Input 17 4 4 2" xfId="14025"/>
    <cellStyle name="Input 17 4 4 3" xfId="14026"/>
    <cellStyle name="Input 17 4 4 4" xfId="14027"/>
    <cellStyle name="Input 17 4 5" xfId="14028"/>
    <cellStyle name="Input 17 4 6" xfId="14029"/>
    <cellStyle name="Input 17 4 7" xfId="14030"/>
    <cellStyle name="Input 17 4 8" xfId="14031"/>
    <cellStyle name="Input 17 4 9" xfId="14032"/>
    <cellStyle name="Input 17 5" xfId="14033"/>
    <cellStyle name="Input 17 5 2" xfId="14034"/>
    <cellStyle name="Input 17 5 3" xfId="14035"/>
    <cellStyle name="Input 17 5 4" xfId="14036"/>
    <cellStyle name="Input 17 6" xfId="14037"/>
    <cellStyle name="Input 17 7" xfId="14038"/>
    <cellStyle name="Input 17 8" xfId="14039"/>
    <cellStyle name="Input 17 9" xfId="14040"/>
    <cellStyle name="Input 18" xfId="14041"/>
    <cellStyle name="Input 18 10" xfId="14042"/>
    <cellStyle name="Input 18 11" xfId="14043"/>
    <cellStyle name="Input 18 12" xfId="14044"/>
    <cellStyle name="Input 18 13" xfId="14045"/>
    <cellStyle name="Input 18 14" xfId="14046"/>
    <cellStyle name="Input 18 15" xfId="14047"/>
    <cellStyle name="Input 18 16" xfId="14048"/>
    <cellStyle name="Input 18 2" xfId="14049"/>
    <cellStyle name="Input 18 2 2" xfId="14050"/>
    <cellStyle name="Input 18 2 3" xfId="14051"/>
    <cellStyle name="Input 18 2 4" xfId="14052"/>
    <cellStyle name="Input 18 3" xfId="14053"/>
    <cellStyle name="Input 18 4" xfId="14054"/>
    <cellStyle name="Input 18 5" xfId="14055"/>
    <cellStyle name="Input 18 6" xfId="14056"/>
    <cellStyle name="Input 18 7" xfId="14057"/>
    <cellStyle name="Input 18 8" xfId="14058"/>
    <cellStyle name="Input 18 9" xfId="14059"/>
    <cellStyle name="Input 19" xfId="14060"/>
    <cellStyle name="Input 19 10" xfId="14061"/>
    <cellStyle name="Input 19 11" xfId="14062"/>
    <cellStyle name="Input 19 12" xfId="14063"/>
    <cellStyle name="Input 19 13" xfId="14064"/>
    <cellStyle name="Input 19 14" xfId="14065"/>
    <cellStyle name="Input 19 15" xfId="14066"/>
    <cellStyle name="Input 19 2" xfId="14067"/>
    <cellStyle name="Input 19 2 2" xfId="14068"/>
    <cellStyle name="Input 19 2 3" xfId="14069"/>
    <cellStyle name="Input 19 2 4" xfId="14070"/>
    <cellStyle name="Input 19 3" xfId="14071"/>
    <cellStyle name="Input 19 4" xfId="14072"/>
    <cellStyle name="Input 19 5" xfId="14073"/>
    <cellStyle name="Input 19 6" xfId="14074"/>
    <cellStyle name="Input 19 7" xfId="14075"/>
    <cellStyle name="Input 19 8" xfId="14076"/>
    <cellStyle name="Input 19 9" xfId="14077"/>
    <cellStyle name="Input 2" xfId="14078"/>
    <cellStyle name="Input 2 10" xfId="14079"/>
    <cellStyle name="Input 2 11" xfId="14080"/>
    <cellStyle name="Input 2 12" xfId="14081"/>
    <cellStyle name="Input 2 13" xfId="14082"/>
    <cellStyle name="Input 2 14" xfId="14083"/>
    <cellStyle name="Input 2 15" xfId="14084"/>
    <cellStyle name="Input 2 16" xfId="14085"/>
    <cellStyle name="Input 2 17" xfId="14086"/>
    <cellStyle name="Input 2 18" xfId="14087"/>
    <cellStyle name="Input 2 19" xfId="14088"/>
    <cellStyle name="Input 2 2" xfId="14089"/>
    <cellStyle name="Input 2 2 10" xfId="14090"/>
    <cellStyle name="Input 2 2 11" xfId="14091"/>
    <cellStyle name="Input 2 2 12" xfId="14092"/>
    <cellStyle name="Input 2 2 13" xfId="14093"/>
    <cellStyle name="Input 2 2 14" xfId="14094"/>
    <cellStyle name="Input 2 2 15" xfId="14095"/>
    <cellStyle name="Input 2 2 16" xfId="14096"/>
    <cellStyle name="Input 2 2 17" xfId="14097"/>
    <cellStyle name="Input 2 2 18" xfId="14098"/>
    <cellStyle name="Input 2 2 2" xfId="14099"/>
    <cellStyle name="Input 2 2 2 10" xfId="14100"/>
    <cellStyle name="Input 2 2 2 11" xfId="14101"/>
    <cellStyle name="Input 2 2 2 12" xfId="14102"/>
    <cellStyle name="Input 2 2 2 13" xfId="14103"/>
    <cellStyle name="Input 2 2 2 14" xfId="14104"/>
    <cellStyle name="Input 2 2 2 15" xfId="14105"/>
    <cellStyle name="Input 2 2 2 16" xfId="14106"/>
    <cellStyle name="Input 2 2 2 2" xfId="14107"/>
    <cellStyle name="Input 2 2 2 2 2" xfId="14108"/>
    <cellStyle name="Input 2 2 2 2 3" xfId="14109"/>
    <cellStyle name="Input 2 2 2 2 4" xfId="14110"/>
    <cellStyle name="Input 2 2 2 3" xfId="14111"/>
    <cellStyle name="Input 2 2 2 4" xfId="14112"/>
    <cellStyle name="Input 2 2 2 5" xfId="14113"/>
    <cellStyle name="Input 2 2 2 6" xfId="14114"/>
    <cellStyle name="Input 2 2 2 7" xfId="14115"/>
    <cellStyle name="Input 2 2 2 8" xfId="14116"/>
    <cellStyle name="Input 2 2 2 9" xfId="14117"/>
    <cellStyle name="Input 2 2 3" xfId="14118"/>
    <cellStyle name="Input 2 2 3 10" xfId="14119"/>
    <cellStyle name="Input 2 2 3 11" xfId="14120"/>
    <cellStyle name="Input 2 2 3 12" xfId="14121"/>
    <cellStyle name="Input 2 2 3 13" xfId="14122"/>
    <cellStyle name="Input 2 2 3 14" xfId="14123"/>
    <cellStyle name="Input 2 2 3 15" xfId="14124"/>
    <cellStyle name="Input 2 2 3 16" xfId="14125"/>
    <cellStyle name="Input 2 2 3 2" xfId="14126"/>
    <cellStyle name="Input 2 2 3 2 2" xfId="14127"/>
    <cellStyle name="Input 2 2 3 2 3" xfId="14128"/>
    <cellStyle name="Input 2 2 3 2 4" xfId="14129"/>
    <cellStyle name="Input 2 2 3 3" xfId="14130"/>
    <cellStyle name="Input 2 2 3 4" xfId="14131"/>
    <cellStyle name="Input 2 2 3 5" xfId="14132"/>
    <cellStyle name="Input 2 2 3 6" xfId="14133"/>
    <cellStyle name="Input 2 2 3 7" xfId="14134"/>
    <cellStyle name="Input 2 2 3 8" xfId="14135"/>
    <cellStyle name="Input 2 2 3 9" xfId="14136"/>
    <cellStyle name="Input 2 2 4" xfId="14137"/>
    <cellStyle name="Input 2 2 4 2" xfId="14138"/>
    <cellStyle name="Input 2 2 4 3" xfId="14139"/>
    <cellStyle name="Input 2 2 4 4" xfId="14140"/>
    <cellStyle name="Input 2 2 5" xfId="14141"/>
    <cellStyle name="Input 2 2 6" xfId="14142"/>
    <cellStyle name="Input 2 2 7" xfId="14143"/>
    <cellStyle name="Input 2 2 8" xfId="14144"/>
    <cellStyle name="Input 2 2 9" xfId="14145"/>
    <cellStyle name="Input 2 20" xfId="14146"/>
    <cellStyle name="Input 2 21" xfId="14147"/>
    <cellStyle name="Input 2 3" xfId="14148"/>
    <cellStyle name="Input 2 3 10" xfId="14149"/>
    <cellStyle name="Input 2 3 11" xfId="14150"/>
    <cellStyle name="Input 2 3 12" xfId="14151"/>
    <cellStyle name="Input 2 3 13" xfId="14152"/>
    <cellStyle name="Input 2 3 14" xfId="14153"/>
    <cellStyle name="Input 2 3 15" xfId="14154"/>
    <cellStyle name="Input 2 3 16" xfId="14155"/>
    <cellStyle name="Input 2 3 17" xfId="14156"/>
    <cellStyle name="Input 2 3 18" xfId="14157"/>
    <cellStyle name="Input 2 3 2" xfId="14158"/>
    <cellStyle name="Input 2 3 2 10" xfId="14159"/>
    <cellStyle name="Input 2 3 2 11" xfId="14160"/>
    <cellStyle name="Input 2 3 2 12" xfId="14161"/>
    <cellStyle name="Input 2 3 2 13" xfId="14162"/>
    <cellStyle name="Input 2 3 2 14" xfId="14163"/>
    <cellStyle name="Input 2 3 2 15" xfId="14164"/>
    <cellStyle name="Input 2 3 2 16" xfId="14165"/>
    <cellStyle name="Input 2 3 2 2" xfId="14166"/>
    <cellStyle name="Input 2 3 2 2 2" xfId="14167"/>
    <cellStyle name="Input 2 3 2 2 3" xfId="14168"/>
    <cellStyle name="Input 2 3 2 2 4" xfId="14169"/>
    <cellStyle name="Input 2 3 2 3" xfId="14170"/>
    <cellStyle name="Input 2 3 2 4" xfId="14171"/>
    <cellStyle name="Input 2 3 2 5" xfId="14172"/>
    <cellStyle name="Input 2 3 2 6" xfId="14173"/>
    <cellStyle name="Input 2 3 2 7" xfId="14174"/>
    <cellStyle name="Input 2 3 2 8" xfId="14175"/>
    <cellStyle name="Input 2 3 2 9" xfId="14176"/>
    <cellStyle name="Input 2 3 3" xfId="14177"/>
    <cellStyle name="Input 2 3 3 10" xfId="14178"/>
    <cellStyle name="Input 2 3 3 11" xfId="14179"/>
    <cellStyle name="Input 2 3 3 12" xfId="14180"/>
    <cellStyle name="Input 2 3 3 13" xfId="14181"/>
    <cellStyle name="Input 2 3 3 14" xfId="14182"/>
    <cellStyle name="Input 2 3 3 15" xfId="14183"/>
    <cellStyle name="Input 2 3 3 16" xfId="14184"/>
    <cellStyle name="Input 2 3 3 2" xfId="14185"/>
    <cellStyle name="Input 2 3 3 2 2" xfId="14186"/>
    <cellStyle name="Input 2 3 3 2 3" xfId="14187"/>
    <cellStyle name="Input 2 3 3 2 4" xfId="14188"/>
    <cellStyle name="Input 2 3 3 3" xfId="14189"/>
    <cellStyle name="Input 2 3 3 4" xfId="14190"/>
    <cellStyle name="Input 2 3 3 5" xfId="14191"/>
    <cellStyle name="Input 2 3 3 6" xfId="14192"/>
    <cellStyle name="Input 2 3 3 7" xfId="14193"/>
    <cellStyle name="Input 2 3 3 8" xfId="14194"/>
    <cellStyle name="Input 2 3 3 9" xfId="14195"/>
    <cellStyle name="Input 2 3 4" xfId="14196"/>
    <cellStyle name="Input 2 3 4 2" xfId="14197"/>
    <cellStyle name="Input 2 3 4 3" xfId="14198"/>
    <cellStyle name="Input 2 3 4 4" xfId="14199"/>
    <cellStyle name="Input 2 3 5" xfId="14200"/>
    <cellStyle name="Input 2 3 6" xfId="14201"/>
    <cellStyle name="Input 2 3 7" xfId="14202"/>
    <cellStyle name="Input 2 3 8" xfId="14203"/>
    <cellStyle name="Input 2 3 9" xfId="14204"/>
    <cellStyle name="Input 2 4" xfId="14205"/>
    <cellStyle name="Input 2 4 10" xfId="14206"/>
    <cellStyle name="Input 2 4 11" xfId="14207"/>
    <cellStyle name="Input 2 4 12" xfId="14208"/>
    <cellStyle name="Input 2 4 13" xfId="14209"/>
    <cellStyle name="Input 2 4 14" xfId="14210"/>
    <cellStyle name="Input 2 4 15" xfId="14211"/>
    <cellStyle name="Input 2 4 16" xfId="14212"/>
    <cellStyle name="Input 2 4 17" xfId="14213"/>
    <cellStyle name="Input 2 4 18" xfId="14214"/>
    <cellStyle name="Input 2 4 2" xfId="14215"/>
    <cellStyle name="Input 2 4 2 10" xfId="14216"/>
    <cellStyle name="Input 2 4 2 11" xfId="14217"/>
    <cellStyle name="Input 2 4 2 12" xfId="14218"/>
    <cellStyle name="Input 2 4 2 13" xfId="14219"/>
    <cellStyle name="Input 2 4 2 14" xfId="14220"/>
    <cellStyle name="Input 2 4 2 15" xfId="14221"/>
    <cellStyle name="Input 2 4 2 16" xfId="14222"/>
    <cellStyle name="Input 2 4 2 2" xfId="14223"/>
    <cellStyle name="Input 2 4 2 2 2" xfId="14224"/>
    <cellStyle name="Input 2 4 2 2 3" xfId="14225"/>
    <cellStyle name="Input 2 4 2 2 4" xfId="14226"/>
    <cellStyle name="Input 2 4 2 3" xfId="14227"/>
    <cellStyle name="Input 2 4 2 4" xfId="14228"/>
    <cellStyle name="Input 2 4 2 5" xfId="14229"/>
    <cellStyle name="Input 2 4 2 6" xfId="14230"/>
    <cellStyle name="Input 2 4 2 7" xfId="14231"/>
    <cellStyle name="Input 2 4 2 8" xfId="14232"/>
    <cellStyle name="Input 2 4 2 9" xfId="14233"/>
    <cellStyle name="Input 2 4 3" xfId="14234"/>
    <cellStyle name="Input 2 4 3 10" xfId="14235"/>
    <cellStyle name="Input 2 4 3 11" xfId="14236"/>
    <cellStyle name="Input 2 4 3 12" xfId="14237"/>
    <cellStyle name="Input 2 4 3 13" xfId="14238"/>
    <cellStyle name="Input 2 4 3 14" xfId="14239"/>
    <cellStyle name="Input 2 4 3 15" xfId="14240"/>
    <cellStyle name="Input 2 4 3 16" xfId="14241"/>
    <cellStyle name="Input 2 4 3 2" xfId="14242"/>
    <cellStyle name="Input 2 4 3 2 2" xfId="14243"/>
    <cellStyle name="Input 2 4 3 2 3" xfId="14244"/>
    <cellStyle name="Input 2 4 3 2 4" xfId="14245"/>
    <cellStyle name="Input 2 4 3 3" xfId="14246"/>
    <cellStyle name="Input 2 4 3 4" xfId="14247"/>
    <cellStyle name="Input 2 4 3 5" xfId="14248"/>
    <cellStyle name="Input 2 4 3 6" xfId="14249"/>
    <cellStyle name="Input 2 4 3 7" xfId="14250"/>
    <cellStyle name="Input 2 4 3 8" xfId="14251"/>
    <cellStyle name="Input 2 4 3 9" xfId="14252"/>
    <cellStyle name="Input 2 4 4" xfId="14253"/>
    <cellStyle name="Input 2 4 4 2" xfId="14254"/>
    <cellStyle name="Input 2 4 4 3" xfId="14255"/>
    <cellStyle name="Input 2 4 4 4" xfId="14256"/>
    <cellStyle name="Input 2 4 5" xfId="14257"/>
    <cellStyle name="Input 2 4 6" xfId="14258"/>
    <cellStyle name="Input 2 4 7" xfId="14259"/>
    <cellStyle name="Input 2 4 8" xfId="14260"/>
    <cellStyle name="Input 2 4 9" xfId="14261"/>
    <cellStyle name="Input 2 5" xfId="14262"/>
    <cellStyle name="Input 2 5 10" xfId="14263"/>
    <cellStyle name="Input 2 5 11" xfId="14264"/>
    <cellStyle name="Input 2 5 12" xfId="14265"/>
    <cellStyle name="Input 2 5 13" xfId="14266"/>
    <cellStyle name="Input 2 5 14" xfId="14267"/>
    <cellStyle name="Input 2 5 15" xfId="14268"/>
    <cellStyle name="Input 2 5 16" xfId="14269"/>
    <cellStyle name="Input 2 5 2" xfId="14270"/>
    <cellStyle name="Input 2 5 2 2" xfId="14271"/>
    <cellStyle name="Input 2 5 2 3" xfId="14272"/>
    <cellStyle name="Input 2 5 2 4" xfId="14273"/>
    <cellStyle name="Input 2 5 3" xfId="14274"/>
    <cellStyle name="Input 2 5 4" xfId="14275"/>
    <cellStyle name="Input 2 5 5" xfId="14276"/>
    <cellStyle name="Input 2 5 6" xfId="14277"/>
    <cellStyle name="Input 2 5 7" xfId="14278"/>
    <cellStyle name="Input 2 5 8" xfId="14279"/>
    <cellStyle name="Input 2 5 9" xfId="14280"/>
    <cellStyle name="Input 2 6" xfId="14281"/>
    <cellStyle name="Input 2 6 10" xfId="14282"/>
    <cellStyle name="Input 2 6 11" xfId="14283"/>
    <cellStyle name="Input 2 6 12" xfId="14284"/>
    <cellStyle name="Input 2 6 13" xfId="14285"/>
    <cellStyle name="Input 2 6 14" xfId="14286"/>
    <cellStyle name="Input 2 6 15" xfId="14287"/>
    <cellStyle name="Input 2 6 16" xfId="14288"/>
    <cellStyle name="Input 2 6 2" xfId="14289"/>
    <cellStyle name="Input 2 6 2 2" xfId="14290"/>
    <cellStyle name="Input 2 6 2 3" xfId="14291"/>
    <cellStyle name="Input 2 6 2 4" xfId="14292"/>
    <cellStyle name="Input 2 6 3" xfId="14293"/>
    <cellStyle name="Input 2 6 4" xfId="14294"/>
    <cellStyle name="Input 2 6 5" xfId="14295"/>
    <cellStyle name="Input 2 6 6" xfId="14296"/>
    <cellStyle name="Input 2 6 7" xfId="14297"/>
    <cellStyle name="Input 2 6 8" xfId="14298"/>
    <cellStyle name="Input 2 6 9" xfId="14299"/>
    <cellStyle name="Input 2 7" xfId="14300"/>
    <cellStyle name="Input 2 7 2" xfId="14301"/>
    <cellStyle name="Input 2 7 3" xfId="14302"/>
    <cellStyle name="Input 2 7 4" xfId="14303"/>
    <cellStyle name="Input 2 8" xfId="14304"/>
    <cellStyle name="Input 2 9" xfId="14305"/>
    <cellStyle name="Input 20" xfId="14306"/>
    <cellStyle name="Input 20 10" xfId="14307"/>
    <cellStyle name="Input 20 11" xfId="14308"/>
    <cellStyle name="Input 20 12" xfId="14309"/>
    <cellStyle name="Input 20 13" xfId="14310"/>
    <cellStyle name="Input 20 14" xfId="14311"/>
    <cellStyle name="Input 20 15" xfId="14312"/>
    <cellStyle name="Input 20 2" xfId="14313"/>
    <cellStyle name="Input 20 2 2" xfId="14314"/>
    <cellStyle name="Input 20 2 3" xfId="14315"/>
    <cellStyle name="Input 20 2 4" xfId="14316"/>
    <cellStyle name="Input 20 3" xfId="14317"/>
    <cellStyle name="Input 20 4" xfId="14318"/>
    <cellStyle name="Input 20 5" xfId="14319"/>
    <cellStyle name="Input 20 6" xfId="14320"/>
    <cellStyle name="Input 20 7" xfId="14321"/>
    <cellStyle name="Input 20 8" xfId="14322"/>
    <cellStyle name="Input 20 9" xfId="14323"/>
    <cellStyle name="Input 21" xfId="14324"/>
    <cellStyle name="Input 21 10" xfId="14325"/>
    <cellStyle name="Input 21 11" xfId="14326"/>
    <cellStyle name="Input 21 12" xfId="14327"/>
    <cellStyle name="Input 21 13" xfId="14328"/>
    <cellStyle name="Input 21 14" xfId="14329"/>
    <cellStyle name="Input 21 15" xfId="14330"/>
    <cellStyle name="Input 21 2" xfId="14331"/>
    <cellStyle name="Input 21 2 2" xfId="14332"/>
    <cellStyle name="Input 21 2 3" xfId="14333"/>
    <cellStyle name="Input 21 2 4" xfId="14334"/>
    <cellStyle name="Input 21 3" xfId="14335"/>
    <cellStyle name="Input 21 4" xfId="14336"/>
    <cellStyle name="Input 21 5" xfId="14337"/>
    <cellStyle name="Input 21 6" xfId="14338"/>
    <cellStyle name="Input 21 7" xfId="14339"/>
    <cellStyle name="Input 21 8" xfId="14340"/>
    <cellStyle name="Input 21 9" xfId="14341"/>
    <cellStyle name="Input 22" xfId="14342"/>
    <cellStyle name="Input 22 10" xfId="14343"/>
    <cellStyle name="Input 22 11" xfId="14344"/>
    <cellStyle name="Input 22 12" xfId="14345"/>
    <cellStyle name="Input 22 13" xfId="14346"/>
    <cellStyle name="Input 22 14" xfId="14347"/>
    <cellStyle name="Input 22 15" xfId="14348"/>
    <cellStyle name="Input 22 2" xfId="14349"/>
    <cellStyle name="Input 22 2 2" xfId="14350"/>
    <cellStyle name="Input 22 2 3" xfId="14351"/>
    <cellStyle name="Input 22 2 4" xfId="14352"/>
    <cellStyle name="Input 22 3" xfId="14353"/>
    <cellStyle name="Input 22 4" xfId="14354"/>
    <cellStyle name="Input 22 5" xfId="14355"/>
    <cellStyle name="Input 22 6" xfId="14356"/>
    <cellStyle name="Input 22 7" xfId="14357"/>
    <cellStyle name="Input 22 8" xfId="14358"/>
    <cellStyle name="Input 22 9" xfId="14359"/>
    <cellStyle name="Input 23" xfId="14360"/>
    <cellStyle name="Input 23 10" xfId="14361"/>
    <cellStyle name="Input 23 11" xfId="14362"/>
    <cellStyle name="Input 23 12" xfId="14363"/>
    <cellStyle name="Input 23 13" xfId="14364"/>
    <cellStyle name="Input 23 14" xfId="14365"/>
    <cellStyle name="Input 23 15" xfId="14366"/>
    <cellStyle name="Input 23 16" xfId="14367"/>
    <cellStyle name="Input 23 2" xfId="14368"/>
    <cellStyle name="Input 23 2 2" xfId="14369"/>
    <cellStyle name="Input 23 2 3" xfId="14370"/>
    <cellStyle name="Input 23 2 4" xfId="14371"/>
    <cellStyle name="Input 23 3" xfId="14372"/>
    <cellStyle name="Input 23 4" xfId="14373"/>
    <cellStyle name="Input 23 5" xfId="14374"/>
    <cellStyle name="Input 23 6" xfId="14375"/>
    <cellStyle name="Input 23 7" xfId="14376"/>
    <cellStyle name="Input 23 8" xfId="14377"/>
    <cellStyle name="Input 23 9" xfId="14378"/>
    <cellStyle name="Input 24" xfId="14379"/>
    <cellStyle name="Input 24 10" xfId="14380"/>
    <cellStyle name="Input 24 11" xfId="14381"/>
    <cellStyle name="Input 24 12" xfId="14382"/>
    <cellStyle name="Input 24 13" xfId="14383"/>
    <cellStyle name="Input 24 14" xfId="14384"/>
    <cellStyle name="Input 24 15" xfId="14385"/>
    <cellStyle name="Input 24 2" xfId="14386"/>
    <cellStyle name="Input 24 2 2" xfId="14387"/>
    <cellStyle name="Input 24 2 3" xfId="14388"/>
    <cellStyle name="Input 24 2 4" xfId="14389"/>
    <cellStyle name="Input 24 3" xfId="14390"/>
    <cellStyle name="Input 24 4" xfId="14391"/>
    <cellStyle name="Input 24 5" xfId="14392"/>
    <cellStyle name="Input 24 6" xfId="14393"/>
    <cellStyle name="Input 24 7" xfId="14394"/>
    <cellStyle name="Input 24 8" xfId="14395"/>
    <cellStyle name="Input 24 9" xfId="14396"/>
    <cellStyle name="Input 25" xfId="14397"/>
    <cellStyle name="Input 25 10" xfId="14398"/>
    <cellStyle name="Input 25 11" xfId="14399"/>
    <cellStyle name="Input 25 12" xfId="14400"/>
    <cellStyle name="Input 25 13" xfId="14401"/>
    <cellStyle name="Input 25 14" xfId="14402"/>
    <cellStyle name="Input 25 15" xfId="14403"/>
    <cellStyle name="Input 25 2" xfId="14404"/>
    <cellStyle name="Input 25 2 2" xfId="14405"/>
    <cellStyle name="Input 25 2 3" xfId="14406"/>
    <cellStyle name="Input 25 2 4" xfId="14407"/>
    <cellStyle name="Input 25 3" xfId="14408"/>
    <cellStyle name="Input 25 4" xfId="14409"/>
    <cellStyle name="Input 25 5" xfId="14410"/>
    <cellStyle name="Input 25 6" xfId="14411"/>
    <cellStyle name="Input 25 7" xfId="14412"/>
    <cellStyle name="Input 25 8" xfId="14413"/>
    <cellStyle name="Input 25 9" xfId="14414"/>
    <cellStyle name="Input 26" xfId="14415"/>
    <cellStyle name="Input 26 10" xfId="14416"/>
    <cellStyle name="Input 26 11" xfId="14417"/>
    <cellStyle name="Input 26 12" xfId="14418"/>
    <cellStyle name="Input 26 13" xfId="14419"/>
    <cellStyle name="Input 26 14" xfId="14420"/>
    <cellStyle name="Input 26 15" xfId="14421"/>
    <cellStyle name="Input 26 2" xfId="14422"/>
    <cellStyle name="Input 26 2 2" xfId="14423"/>
    <cellStyle name="Input 26 2 3" xfId="14424"/>
    <cellStyle name="Input 26 2 4" xfId="14425"/>
    <cellStyle name="Input 26 3" xfId="14426"/>
    <cellStyle name="Input 26 4" xfId="14427"/>
    <cellStyle name="Input 26 5" xfId="14428"/>
    <cellStyle name="Input 26 6" xfId="14429"/>
    <cellStyle name="Input 26 7" xfId="14430"/>
    <cellStyle name="Input 26 8" xfId="14431"/>
    <cellStyle name="Input 26 9" xfId="14432"/>
    <cellStyle name="Input 27" xfId="14433"/>
    <cellStyle name="Input 27 10" xfId="14434"/>
    <cellStyle name="Input 27 11" xfId="14435"/>
    <cellStyle name="Input 27 12" xfId="14436"/>
    <cellStyle name="Input 27 13" xfId="14437"/>
    <cellStyle name="Input 27 14" xfId="14438"/>
    <cellStyle name="Input 27 15" xfId="14439"/>
    <cellStyle name="Input 27 2" xfId="14440"/>
    <cellStyle name="Input 27 2 2" xfId="14441"/>
    <cellStyle name="Input 27 2 3" xfId="14442"/>
    <cellStyle name="Input 27 2 4" xfId="14443"/>
    <cellStyle name="Input 27 3" xfId="14444"/>
    <cellStyle name="Input 27 4" xfId="14445"/>
    <cellStyle name="Input 27 5" xfId="14446"/>
    <cellStyle name="Input 27 6" xfId="14447"/>
    <cellStyle name="Input 27 7" xfId="14448"/>
    <cellStyle name="Input 27 8" xfId="14449"/>
    <cellStyle name="Input 27 9" xfId="14450"/>
    <cellStyle name="Input 3" xfId="14451"/>
    <cellStyle name="Input 3 10" xfId="14452"/>
    <cellStyle name="Input 3 11" xfId="14453"/>
    <cellStyle name="Input 3 12" xfId="14454"/>
    <cellStyle name="Input 3 13" xfId="14455"/>
    <cellStyle name="Input 3 14" xfId="14456"/>
    <cellStyle name="Input 3 15" xfId="14457"/>
    <cellStyle name="Input 3 16" xfId="14458"/>
    <cellStyle name="Input 3 17" xfId="14459"/>
    <cellStyle name="Input 3 18" xfId="14460"/>
    <cellStyle name="Input 3 19" xfId="14461"/>
    <cellStyle name="Input 3 2" xfId="14462"/>
    <cellStyle name="Input 3 2 10" xfId="14463"/>
    <cellStyle name="Input 3 2 11" xfId="14464"/>
    <cellStyle name="Input 3 2 12" xfId="14465"/>
    <cellStyle name="Input 3 2 13" xfId="14466"/>
    <cellStyle name="Input 3 2 14" xfId="14467"/>
    <cellStyle name="Input 3 2 15" xfId="14468"/>
    <cellStyle name="Input 3 2 16" xfId="14469"/>
    <cellStyle name="Input 3 2 17" xfId="14470"/>
    <cellStyle name="Input 3 2 18" xfId="14471"/>
    <cellStyle name="Input 3 2 2" xfId="14472"/>
    <cellStyle name="Input 3 2 2 10" xfId="14473"/>
    <cellStyle name="Input 3 2 2 11" xfId="14474"/>
    <cellStyle name="Input 3 2 2 12" xfId="14475"/>
    <cellStyle name="Input 3 2 2 13" xfId="14476"/>
    <cellStyle name="Input 3 2 2 14" xfId="14477"/>
    <cellStyle name="Input 3 2 2 15" xfId="14478"/>
    <cellStyle name="Input 3 2 2 16" xfId="14479"/>
    <cellStyle name="Input 3 2 2 2" xfId="14480"/>
    <cellStyle name="Input 3 2 2 2 2" xfId="14481"/>
    <cellStyle name="Input 3 2 2 2 3" xfId="14482"/>
    <cellStyle name="Input 3 2 2 2 4" xfId="14483"/>
    <cellStyle name="Input 3 2 2 3" xfId="14484"/>
    <cellStyle name="Input 3 2 2 4" xfId="14485"/>
    <cellStyle name="Input 3 2 2 5" xfId="14486"/>
    <cellStyle name="Input 3 2 2 6" xfId="14487"/>
    <cellStyle name="Input 3 2 2 7" xfId="14488"/>
    <cellStyle name="Input 3 2 2 8" xfId="14489"/>
    <cellStyle name="Input 3 2 2 9" xfId="14490"/>
    <cellStyle name="Input 3 2 3" xfId="14491"/>
    <cellStyle name="Input 3 2 3 10" xfId="14492"/>
    <cellStyle name="Input 3 2 3 11" xfId="14493"/>
    <cellStyle name="Input 3 2 3 12" xfId="14494"/>
    <cellStyle name="Input 3 2 3 13" xfId="14495"/>
    <cellStyle name="Input 3 2 3 14" xfId="14496"/>
    <cellStyle name="Input 3 2 3 15" xfId="14497"/>
    <cellStyle name="Input 3 2 3 16" xfId="14498"/>
    <cellStyle name="Input 3 2 3 2" xfId="14499"/>
    <cellStyle name="Input 3 2 3 2 2" xfId="14500"/>
    <cellStyle name="Input 3 2 3 2 3" xfId="14501"/>
    <cellStyle name="Input 3 2 3 2 4" xfId="14502"/>
    <cellStyle name="Input 3 2 3 3" xfId="14503"/>
    <cellStyle name="Input 3 2 3 4" xfId="14504"/>
    <cellStyle name="Input 3 2 3 5" xfId="14505"/>
    <cellStyle name="Input 3 2 3 6" xfId="14506"/>
    <cellStyle name="Input 3 2 3 7" xfId="14507"/>
    <cellStyle name="Input 3 2 3 8" xfId="14508"/>
    <cellStyle name="Input 3 2 3 9" xfId="14509"/>
    <cellStyle name="Input 3 2 4" xfId="14510"/>
    <cellStyle name="Input 3 2 4 2" xfId="14511"/>
    <cellStyle name="Input 3 2 4 3" xfId="14512"/>
    <cellStyle name="Input 3 2 4 4" xfId="14513"/>
    <cellStyle name="Input 3 2 5" xfId="14514"/>
    <cellStyle name="Input 3 2 6" xfId="14515"/>
    <cellStyle name="Input 3 2 7" xfId="14516"/>
    <cellStyle name="Input 3 2 8" xfId="14517"/>
    <cellStyle name="Input 3 2 9" xfId="14518"/>
    <cellStyle name="Input 3 20" xfId="14519"/>
    <cellStyle name="Input 3 21" xfId="14520"/>
    <cellStyle name="Input 3 3" xfId="14521"/>
    <cellStyle name="Input 3 3 10" xfId="14522"/>
    <cellStyle name="Input 3 3 11" xfId="14523"/>
    <cellStyle name="Input 3 3 12" xfId="14524"/>
    <cellStyle name="Input 3 3 13" xfId="14525"/>
    <cellStyle name="Input 3 3 14" xfId="14526"/>
    <cellStyle name="Input 3 3 15" xfId="14527"/>
    <cellStyle name="Input 3 3 16" xfId="14528"/>
    <cellStyle name="Input 3 3 17" xfId="14529"/>
    <cellStyle name="Input 3 3 18" xfId="14530"/>
    <cellStyle name="Input 3 3 2" xfId="14531"/>
    <cellStyle name="Input 3 3 2 10" xfId="14532"/>
    <cellStyle name="Input 3 3 2 11" xfId="14533"/>
    <cellStyle name="Input 3 3 2 12" xfId="14534"/>
    <cellStyle name="Input 3 3 2 13" xfId="14535"/>
    <cellStyle name="Input 3 3 2 14" xfId="14536"/>
    <cellStyle name="Input 3 3 2 15" xfId="14537"/>
    <cellStyle name="Input 3 3 2 16" xfId="14538"/>
    <cellStyle name="Input 3 3 2 2" xfId="14539"/>
    <cellStyle name="Input 3 3 2 2 2" xfId="14540"/>
    <cellStyle name="Input 3 3 2 2 3" xfId="14541"/>
    <cellStyle name="Input 3 3 2 2 4" xfId="14542"/>
    <cellStyle name="Input 3 3 2 3" xfId="14543"/>
    <cellStyle name="Input 3 3 2 4" xfId="14544"/>
    <cellStyle name="Input 3 3 2 5" xfId="14545"/>
    <cellStyle name="Input 3 3 2 6" xfId="14546"/>
    <cellStyle name="Input 3 3 2 7" xfId="14547"/>
    <cellStyle name="Input 3 3 2 8" xfId="14548"/>
    <cellStyle name="Input 3 3 2 9" xfId="14549"/>
    <cellStyle name="Input 3 3 3" xfId="14550"/>
    <cellStyle name="Input 3 3 3 10" xfId="14551"/>
    <cellStyle name="Input 3 3 3 11" xfId="14552"/>
    <cellStyle name="Input 3 3 3 12" xfId="14553"/>
    <cellStyle name="Input 3 3 3 13" xfId="14554"/>
    <cellStyle name="Input 3 3 3 14" xfId="14555"/>
    <cellStyle name="Input 3 3 3 15" xfId="14556"/>
    <cellStyle name="Input 3 3 3 16" xfId="14557"/>
    <cellStyle name="Input 3 3 3 2" xfId="14558"/>
    <cellStyle name="Input 3 3 3 2 2" xfId="14559"/>
    <cellStyle name="Input 3 3 3 2 3" xfId="14560"/>
    <cellStyle name="Input 3 3 3 2 4" xfId="14561"/>
    <cellStyle name="Input 3 3 3 3" xfId="14562"/>
    <cellStyle name="Input 3 3 3 4" xfId="14563"/>
    <cellStyle name="Input 3 3 3 5" xfId="14564"/>
    <cellStyle name="Input 3 3 3 6" xfId="14565"/>
    <cellStyle name="Input 3 3 3 7" xfId="14566"/>
    <cellStyle name="Input 3 3 3 8" xfId="14567"/>
    <cellStyle name="Input 3 3 3 9" xfId="14568"/>
    <cellStyle name="Input 3 3 4" xfId="14569"/>
    <cellStyle name="Input 3 3 4 2" xfId="14570"/>
    <cellStyle name="Input 3 3 4 3" xfId="14571"/>
    <cellStyle name="Input 3 3 4 4" xfId="14572"/>
    <cellStyle name="Input 3 3 5" xfId="14573"/>
    <cellStyle name="Input 3 3 6" xfId="14574"/>
    <cellStyle name="Input 3 3 7" xfId="14575"/>
    <cellStyle name="Input 3 3 8" xfId="14576"/>
    <cellStyle name="Input 3 3 9" xfId="14577"/>
    <cellStyle name="Input 3 4" xfId="14578"/>
    <cellStyle name="Input 3 4 10" xfId="14579"/>
    <cellStyle name="Input 3 4 11" xfId="14580"/>
    <cellStyle name="Input 3 4 12" xfId="14581"/>
    <cellStyle name="Input 3 4 13" xfId="14582"/>
    <cellStyle name="Input 3 4 14" xfId="14583"/>
    <cellStyle name="Input 3 4 15" xfId="14584"/>
    <cellStyle name="Input 3 4 16" xfId="14585"/>
    <cellStyle name="Input 3 4 17" xfId="14586"/>
    <cellStyle name="Input 3 4 18" xfId="14587"/>
    <cellStyle name="Input 3 4 2" xfId="14588"/>
    <cellStyle name="Input 3 4 2 10" xfId="14589"/>
    <cellStyle name="Input 3 4 2 11" xfId="14590"/>
    <cellStyle name="Input 3 4 2 12" xfId="14591"/>
    <cellStyle name="Input 3 4 2 13" xfId="14592"/>
    <cellStyle name="Input 3 4 2 14" xfId="14593"/>
    <cellStyle name="Input 3 4 2 15" xfId="14594"/>
    <cellStyle name="Input 3 4 2 16" xfId="14595"/>
    <cellStyle name="Input 3 4 2 2" xfId="14596"/>
    <cellStyle name="Input 3 4 2 2 2" xfId="14597"/>
    <cellStyle name="Input 3 4 2 2 3" xfId="14598"/>
    <cellStyle name="Input 3 4 2 2 4" xfId="14599"/>
    <cellStyle name="Input 3 4 2 3" xfId="14600"/>
    <cellStyle name="Input 3 4 2 4" xfId="14601"/>
    <cellStyle name="Input 3 4 2 5" xfId="14602"/>
    <cellStyle name="Input 3 4 2 6" xfId="14603"/>
    <cellStyle name="Input 3 4 2 7" xfId="14604"/>
    <cellStyle name="Input 3 4 2 8" xfId="14605"/>
    <cellStyle name="Input 3 4 2 9" xfId="14606"/>
    <cellStyle name="Input 3 4 3" xfId="14607"/>
    <cellStyle name="Input 3 4 3 10" xfId="14608"/>
    <cellStyle name="Input 3 4 3 11" xfId="14609"/>
    <cellStyle name="Input 3 4 3 12" xfId="14610"/>
    <cellStyle name="Input 3 4 3 13" xfId="14611"/>
    <cellStyle name="Input 3 4 3 14" xfId="14612"/>
    <cellStyle name="Input 3 4 3 15" xfId="14613"/>
    <cellStyle name="Input 3 4 3 16" xfId="14614"/>
    <cellStyle name="Input 3 4 3 2" xfId="14615"/>
    <cellStyle name="Input 3 4 3 2 2" xfId="14616"/>
    <cellStyle name="Input 3 4 3 2 3" xfId="14617"/>
    <cellStyle name="Input 3 4 3 2 4" xfId="14618"/>
    <cellStyle name="Input 3 4 3 3" xfId="14619"/>
    <cellStyle name="Input 3 4 3 4" xfId="14620"/>
    <cellStyle name="Input 3 4 3 5" xfId="14621"/>
    <cellStyle name="Input 3 4 3 6" xfId="14622"/>
    <cellStyle name="Input 3 4 3 7" xfId="14623"/>
    <cellStyle name="Input 3 4 3 8" xfId="14624"/>
    <cellStyle name="Input 3 4 3 9" xfId="14625"/>
    <cellStyle name="Input 3 4 4" xfId="14626"/>
    <cellStyle name="Input 3 4 4 2" xfId="14627"/>
    <cellStyle name="Input 3 4 4 3" xfId="14628"/>
    <cellStyle name="Input 3 4 4 4" xfId="14629"/>
    <cellStyle name="Input 3 4 5" xfId="14630"/>
    <cellStyle name="Input 3 4 6" xfId="14631"/>
    <cellStyle name="Input 3 4 7" xfId="14632"/>
    <cellStyle name="Input 3 4 8" xfId="14633"/>
    <cellStyle name="Input 3 4 9" xfId="14634"/>
    <cellStyle name="Input 3 5" xfId="14635"/>
    <cellStyle name="Input 3 5 10" xfId="14636"/>
    <cellStyle name="Input 3 5 11" xfId="14637"/>
    <cellStyle name="Input 3 5 12" xfId="14638"/>
    <cellStyle name="Input 3 5 13" xfId="14639"/>
    <cellStyle name="Input 3 5 14" xfId="14640"/>
    <cellStyle name="Input 3 5 15" xfId="14641"/>
    <cellStyle name="Input 3 5 16" xfId="14642"/>
    <cellStyle name="Input 3 5 2" xfId="14643"/>
    <cellStyle name="Input 3 5 2 2" xfId="14644"/>
    <cellStyle name="Input 3 5 2 3" xfId="14645"/>
    <cellStyle name="Input 3 5 2 4" xfId="14646"/>
    <cellStyle name="Input 3 5 3" xfId="14647"/>
    <cellStyle name="Input 3 5 4" xfId="14648"/>
    <cellStyle name="Input 3 5 5" xfId="14649"/>
    <cellStyle name="Input 3 5 6" xfId="14650"/>
    <cellStyle name="Input 3 5 7" xfId="14651"/>
    <cellStyle name="Input 3 5 8" xfId="14652"/>
    <cellStyle name="Input 3 5 9" xfId="14653"/>
    <cellStyle name="Input 3 6" xfId="14654"/>
    <cellStyle name="Input 3 6 10" xfId="14655"/>
    <cellStyle name="Input 3 6 11" xfId="14656"/>
    <cellStyle name="Input 3 6 12" xfId="14657"/>
    <cellStyle name="Input 3 6 13" xfId="14658"/>
    <cellStyle name="Input 3 6 14" xfId="14659"/>
    <cellStyle name="Input 3 6 15" xfId="14660"/>
    <cellStyle name="Input 3 6 16" xfId="14661"/>
    <cellStyle name="Input 3 6 2" xfId="14662"/>
    <cellStyle name="Input 3 6 2 2" xfId="14663"/>
    <cellStyle name="Input 3 6 2 3" xfId="14664"/>
    <cellStyle name="Input 3 6 2 4" xfId="14665"/>
    <cellStyle name="Input 3 6 3" xfId="14666"/>
    <cellStyle name="Input 3 6 4" xfId="14667"/>
    <cellStyle name="Input 3 6 5" xfId="14668"/>
    <cellStyle name="Input 3 6 6" xfId="14669"/>
    <cellStyle name="Input 3 6 7" xfId="14670"/>
    <cellStyle name="Input 3 6 8" xfId="14671"/>
    <cellStyle name="Input 3 6 9" xfId="14672"/>
    <cellStyle name="Input 3 7" xfId="14673"/>
    <cellStyle name="Input 3 7 2" xfId="14674"/>
    <cellStyle name="Input 3 7 3" xfId="14675"/>
    <cellStyle name="Input 3 7 4" xfId="14676"/>
    <cellStyle name="Input 3 8" xfId="14677"/>
    <cellStyle name="Input 3 9" xfId="14678"/>
    <cellStyle name="Input 4" xfId="14679"/>
    <cellStyle name="Input 4 10" xfId="14680"/>
    <cellStyle name="Input 4 11" xfId="14681"/>
    <cellStyle name="Input 4 12" xfId="14682"/>
    <cellStyle name="Input 4 13" xfId="14683"/>
    <cellStyle name="Input 4 14" xfId="14684"/>
    <cellStyle name="Input 4 15" xfId="14685"/>
    <cellStyle name="Input 4 16" xfId="14686"/>
    <cellStyle name="Input 4 17" xfId="14687"/>
    <cellStyle name="Input 4 18" xfId="14688"/>
    <cellStyle name="Input 4 19" xfId="14689"/>
    <cellStyle name="Input 4 2" xfId="14690"/>
    <cellStyle name="Input 4 2 10" xfId="14691"/>
    <cellStyle name="Input 4 2 11" xfId="14692"/>
    <cellStyle name="Input 4 2 12" xfId="14693"/>
    <cellStyle name="Input 4 2 13" xfId="14694"/>
    <cellStyle name="Input 4 2 14" xfId="14695"/>
    <cellStyle name="Input 4 2 15" xfId="14696"/>
    <cellStyle name="Input 4 2 16" xfId="14697"/>
    <cellStyle name="Input 4 2 17" xfId="14698"/>
    <cellStyle name="Input 4 2 18" xfId="14699"/>
    <cellStyle name="Input 4 2 2" xfId="14700"/>
    <cellStyle name="Input 4 2 2 10" xfId="14701"/>
    <cellStyle name="Input 4 2 2 11" xfId="14702"/>
    <cellStyle name="Input 4 2 2 12" xfId="14703"/>
    <cellStyle name="Input 4 2 2 13" xfId="14704"/>
    <cellStyle name="Input 4 2 2 14" xfId="14705"/>
    <cellStyle name="Input 4 2 2 15" xfId="14706"/>
    <cellStyle name="Input 4 2 2 16" xfId="14707"/>
    <cellStyle name="Input 4 2 2 2" xfId="14708"/>
    <cellStyle name="Input 4 2 2 2 2" xfId="14709"/>
    <cellStyle name="Input 4 2 2 2 3" xfId="14710"/>
    <cellStyle name="Input 4 2 2 2 4" xfId="14711"/>
    <cellStyle name="Input 4 2 2 3" xfId="14712"/>
    <cellStyle name="Input 4 2 2 4" xfId="14713"/>
    <cellStyle name="Input 4 2 2 5" xfId="14714"/>
    <cellStyle name="Input 4 2 2 6" xfId="14715"/>
    <cellStyle name="Input 4 2 2 7" xfId="14716"/>
    <cellStyle name="Input 4 2 2 8" xfId="14717"/>
    <cellStyle name="Input 4 2 2 9" xfId="14718"/>
    <cellStyle name="Input 4 2 3" xfId="14719"/>
    <cellStyle name="Input 4 2 3 10" xfId="14720"/>
    <cellStyle name="Input 4 2 3 11" xfId="14721"/>
    <cellStyle name="Input 4 2 3 12" xfId="14722"/>
    <cellStyle name="Input 4 2 3 13" xfId="14723"/>
    <cellStyle name="Input 4 2 3 14" xfId="14724"/>
    <cellStyle name="Input 4 2 3 15" xfId="14725"/>
    <cellStyle name="Input 4 2 3 16" xfId="14726"/>
    <cellStyle name="Input 4 2 3 2" xfId="14727"/>
    <cellStyle name="Input 4 2 3 2 2" xfId="14728"/>
    <cellStyle name="Input 4 2 3 2 3" xfId="14729"/>
    <cellStyle name="Input 4 2 3 2 4" xfId="14730"/>
    <cellStyle name="Input 4 2 3 3" xfId="14731"/>
    <cellStyle name="Input 4 2 3 4" xfId="14732"/>
    <cellStyle name="Input 4 2 3 5" xfId="14733"/>
    <cellStyle name="Input 4 2 3 6" xfId="14734"/>
    <cellStyle name="Input 4 2 3 7" xfId="14735"/>
    <cellStyle name="Input 4 2 3 8" xfId="14736"/>
    <cellStyle name="Input 4 2 3 9" xfId="14737"/>
    <cellStyle name="Input 4 2 4" xfId="14738"/>
    <cellStyle name="Input 4 2 4 2" xfId="14739"/>
    <cellStyle name="Input 4 2 4 3" xfId="14740"/>
    <cellStyle name="Input 4 2 4 4" xfId="14741"/>
    <cellStyle name="Input 4 2 5" xfId="14742"/>
    <cellStyle name="Input 4 2 6" xfId="14743"/>
    <cellStyle name="Input 4 2 7" xfId="14744"/>
    <cellStyle name="Input 4 2 8" xfId="14745"/>
    <cellStyle name="Input 4 2 9" xfId="14746"/>
    <cellStyle name="Input 4 20" xfId="14747"/>
    <cellStyle name="Input 4 21" xfId="14748"/>
    <cellStyle name="Input 4 3" xfId="14749"/>
    <cellStyle name="Input 4 3 10" xfId="14750"/>
    <cellStyle name="Input 4 3 11" xfId="14751"/>
    <cellStyle name="Input 4 3 12" xfId="14752"/>
    <cellStyle name="Input 4 3 13" xfId="14753"/>
    <cellStyle name="Input 4 3 14" xfId="14754"/>
    <cellStyle name="Input 4 3 15" xfId="14755"/>
    <cellStyle name="Input 4 3 16" xfId="14756"/>
    <cellStyle name="Input 4 3 17" xfId="14757"/>
    <cellStyle name="Input 4 3 18" xfId="14758"/>
    <cellStyle name="Input 4 3 2" xfId="14759"/>
    <cellStyle name="Input 4 3 2 10" xfId="14760"/>
    <cellStyle name="Input 4 3 2 11" xfId="14761"/>
    <cellStyle name="Input 4 3 2 12" xfId="14762"/>
    <cellStyle name="Input 4 3 2 13" xfId="14763"/>
    <cellStyle name="Input 4 3 2 14" xfId="14764"/>
    <cellStyle name="Input 4 3 2 15" xfId="14765"/>
    <cellStyle name="Input 4 3 2 16" xfId="14766"/>
    <cellStyle name="Input 4 3 2 2" xfId="14767"/>
    <cellStyle name="Input 4 3 2 2 2" xfId="14768"/>
    <cellStyle name="Input 4 3 2 2 3" xfId="14769"/>
    <cellStyle name="Input 4 3 2 2 4" xfId="14770"/>
    <cellStyle name="Input 4 3 2 3" xfId="14771"/>
    <cellStyle name="Input 4 3 2 4" xfId="14772"/>
    <cellStyle name="Input 4 3 2 5" xfId="14773"/>
    <cellStyle name="Input 4 3 2 6" xfId="14774"/>
    <cellStyle name="Input 4 3 2 7" xfId="14775"/>
    <cellStyle name="Input 4 3 2 8" xfId="14776"/>
    <cellStyle name="Input 4 3 2 9" xfId="14777"/>
    <cellStyle name="Input 4 3 3" xfId="14778"/>
    <cellStyle name="Input 4 3 3 10" xfId="14779"/>
    <cellStyle name="Input 4 3 3 11" xfId="14780"/>
    <cellStyle name="Input 4 3 3 12" xfId="14781"/>
    <cellStyle name="Input 4 3 3 13" xfId="14782"/>
    <cellStyle name="Input 4 3 3 14" xfId="14783"/>
    <cellStyle name="Input 4 3 3 15" xfId="14784"/>
    <cellStyle name="Input 4 3 3 16" xfId="14785"/>
    <cellStyle name="Input 4 3 3 2" xfId="14786"/>
    <cellStyle name="Input 4 3 3 2 2" xfId="14787"/>
    <cellStyle name="Input 4 3 3 2 3" xfId="14788"/>
    <cellStyle name="Input 4 3 3 2 4" xfId="14789"/>
    <cellStyle name="Input 4 3 3 3" xfId="14790"/>
    <cellStyle name="Input 4 3 3 4" xfId="14791"/>
    <cellStyle name="Input 4 3 3 5" xfId="14792"/>
    <cellStyle name="Input 4 3 3 6" xfId="14793"/>
    <cellStyle name="Input 4 3 3 7" xfId="14794"/>
    <cellStyle name="Input 4 3 3 8" xfId="14795"/>
    <cellStyle name="Input 4 3 3 9" xfId="14796"/>
    <cellStyle name="Input 4 3 4" xfId="14797"/>
    <cellStyle name="Input 4 3 4 2" xfId="14798"/>
    <cellStyle name="Input 4 3 4 3" xfId="14799"/>
    <cellStyle name="Input 4 3 4 4" xfId="14800"/>
    <cellStyle name="Input 4 3 5" xfId="14801"/>
    <cellStyle name="Input 4 3 6" xfId="14802"/>
    <cellStyle name="Input 4 3 7" xfId="14803"/>
    <cellStyle name="Input 4 3 8" xfId="14804"/>
    <cellStyle name="Input 4 3 9" xfId="14805"/>
    <cellStyle name="Input 4 4" xfId="14806"/>
    <cellStyle name="Input 4 4 10" xfId="14807"/>
    <cellStyle name="Input 4 4 11" xfId="14808"/>
    <cellStyle name="Input 4 4 12" xfId="14809"/>
    <cellStyle name="Input 4 4 13" xfId="14810"/>
    <cellStyle name="Input 4 4 14" xfId="14811"/>
    <cellStyle name="Input 4 4 15" xfId="14812"/>
    <cellStyle name="Input 4 4 16" xfId="14813"/>
    <cellStyle name="Input 4 4 17" xfId="14814"/>
    <cellStyle name="Input 4 4 18" xfId="14815"/>
    <cellStyle name="Input 4 4 2" xfId="14816"/>
    <cellStyle name="Input 4 4 2 10" xfId="14817"/>
    <cellStyle name="Input 4 4 2 11" xfId="14818"/>
    <cellStyle name="Input 4 4 2 12" xfId="14819"/>
    <cellStyle name="Input 4 4 2 13" xfId="14820"/>
    <cellStyle name="Input 4 4 2 14" xfId="14821"/>
    <cellStyle name="Input 4 4 2 15" xfId="14822"/>
    <cellStyle name="Input 4 4 2 16" xfId="14823"/>
    <cellStyle name="Input 4 4 2 2" xfId="14824"/>
    <cellStyle name="Input 4 4 2 2 2" xfId="14825"/>
    <cellStyle name="Input 4 4 2 2 3" xfId="14826"/>
    <cellStyle name="Input 4 4 2 2 4" xfId="14827"/>
    <cellStyle name="Input 4 4 2 3" xfId="14828"/>
    <cellStyle name="Input 4 4 2 4" xfId="14829"/>
    <cellStyle name="Input 4 4 2 5" xfId="14830"/>
    <cellStyle name="Input 4 4 2 6" xfId="14831"/>
    <cellStyle name="Input 4 4 2 7" xfId="14832"/>
    <cellStyle name="Input 4 4 2 8" xfId="14833"/>
    <cellStyle name="Input 4 4 2 9" xfId="14834"/>
    <cellStyle name="Input 4 4 3" xfId="14835"/>
    <cellStyle name="Input 4 4 3 10" xfId="14836"/>
    <cellStyle name="Input 4 4 3 11" xfId="14837"/>
    <cellStyle name="Input 4 4 3 12" xfId="14838"/>
    <cellStyle name="Input 4 4 3 13" xfId="14839"/>
    <cellStyle name="Input 4 4 3 14" xfId="14840"/>
    <cellStyle name="Input 4 4 3 15" xfId="14841"/>
    <cellStyle name="Input 4 4 3 16" xfId="14842"/>
    <cellStyle name="Input 4 4 3 2" xfId="14843"/>
    <cellStyle name="Input 4 4 3 2 2" xfId="14844"/>
    <cellStyle name="Input 4 4 3 2 3" xfId="14845"/>
    <cellStyle name="Input 4 4 3 2 4" xfId="14846"/>
    <cellStyle name="Input 4 4 3 3" xfId="14847"/>
    <cellStyle name="Input 4 4 3 4" xfId="14848"/>
    <cellStyle name="Input 4 4 3 5" xfId="14849"/>
    <cellStyle name="Input 4 4 3 6" xfId="14850"/>
    <cellStyle name="Input 4 4 3 7" xfId="14851"/>
    <cellStyle name="Input 4 4 3 8" xfId="14852"/>
    <cellStyle name="Input 4 4 3 9" xfId="14853"/>
    <cellStyle name="Input 4 4 4" xfId="14854"/>
    <cellStyle name="Input 4 4 4 2" xfId="14855"/>
    <cellStyle name="Input 4 4 4 3" xfId="14856"/>
    <cellStyle name="Input 4 4 4 4" xfId="14857"/>
    <cellStyle name="Input 4 4 5" xfId="14858"/>
    <cellStyle name="Input 4 4 6" xfId="14859"/>
    <cellStyle name="Input 4 4 7" xfId="14860"/>
    <cellStyle name="Input 4 4 8" xfId="14861"/>
    <cellStyle name="Input 4 4 9" xfId="14862"/>
    <cellStyle name="Input 4 5" xfId="14863"/>
    <cellStyle name="Input 4 5 10" xfId="14864"/>
    <cellStyle name="Input 4 5 11" xfId="14865"/>
    <cellStyle name="Input 4 5 12" xfId="14866"/>
    <cellStyle name="Input 4 5 13" xfId="14867"/>
    <cellStyle name="Input 4 5 14" xfId="14868"/>
    <cellStyle name="Input 4 5 15" xfId="14869"/>
    <cellStyle name="Input 4 5 16" xfId="14870"/>
    <cellStyle name="Input 4 5 2" xfId="14871"/>
    <cellStyle name="Input 4 5 2 2" xfId="14872"/>
    <cellStyle name="Input 4 5 2 3" xfId="14873"/>
    <cellStyle name="Input 4 5 2 4" xfId="14874"/>
    <cellStyle name="Input 4 5 3" xfId="14875"/>
    <cellStyle name="Input 4 5 4" xfId="14876"/>
    <cellStyle name="Input 4 5 5" xfId="14877"/>
    <cellStyle name="Input 4 5 6" xfId="14878"/>
    <cellStyle name="Input 4 5 7" xfId="14879"/>
    <cellStyle name="Input 4 5 8" xfId="14880"/>
    <cellStyle name="Input 4 5 9" xfId="14881"/>
    <cellStyle name="Input 4 6" xfId="14882"/>
    <cellStyle name="Input 4 6 10" xfId="14883"/>
    <cellStyle name="Input 4 6 11" xfId="14884"/>
    <cellStyle name="Input 4 6 12" xfId="14885"/>
    <cellStyle name="Input 4 6 13" xfId="14886"/>
    <cellStyle name="Input 4 6 14" xfId="14887"/>
    <cellStyle name="Input 4 6 15" xfId="14888"/>
    <cellStyle name="Input 4 6 16" xfId="14889"/>
    <cellStyle name="Input 4 6 2" xfId="14890"/>
    <cellStyle name="Input 4 6 2 2" xfId="14891"/>
    <cellStyle name="Input 4 6 2 3" xfId="14892"/>
    <cellStyle name="Input 4 6 2 4" xfId="14893"/>
    <cellStyle name="Input 4 6 3" xfId="14894"/>
    <cellStyle name="Input 4 6 4" xfId="14895"/>
    <cellStyle name="Input 4 6 5" xfId="14896"/>
    <cellStyle name="Input 4 6 6" xfId="14897"/>
    <cellStyle name="Input 4 6 7" xfId="14898"/>
    <cellStyle name="Input 4 6 8" xfId="14899"/>
    <cellStyle name="Input 4 6 9" xfId="14900"/>
    <cellStyle name="Input 4 7" xfId="14901"/>
    <cellStyle name="Input 4 7 2" xfId="14902"/>
    <cellStyle name="Input 4 7 3" xfId="14903"/>
    <cellStyle name="Input 4 7 4" xfId="14904"/>
    <cellStyle name="Input 4 8" xfId="14905"/>
    <cellStyle name="Input 4 9" xfId="14906"/>
    <cellStyle name="Input 5" xfId="14907"/>
    <cellStyle name="Input 5 10" xfId="14908"/>
    <cellStyle name="Input 5 11" xfId="14909"/>
    <cellStyle name="Input 5 12" xfId="14910"/>
    <cellStyle name="Input 5 13" xfId="14911"/>
    <cellStyle name="Input 5 14" xfId="14912"/>
    <cellStyle name="Input 5 15" xfId="14913"/>
    <cellStyle name="Input 5 16" xfId="14914"/>
    <cellStyle name="Input 5 17" xfId="14915"/>
    <cellStyle name="Input 5 18" xfId="14916"/>
    <cellStyle name="Input 5 19" xfId="14917"/>
    <cellStyle name="Input 5 2" xfId="14918"/>
    <cellStyle name="Input 5 2 10" xfId="14919"/>
    <cellStyle name="Input 5 2 11" xfId="14920"/>
    <cellStyle name="Input 5 2 12" xfId="14921"/>
    <cellStyle name="Input 5 2 13" xfId="14922"/>
    <cellStyle name="Input 5 2 14" xfId="14923"/>
    <cellStyle name="Input 5 2 15" xfId="14924"/>
    <cellStyle name="Input 5 2 16" xfId="14925"/>
    <cellStyle name="Input 5 2 17" xfId="14926"/>
    <cellStyle name="Input 5 2 18" xfId="14927"/>
    <cellStyle name="Input 5 2 2" xfId="14928"/>
    <cellStyle name="Input 5 2 2 10" xfId="14929"/>
    <cellStyle name="Input 5 2 2 11" xfId="14930"/>
    <cellStyle name="Input 5 2 2 12" xfId="14931"/>
    <cellStyle name="Input 5 2 2 13" xfId="14932"/>
    <cellStyle name="Input 5 2 2 14" xfId="14933"/>
    <cellStyle name="Input 5 2 2 15" xfId="14934"/>
    <cellStyle name="Input 5 2 2 16" xfId="14935"/>
    <cellStyle name="Input 5 2 2 2" xfId="14936"/>
    <cellStyle name="Input 5 2 2 2 2" xfId="14937"/>
    <cellStyle name="Input 5 2 2 2 3" xfId="14938"/>
    <cellStyle name="Input 5 2 2 2 4" xfId="14939"/>
    <cellStyle name="Input 5 2 2 3" xfId="14940"/>
    <cellStyle name="Input 5 2 2 4" xfId="14941"/>
    <cellStyle name="Input 5 2 2 5" xfId="14942"/>
    <cellStyle name="Input 5 2 2 6" xfId="14943"/>
    <cellStyle name="Input 5 2 2 7" xfId="14944"/>
    <cellStyle name="Input 5 2 2 8" xfId="14945"/>
    <cellStyle name="Input 5 2 2 9" xfId="14946"/>
    <cellStyle name="Input 5 2 3" xfId="14947"/>
    <cellStyle name="Input 5 2 3 10" xfId="14948"/>
    <cellStyle name="Input 5 2 3 11" xfId="14949"/>
    <cellStyle name="Input 5 2 3 12" xfId="14950"/>
    <cellStyle name="Input 5 2 3 13" xfId="14951"/>
    <cellStyle name="Input 5 2 3 14" xfId="14952"/>
    <cellStyle name="Input 5 2 3 15" xfId="14953"/>
    <cellStyle name="Input 5 2 3 16" xfId="14954"/>
    <cellStyle name="Input 5 2 3 2" xfId="14955"/>
    <cellStyle name="Input 5 2 3 2 2" xfId="14956"/>
    <cellStyle name="Input 5 2 3 2 3" xfId="14957"/>
    <cellStyle name="Input 5 2 3 2 4" xfId="14958"/>
    <cellStyle name="Input 5 2 3 3" xfId="14959"/>
    <cellStyle name="Input 5 2 3 4" xfId="14960"/>
    <cellStyle name="Input 5 2 3 5" xfId="14961"/>
    <cellStyle name="Input 5 2 3 6" xfId="14962"/>
    <cellStyle name="Input 5 2 3 7" xfId="14963"/>
    <cellStyle name="Input 5 2 3 8" xfId="14964"/>
    <cellStyle name="Input 5 2 3 9" xfId="14965"/>
    <cellStyle name="Input 5 2 4" xfId="14966"/>
    <cellStyle name="Input 5 2 4 2" xfId="14967"/>
    <cellStyle name="Input 5 2 4 3" xfId="14968"/>
    <cellStyle name="Input 5 2 4 4" xfId="14969"/>
    <cellStyle name="Input 5 2 5" xfId="14970"/>
    <cellStyle name="Input 5 2 6" xfId="14971"/>
    <cellStyle name="Input 5 2 7" xfId="14972"/>
    <cellStyle name="Input 5 2 8" xfId="14973"/>
    <cellStyle name="Input 5 2 9" xfId="14974"/>
    <cellStyle name="Input 5 3" xfId="14975"/>
    <cellStyle name="Input 5 3 10" xfId="14976"/>
    <cellStyle name="Input 5 3 11" xfId="14977"/>
    <cellStyle name="Input 5 3 12" xfId="14978"/>
    <cellStyle name="Input 5 3 13" xfId="14979"/>
    <cellStyle name="Input 5 3 14" xfId="14980"/>
    <cellStyle name="Input 5 3 15" xfId="14981"/>
    <cellStyle name="Input 5 3 16" xfId="14982"/>
    <cellStyle name="Input 5 3 17" xfId="14983"/>
    <cellStyle name="Input 5 3 18" xfId="14984"/>
    <cellStyle name="Input 5 3 2" xfId="14985"/>
    <cellStyle name="Input 5 3 2 10" xfId="14986"/>
    <cellStyle name="Input 5 3 2 11" xfId="14987"/>
    <cellStyle name="Input 5 3 2 12" xfId="14988"/>
    <cellStyle name="Input 5 3 2 13" xfId="14989"/>
    <cellStyle name="Input 5 3 2 14" xfId="14990"/>
    <cellStyle name="Input 5 3 2 15" xfId="14991"/>
    <cellStyle name="Input 5 3 2 16" xfId="14992"/>
    <cellStyle name="Input 5 3 2 2" xfId="14993"/>
    <cellStyle name="Input 5 3 2 2 2" xfId="14994"/>
    <cellStyle name="Input 5 3 2 2 3" xfId="14995"/>
    <cellStyle name="Input 5 3 2 2 4" xfId="14996"/>
    <cellStyle name="Input 5 3 2 3" xfId="14997"/>
    <cellStyle name="Input 5 3 2 4" xfId="14998"/>
    <cellStyle name="Input 5 3 2 5" xfId="14999"/>
    <cellStyle name="Input 5 3 2 6" xfId="15000"/>
    <cellStyle name="Input 5 3 2 7" xfId="15001"/>
    <cellStyle name="Input 5 3 2 8" xfId="15002"/>
    <cellStyle name="Input 5 3 2 9" xfId="15003"/>
    <cellStyle name="Input 5 3 3" xfId="15004"/>
    <cellStyle name="Input 5 3 3 10" xfId="15005"/>
    <cellStyle name="Input 5 3 3 11" xfId="15006"/>
    <cellStyle name="Input 5 3 3 12" xfId="15007"/>
    <cellStyle name="Input 5 3 3 13" xfId="15008"/>
    <cellStyle name="Input 5 3 3 14" xfId="15009"/>
    <cellStyle name="Input 5 3 3 15" xfId="15010"/>
    <cellStyle name="Input 5 3 3 16" xfId="15011"/>
    <cellStyle name="Input 5 3 3 2" xfId="15012"/>
    <cellStyle name="Input 5 3 3 2 2" xfId="15013"/>
    <cellStyle name="Input 5 3 3 2 3" xfId="15014"/>
    <cellStyle name="Input 5 3 3 2 4" xfId="15015"/>
    <cellStyle name="Input 5 3 3 3" xfId="15016"/>
    <cellStyle name="Input 5 3 3 4" xfId="15017"/>
    <cellStyle name="Input 5 3 3 5" xfId="15018"/>
    <cellStyle name="Input 5 3 3 6" xfId="15019"/>
    <cellStyle name="Input 5 3 3 7" xfId="15020"/>
    <cellStyle name="Input 5 3 3 8" xfId="15021"/>
    <cellStyle name="Input 5 3 3 9" xfId="15022"/>
    <cellStyle name="Input 5 3 4" xfId="15023"/>
    <cellStyle name="Input 5 3 4 2" xfId="15024"/>
    <cellStyle name="Input 5 3 4 3" xfId="15025"/>
    <cellStyle name="Input 5 3 4 4" xfId="15026"/>
    <cellStyle name="Input 5 3 5" xfId="15027"/>
    <cellStyle name="Input 5 3 6" xfId="15028"/>
    <cellStyle name="Input 5 3 7" xfId="15029"/>
    <cellStyle name="Input 5 3 8" xfId="15030"/>
    <cellStyle name="Input 5 3 9" xfId="15031"/>
    <cellStyle name="Input 5 4" xfId="15032"/>
    <cellStyle name="Input 5 4 10" xfId="15033"/>
    <cellStyle name="Input 5 4 11" xfId="15034"/>
    <cellStyle name="Input 5 4 12" xfId="15035"/>
    <cellStyle name="Input 5 4 13" xfId="15036"/>
    <cellStyle name="Input 5 4 14" xfId="15037"/>
    <cellStyle name="Input 5 4 15" xfId="15038"/>
    <cellStyle name="Input 5 4 16" xfId="15039"/>
    <cellStyle name="Input 5 4 17" xfId="15040"/>
    <cellStyle name="Input 5 4 18" xfId="15041"/>
    <cellStyle name="Input 5 4 2" xfId="15042"/>
    <cellStyle name="Input 5 4 2 10" xfId="15043"/>
    <cellStyle name="Input 5 4 2 11" xfId="15044"/>
    <cellStyle name="Input 5 4 2 12" xfId="15045"/>
    <cellStyle name="Input 5 4 2 13" xfId="15046"/>
    <cellStyle name="Input 5 4 2 14" xfId="15047"/>
    <cellStyle name="Input 5 4 2 15" xfId="15048"/>
    <cellStyle name="Input 5 4 2 16" xfId="15049"/>
    <cellStyle name="Input 5 4 2 2" xfId="15050"/>
    <cellStyle name="Input 5 4 2 2 2" xfId="15051"/>
    <cellStyle name="Input 5 4 2 2 3" xfId="15052"/>
    <cellStyle name="Input 5 4 2 2 4" xfId="15053"/>
    <cellStyle name="Input 5 4 2 3" xfId="15054"/>
    <cellStyle name="Input 5 4 2 4" xfId="15055"/>
    <cellStyle name="Input 5 4 2 5" xfId="15056"/>
    <cellStyle name="Input 5 4 2 6" xfId="15057"/>
    <cellStyle name="Input 5 4 2 7" xfId="15058"/>
    <cellStyle name="Input 5 4 2 8" xfId="15059"/>
    <cellStyle name="Input 5 4 2 9" xfId="15060"/>
    <cellStyle name="Input 5 4 3" xfId="15061"/>
    <cellStyle name="Input 5 4 3 10" xfId="15062"/>
    <cellStyle name="Input 5 4 3 11" xfId="15063"/>
    <cellStyle name="Input 5 4 3 12" xfId="15064"/>
    <cellStyle name="Input 5 4 3 13" xfId="15065"/>
    <cellStyle name="Input 5 4 3 14" xfId="15066"/>
    <cellStyle name="Input 5 4 3 15" xfId="15067"/>
    <cellStyle name="Input 5 4 3 16" xfId="15068"/>
    <cellStyle name="Input 5 4 3 2" xfId="15069"/>
    <cellStyle name="Input 5 4 3 2 2" xfId="15070"/>
    <cellStyle name="Input 5 4 3 2 3" xfId="15071"/>
    <cellStyle name="Input 5 4 3 2 4" xfId="15072"/>
    <cellStyle name="Input 5 4 3 3" xfId="15073"/>
    <cellStyle name="Input 5 4 3 4" xfId="15074"/>
    <cellStyle name="Input 5 4 3 5" xfId="15075"/>
    <cellStyle name="Input 5 4 3 6" xfId="15076"/>
    <cellStyle name="Input 5 4 3 7" xfId="15077"/>
    <cellStyle name="Input 5 4 3 8" xfId="15078"/>
    <cellStyle name="Input 5 4 3 9" xfId="15079"/>
    <cellStyle name="Input 5 4 4" xfId="15080"/>
    <cellStyle name="Input 5 4 4 2" xfId="15081"/>
    <cellStyle name="Input 5 4 4 3" xfId="15082"/>
    <cellStyle name="Input 5 4 4 4" xfId="15083"/>
    <cellStyle name="Input 5 4 5" xfId="15084"/>
    <cellStyle name="Input 5 4 6" xfId="15085"/>
    <cellStyle name="Input 5 4 7" xfId="15086"/>
    <cellStyle name="Input 5 4 8" xfId="15087"/>
    <cellStyle name="Input 5 4 9" xfId="15088"/>
    <cellStyle name="Input 5 5" xfId="15089"/>
    <cellStyle name="Input 5 5 2" xfId="15090"/>
    <cellStyle name="Input 5 5 3" xfId="15091"/>
    <cellStyle name="Input 5 5 4" xfId="15092"/>
    <cellStyle name="Input 5 6" xfId="15093"/>
    <cellStyle name="Input 5 7" xfId="15094"/>
    <cellStyle name="Input 5 8" xfId="15095"/>
    <cellStyle name="Input 5 9" xfId="15096"/>
    <cellStyle name="Input 6" xfId="15097"/>
    <cellStyle name="Input 6 10" xfId="15098"/>
    <cellStyle name="Input 6 11" xfId="15099"/>
    <cellStyle name="Input 6 12" xfId="15100"/>
    <cellStyle name="Input 6 13" xfId="15101"/>
    <cellStyle name="Input 6 14" xfId="15102"/>
    <cellStyle name="Input 6 15" xfId="15103"/>
    <cellStyle name="Input 6 16" xfId="15104"/>
    <cellStyle name="Input 6 17" xfId="15105"/>
    <cellStyle name="Input 6 18" xfId="15106"/>
    <cellStyle name="Input 6 19" xfId="15107"/>
    <cellStyle name="Input 6 2" xfId="15108"/>
    <cellStyle name="Input 6 2 10" xfId="15109"/>
    <cellStyle name="Input 6 2 11" xfId="15110"/>
    <cellStyle name="Input 6 2 12" xfId="15111"/>
    <cellStyle name="Input 6 2 13" xfId="15112"/>
    <cellStyle name="Input 6 2 14" xfId="15113"/>
    <cellStyle name="Input 6 2 15" xfId="15114"/>
    <cellStyle name="Input 6 2 16" xfId="15115"/>
    <cellStyle name="Input 6 2 17" xfId="15116"/>
    <cellStyle name="Input 6 2 18" xfId="15117"/>
    <cellStyle name="Input 6 2 2" xfId="15118"/>
    <cellStyle name="Input 6 2 2 10" xfId="15119"/>
    <cellStyle name="Input 6 2 2 11" xfId="15120"/>
    <cellStyle name="Input 6 2 2 12" xfId="15121"/>
    <cellStyle name="Input 6 2 2 13" xfId="15122"/>
    <cellStyle name="Input 6 2 2 14" xfId="15123"/>
    <cellStyle name="Input 6 2 2 15" xfId="15124"/>
    <cellStyle name="Input 6 2 2 16" xfId="15125"/>
    <cellStyle name="Input 6 2 2 2" xfId="15126"/>
    <cellStyle name="Input 6 2 2 2 2" xfId="15127"/>
    <cellStyle name="Input 6 2 2 2 3" xfId="15128"/>
    <cellStyle name="Input 6 2 2 2 4" xfId="15129"/>
    <cellStyle name="Input 6 2 2 3" xfId="15130"/>
    <cellStyle name="Input 6 2 2 4" xfId="15131"/>
    <cellStyle name="Input 6 2 2 5" xfId="15132"/>
    <cellStyle name="Input 6 2 2 6" xfId="15133"/>
    <cellStyle name="Input 6 2 2 7" xfId="15134"/>
    <cellStyle name="Input 6 2 2 8" xfId="15135"/>
    <cellStyle name="Input 6 2 2 9" xfId="15136"/>
    <cellStyle name="Input 6 2 3" xfId="15137"/>
    <cellStyle name="Input 6 2 3 10" xfId="15138"/>
    <cellStyle name="Input 6 2 3 11" xfId="15139"/>
    <cellStyle name="Input 6 2 3 12" xfId="15140"/>
    <cellStyle name="Input 6 2 3 13" xfId="15141"/>
    <cellStyle name="Input 6 2 3 14" xfId="15142"/>
    <cellStyle name="Input 6 2 3 15" xfId="15143"/>
    <cellStyle name="Input 6 2 3 16" xfId="15144"/>
    <cellStyle name="Input 6 2 3 2" xfId="15145"/>
    <cellStyle name="Input 6 2 3 2 2" xfId="15146"/>
    <cellStyle name="Input 6 2 3 2 3" xfId="15147"/>
    <cellStyle name="Input 6 2 3 2 4" xfId="15148"/>
    <cellStyle name="Input 6 2 3 3" xfId="15149"/>
    <cellStyle name="Input 6 2 3 4" xfId="15150"/>
    <cellStyle name="Input 6 2 3 5" xfId="15151"/>
    <cellStyle name="Input 6 2 3 6" xfId="15152"/>
    <cellStyle name="Input 6 2 3 7" xfId="15153"/>
    <cellStyle name="Input 6 2 3 8" xfId="15154"/>
    <cellStyle name="Input 6 2 3 9" xfId="15155"/>
    <cellStyle name="Input 6 2 4" xfId="15156"/>
    <cellStyle name="Input 6 2 4 2" xfId="15157"/>
    <cellStyle name="Input 6 2 4 3" xfId="15158"/>
    <cellStyle name="Input 6 2 4 4" xfId="15159"/>
    <cellStyle name="Input 6 2 5" xfId="15160"/>
    <cellStyle name="Input 6 2 6" xfId="15161"/>
    <cellStyle name="Input 6 2 7" xfId="15162"/>
    <cellStyle name="Input 6 2 8" xfId="15163"/>
    <cellStyle name="Input 6 2 9" xfId="15164"/>
    <cellStyle name="Input 6 3" xfId="15165"/>
    <cellStyle name="Input 6 3 10" xfId="15166"/>
    <cellStyle name="Input 6 3 11" xfId="15167"/>
    <cellStyle name="Input 6 3 12" xfId="15168"/>
    <cellStyle name="Input 6 3 13" xfId="15169"/>
    <cellStyle name="Input 6 3 14" xfId="15170"/>
    <cellStyle name="Input 6 3 15" xfId="15171"/>
    <cellStyle name="Input 6 3 16" xfId="15172"/>
    <cellStyle name="Input 6 3 17" xfId="15173"/>
    <cellStyle name="Input 6 3 18" xfId="15174"/>
    <cellStyle name="Input 6 3 2" xfId="15175"/>
    <cellStyle name="Input 6 3 2 10" xfId="15176"/>
    <cellStyle name="Input 6 3 2 11" xfId="15177"/>
    <cellStyle name="Input 6 3 2 12" xfId="15178"/>
    <cellStyle name="Input 6 3 2 13" xfId="15179"/>
    <cellStyle name="Input 6 3 2 14" xfId="15180"/>
    <cellStyle name="Input 6 3 2 15" xfId="15181"/>
    <cellStyle name="Input 6 3 2 16" xfId="15182"/>
    <cellStyle name="Input 6 3 2 2" xfId="15183"/>
    <cellStyle name="Input 6 3 2 2 2" xfId="15184"/>
    <cellStyle name="Input 6 3 2 2 3" xfId="15185"/>
    <cellStyle name="Input 6 3 2 2 4" xfId="15186"/>
    <cellStyle name="Input 6 3 2 3" xfId="15187"/>
    <cellStyle name="Input 6 3 2 4" xfId="15188"/>
    <cellStyle name="Input 6 3 2 5" xfId="15189"/>
    <cellStyle name="Input 6 3 2 6" xfId="15190"/>
    <cellStyle name="Input 6 3 2 7" xfId="15191"/>
    <cellStyle name="Input 6 3 2 8" xfId="15192"/>
    <cellStyle name="Input 6 3 2 9" xfId="15193"/>
    <cellStyle name="Input 6 3 3" xfId="15194"/>
    <cellStyle name="Input 6 3 3 10" xfId="15195"/>
    <cellStyle name="Input 6 3 3 11" xfId="15196"/>
    <cellStyle name="Input 6 3 3 12" xfId="15197"/>
    <cellStyle name="Input 6 3 3 13" xfId="15198"/>
    <cellStyle name="Input 6 3 3 14" xfId="15199"/>
    <cellStyle name="Input 6 3 3 15" xfId="15200"/>
    <cellStyle name="Input 6 3 3 16" xfId="15201"/>
    <cellStyle name="Input 6 3 3 2" xfId="15202"/>
    <cellStyle name="Input 6 3 3 2 2" xfId="15203"/>
    <cellStyle name="Input 6 3 3 2 3" xfId="15204"/>
    <cellStyle name="Input 6 3 3 2 4" xfId="15205"/>
    <cellStyle name="Input 6 3 3 3" xfId="15206"/>
    <cellStyle name="Input 6 3 3 4" xfId="15207"/>
    <cellStyle name="Input 6 3 3 5" xfId="15208"/>
    <cellStyle name="Input 6 3 3 6" xfId="15209"/>
    <cellStyle name="Input 6 3 3 7" xfId="15210"/>
    <cellStyle name="Input 6 3 3 8" xfId="15211"/>
    <cellStyle name="Input 6 3 3 9" xfId="15212"/>
    <cellStyle name="Input 6 3 4" xfId="15213"/>
    <cellStyle name="Input 6 3 4 2" xfId="15214"/>
    <cellStyle name="Input 6 3 4 3" xfId="15215"/>
    <cellStyle name="Input 6 3 4 4" xfId="15216"/>
    <cellStyle name="Input 6 3 5" xfId="15217"/>
    <cellStyle name="Input 6 3 6" xfId="15218"/>
    <cellStyle name="Input 6 3 7" xfId="15219"/>
    <cellStyle name="Input 6 3 8" xfId="15220"/>
    <cellStyle name="Input 6 3 9" xfId="15221"/>
    <cellStyle name="Input 6 4" xfId="15222"/>
    <cellStyle name="Input 6 4 10" xfId="15223"/>
    <cellStyle name="Input 6 4 11" xfId="15224"/>
    <cellStyle name="Input 6 4 12" xfId="15225"/>
    <cellStyle name="Input 6 4 13" xfId="15226"/>
    <cellStyle name="Input 6 4 14" xfId="15227"/>
    <cellStyle name="Input 6 4 15" xfId="15228"/>
    <cellStyle name="Input 6 4 16" xfId="15229"/>
    <cellStyle name="Input 6 4 17" xfId="15230"/>
    <cellStyle name="Input 6 4 18" xfId="15231"/>
    <cellStyle name="Input 6 4 2" xfId="15232"/>
    <cellStyle name="Input 6 4 2 10" xfId="15233"/>
    <cellStyle name="Input 6 4 2 11" xfId="15234"/>
    <cellStyle name="Input 6 4 2 12" xfId="15235"/>
    <cellStyle name="Input 6 4 2 13" xfId="15236"/>
    <cellStyle name="Input 6 4 2 14" xfId="15237"/>
    <cellStyle name="Input 6 4 2 15" xfId="15238"/>
    <cellStyle name="Input 6 4 2 16" xfId="15239"/>
    <cellStyle name="Input 6 4 2 2" xfId="15240"/>
    <cellStyle name="Input 6 4 2 2 2" xfId="15241"/>
    <cellStyle name="Input 6 4 2 2 3" xfId="15242"/>
    <cellStyle name="Input 6 4 2 2 4" xfId="15243"/>
    <cellStyle name="Input 6 4 2 3" xfId="15244"/>
    <cellStyle name="Input 6 4 2 4" xfId="15245"/>
    <cellStyle name="Input 6 4 2 5" xfId="15246"/>
    <cellStyle name="Input 6 4 2 6" xfId="15247"/>
    <cellStyle name="Input 6 4 2 7" xfId="15248"/>
    <cellStyle name="Input 6 4 2 8" xfId="15249"/>
    <cellStyle name="Input 6 4 2 9" xfId="15250"/>
    <cellStyle name="Input 6 4 3" xfId="15251"/>
    <cellStyle name="Input 6 4 3 10" xfId="15252"/>
    <cellStyle name="Input 6 4 3 11" xfId="15253"/>
    <cellStyle name="Input 6 4 3 12" xfId="15254"/>
    <cellStyle name="Input 6 4 3 13" xfId="15255"/>
    <cellStyle name="Input 6 4 3 14" xfId="15256"/>
    <cellStyle name="Input 6 4 3 15" xfId="15257"/>
    <cellStyle name="Input 6 4 3 16" xfId="15258"/>
    <cellStyle name="Input 6 4 3 2" xfId="15259"/>
    <cellStyle name="Input 6 4 3 2 2" xfId="15260"/>
    <cellStyle name="Input 6 4 3 2 3" xfId="15261"/>
    <cellStyle name="Input 6 4 3 2 4" xfId="15262"/>
    <cellStyle name="Input 6 4 3 3" xfId="15263"/>
    <cellStyle name="Input 6 4 3 4" xfId="15264"/>
    <cellStyle name="Input 6 4 3 5" xfId="15265"/>
    <cellStyle name="Input 6 4 3 6" xfId="15266"/>
    <cellStyle name="Input 6 4 3 7" xfId="15267"/>
    <cellStyle name="Input 6 4 3 8" xfId="15268"/>
    <cellStyle name="Input 6 4 3 9" xfId="15269"/>
    <cellStyle name="Input 6 4 4" xfId="15270"/>
    <cellStyle name="Input 6 4 4 2" xfId="15271"/>
    <cellStyle name="Input 6 4 4 3" xfId="15272"/>
    <cellStyle name="Input 6 4 4 4" xfId="15273"/>
    <cellStyle name="Input 6 4 5" xfId="15274"/>
    <cellStyle name="Input 6 4 6" xfId="15275"/>
    <cellStyle name="Input 6 4 7" xfId="15276"/>
    <cellStyle name="Input 6 4 8" xfId="15277"/>
    <cellStyle name="Input 6 4 9" xfId="15278"/>
    <cellStyle name="Input 6 5" xfId="15279"/>
    <cellStyle name="Input 6 5 2" xfId="15280"/>
    <cellStyle name="Input 6 5 3" xfId="15281"/>
    <cellStyle name="Input 6 5 4" xfId="15282"/>
    <cellStyle name="Input 6 6" xfId="15283"/>
    <cellStyle name="Input 6 7" xfId="15284"/>
    <cellStyle name="Input 6 8" xfId="15285"/>
    <cellStyle name="Input 6 9" xfId="15286"/>
    <cellStyle name="Input 7" xfId="15287"/>
    <cellStyle name="Input 7 10" xfId="15288"/>
    <cellStyle name="Input 7 11" xfId="15289"/>
    <cellStyle name="Input 7 12" xfId="15290"/>
    <cellStyle name="Input 7 13" xfId="15291"/>
    <cellStyle name="Input 7 14" xfId="15292"/>
    <cellStyle name="Input 7 15" xfId="15293"/>
    <cellStyle name="Input 7 16" xfId="15294"/>
    <cellStyle name="Input 7 17" xfId="15295"/>
    <cellStyle name="Input 7 18" xfId="15296"/>
    <cellStyle name="Input 7 19" xfId="15297"/>
    <cellStyle name="Input 7 2" xfId="15298"/>
    <cellStyle name="Input 7 2 10" xfId="15299"/>
    <cellStyle name="Input 7 2 11" xfId="15300"/>
    <cellStyle name="Input 7 2 12" xfId="15301"/>
    <cellStyle name="Input 7 2 13" xfId="15302"/>
    <cellStyle name="Input 7 2 14" xfId="15303"/>
    <cellStyle name="Input 7 2 15" xfId="15304"/>
    <cellStyle name="Input 7 2 16" xfId="15305"/>
    <cellStyle name="Input 7 2 17" xfId="15306"/>
    <cellStyle name="Input 7 2 18" xfId="15307"/>
    <cellStyle name="Input 7 2 2" xfId="15308"/>
    <cellStyle name="Input 7 2 2 10" xfId="15309"/>
    <cellStyle name="Input 7 2 2 11" xfId="15310"/>
    <cellStyle name="Input 7 2 2 12" xfId="15311"/>
    <cellStyle name="Input 7 2 2 13" xfId="15312"/>
    <cellStyle name="Input 7 2 2 14" xfId="15313"/>
    <cellStyle name="Input 7 2 2 15" xfId="15314"/>
    <cellStyle name="Input 7 2 2 16" xfId="15315"/>
    <cellStyle name="Input 7 2 2 2" xfId="15316"/>
    <cellStyle name="Input 7 2 2 2 2" xfId="15317"/>
    <cellStyle name="Input 7 2 2 2 3" xfId="15318"/>
    <cellStyle name="Input 7 2 2 2 4" xfId="15319"/>
    <cellStyle name="Input 7 2 2 3" xfId="15320"/>
    <cellStyle name="Input 7 2 2 4" xfId="15321"/>
    <cellStyle name="Input 7 2 2 5" xfId="15322"/>
    <cellStyle name="Input 7 2 2 6" xfId="15323"/>
    <cellStyle name="Input 7 2 2 7" xfId="15324"/>
    <cellStyle name="Input 7 2 2 8" xfId="15325"/>
    <cellStyle name="Input 7 2 2 9" xfId="15326"/>
    <cellStyle name="Input 7 2 3" xfId="15327"/>
    <cellStyle name="Input 7 2 3 10" xfId="15328"/>
    <cellStyle name="Input 7 2 3 11" xfId="15329"/>
    <cellStyle name="Input 7 2 3 12" xfId="15330"/>
    <cellStyle name="Input 7 2 3 13" xfId="15331"/>
    <cellStyle name="Input 7 2 3 14" xfId="15332"/>
    <cellStyle name="Input 7 2 3 15" xfId="15333"/>
    <cellStyle name="Input 7 2 3 16" xfId="15334"/>
    <cellStyle name="Input 7 2 3 2" xfId="15335"/>
    <cellStyle name="Input 7 2 3 2 2" xfId="15336"/>
    <cellStyle name="Input 7 2 3 2 3" xfId="15337"/>
    <cellStyle name="Input 7 2 3 2 4" xfId="15338"/>
    <cellStyle name="Input 7 2 3 3" xfId="15339"/>
    <cellStyle name="Input 7 2 3 4" xfId="15340"/>
    <cellStyle name="Input 7 2 3 5" xfId="15341"/>
    <cellStyle name="Input 7 2 3 6" xfId="15342"/>
    <cellStyle name="Input 7 2 3 7" xfId="15343"/>
    <cellStyle name="Input 7 2 3 8" xfId="15344"/>
    <cellStyle name="Input 7 2 3 9" xfId="15345"/>
    <cellStyle name="Input 7 2 4" xfId="15346"/>
    <cellStyle name="Input 7 2 4 2" xfId="15347"/>
    <cellStyle name="Input 7 2 4 3" xfId="15348"/>
    <cellStyle name="Input 7 2 4 4" xfId="15349"/>
    <cellStyle name="Input 7 2 5" xfId="15350"/>
    <cellStyle name="Input 7 2 6" xfId="15351"/>
    <cellStyle name="Input 7 2 7" xfId="15352"/>
    <cellStyle name="Input 7 2 8" xfId="15353"/>
    <cellStyle name="Input 7 2 9" xfId="15354"/>
    <cellStyle name="Input 7 3" xfId="15355"/>
    <cellStyle name="Input 7 3 10" xfId="15356"/>
    <cellStyle name="Input 7 3 11" xfId="15357"/>
    <cellStyle name="Input 7 3 12" xfId="15358"/>
    <cellStyle name="Input 7 3 13" xfId="15359"/>
    <cellStyle name="Input 7 3 14" xfId="15360"/>
    <cellStyle name="Input 7 3 15" xfId="15361"/>
    <cellStyle name="Input 7 3 16" xfId="15362"/>
    <cellStyle name="Input 7 3 17" xfId="15363"/>
    <cellStyle name="Input 7 3 18" xfId="15364"/>
    <cellStyle name="Input 7 3 2" xfId="15365"/>
    <cellStyle name="Input 7 3 2 10" xfId="15366"/>
    <cellStyle name="Input 7 3 2 11" xfId="15367"/>
    <cellStyle name="Input 7 3 2 12" xfId="15368"/>
    <cellStyle name="Input 7 3 2 13" xfId="15369"/>
    <cellStyle name="Input 7 3 2 14" xfId="15370"/>
    <cellStyle name="Input 7 3 2 15" xfId="15371"/>
    <cellStyle name="Input 7 3 2 16" xfId="15372"/>
    <cellStyle name="Input 7 3 2 2" xfId="15373"/>
    <cellStyle name="Input 7 3 2 2 2" xfId="15374"/>
    <cellStyle name="Input 7 3 2 2 3" xfId="15375"/>
    <cellStyle name="Input 7 3 2 2 4" xfId="15376"/>
    <cellStyle name="Input 7 3 2 3" xfId="15377"/>
    <cellStyle name="Input 7 3 2 4" xfId="15378"/>
    <cellStyle name="Input 7 3 2 5" xfId="15379"/>
    <cellStyle name="Input 7 3 2 6" xfId="15380"/>
    <cellStyle name="Input 7 3 2 7" xfId="15381"/>
    <cellStyle name="Input 7 3 2 8" xfId="15382"/>
    <cellStyle name="Input 7 3 2 9" xfId="15383"/>
    <cellStyle name="Input 7 3 3" xfId="15384"/>
    <cellStyle name="Input 7 3 3 10" xfId="15385"/>
    <cellStyle name="Input 7 3 3 11" xfId="15386"/>
    <cellStyle name="Input 7 3 3 12" xfId="15387"/>
    <cellStyle name="Input 7 3 3 13" xfId="15388"/>
    <cellStyle name="Input 7 3 3 14" xfId="15389"/>
    <cellStyle name="Input 7 3 3 15" xfId="15390"/>
    <cellStyle name="Input 7 3 3 16" xfId="15391"/>
    <cellStyle name="Input 7 3 3 2" xfId="15392"/>
    <cellStyle name="Input 7 3 3 2 2" xfId="15393"/>
    <cellStyle name="Input 7 3 3 2 3" xfId="15394"/>
    <cellStyle name="Input 7 3 3 2 4" xfId="15395"/>
    <cellStyle name="Input 7 3 3 3" xfId="15396"/>
    <cellStyle name="Input 7 3 3 4" xfId="15397"/>
    <cellStyle name="Input 7 3 3 5" xfId="15398"/>
    <cellStyle name="Input 7 3 3 6" xfId="15399"/>
    <cellStyle name="Input 7 3 3 7" xfId="15400"/>
    <cellStyle name="Input 7 3 3 8" xfId="15401"/>
    <cellStyle name="Input 7 3 3 9" xfId="15402"/>
    <cellStyle name="Input 7 3 4" xfId="15403"/>
    <cellStyle name="Input 7 3 4 2" xfId="15404"/>
    <cellStyle name="Input 7 3 4 3" xfId="15405"/>
    <cellStyle name="Input 7 3 4 4" xfId="15406"/>
    <cellStyle name="Input 7 3 5" xfId="15407"/>
    <cellStyle name="Input 7 3 6" xfId="15408"/>
    <cellStyle name="Input 7 3 7" xfId="15409"/>
    <cellStyle name="Input 7 3 8" xfId="15410"/>
    <cellStyle name="Input 7 3 9" xfId="15411"/>
    <cellStyle name="Input 7 4" xfId="15412"/>
    <cellStyle name="Input 7 4 10" xfId="15413"/>
    <cellStyle name="Input 7 4 11" xfId="15414"/>
    <cellStyle name="Input 7 4 12" xfId="15415"/>
    <cellStyle name="Input 7 4 13" xfId="15416"/>
    <cellStyle name="Input 7 4 14" xfId="15417"/>
    <cellStyle name="Input 7 4 15" xfId="15418"/>
    <cellStyle name="Input 7 4 16" xfId="15419"/>
    <cellStyle name="Input 7 4 17" xfId="15420"/>
    <cellStyle name="Input 7 4 18" xfId="15421"/>
    <cellStyle name="Input 7 4 2" xfId="15422"/>
    <cellStyle name="Input 7 4 2 10" xfId="15423"/>
    <cellStyle name="Input 7 4 2 11" xfId="15424"/>
    <cellStyle name="Input 7 4 2 12" xfId="15425"/>
    <cellStyle name="Input 7 4 2 13" xfId="15426"/>
    <cellStyle name="Input 7 4 2 14" xfId="15427"/>
    <cellStyle name="Input 7 4 2 15" xfId="15428"/>
    <cellStyle name="Input 7 4 2 16" xfId="15429"/>
    <cellStyle name="Input 7 4 2 2" xfId="15430"/>
    <cellStyle name="Input 7 4 2 2 2" xfId="15431"/>
    <cellStyle name="Input 7 4 2 2 3" xfId="15432"/>
    <cellStyle name="Input 7 4 2 2 4" xfId="15433"/>
    <cellStyle name="Input 7 4 2 3" xfId="15434"/>
    <cellStyle name="Input 7 4 2 4" xfId="15435"/>
    <cellStyle name="Input 7 4 2 5" xfId="15436"/>
    <cellStyle name="Input 7 4 2 6" xfId="15437"/>
    <cellStyle name="Input 7 4 2 7" xfId="15438"/>
    <cellStyle name="Input 7 4 2 8" xfId="15439"/>
    <cellStyle name="Input 7 4 2 9" xfId="15440"/>
    <cellStyle name="Input 7 4 3" xfId="15441"/>
    <cellStyle name="Input 7 4 3 10" xfId="15442"/>
    <cellStyle name="Input 7 4 3 11" xfId="15443"/>
    <cellStyle name="Input 7 4 3 12" xfId="15444"/>
    <cellStyle name="Input 7 4 3 13" xfId="15445"/>
    <cellStyle name="Input 7 4 3 14" xfId="15446"/>
    <cellStyle name="Input 7 4 3 15" xfId="15447"/>
    <cellStyle name="Input 7 4 3 16" xfId="15448"/>
    <cellStyle name="Input 7 4 3 2" xfId="15449"/>
    <cellStyle name="Input 7 4 3 2 2" xfId="15450"/>
    <cellStyle name="Input 7 4 3 2 3" xfId="15451"/>
    <cellStyle name="Input 7 4 3 2 4" xfId="15452"/>
    <cellStyle name="Input 7 4 3 3" xfId="15453"/>
    <cellStyle name="Input 7 4 3 4" xfId="15454"/>
    <cellStyle name="Input 7 4 3 5" xfId="15455"/>
    <cellStyle name="Input 7 4 3 6" xfId="15456"/>
    <cellStyle name="Input 7 4 3 7" xfId="15457"/>
    <cellStyle name="Input 7 4 3 8" xfId="15458"/>
    <cellStyle name="Input 7 4 3 9" xfId="15459"/>
    <cellStyle name="Input 7 4 4" xfId="15460"/>
    <cellStyle name="Input 7 4 4 2" xfId="15461"/>
    <cellStyle name="Input 7 4 4 3" xfId="15462"/>
    <cellStyle name="Input 7 4 4 4" xfId="15463"/>
    <cellStyle name="Input 7 4 5" xfId="15464"/>
    <cellStyle name="Input 7 4 6" xfId="15465"/>
    <cellStyle name="Input 7 4 7" xfId="15466"/>
    <cellStyle name="Input 7 4 8" xfId="15467"/>
    <cellStyle name="Input 7 4 9" xfId="15468"/>
    <cellStyle name="Input 7 5" xfId="15469"/>
    <cellStyle name="Input 7 5 2" xfId="15470"/>
    <cellStyle name="Input 7 5 3" xfId="15471"/>
    <cellStyle name="Input 7 5 4" xfId="15472"/>
    <cellStyle name="Input 7 6" xfId="15473"/>
    <cellStyle name="Input 7 7" xfId="15474"/>
    <cellStyle name="Input 7 8" xfId="15475"/>
    <cellStyle name="Input 7 9" xfId="15476"/>
    <cellStyle name="Input 8" xfId="15477"/>
    <cellStyle name="Input 8 10" xfId="15478"/>
    <cellStyle name="Input 8 11" xfId="15479"/>
    <cellStyle name="Input 8 12" xfId="15480"/>
    <cellStyle name="Input 8 13" xfId="15481"/>
    <cellStyle name="Input 8 14" xfId="15482"/>
    <cellStyle name="Input 8 15" xfId="15483"/>
    <cellStyle name="Input 8 16" xfId="15484"/>
    <cellStyle name="Input 8 17" xfId="15485"/>
    <cellStyle name="Input 8 18" xfId="15486"/>
    <cellStyle name="Input 8 19" xfId="15487"/>
    <cellStyle name="Input 8 2" xfId="15488"/>
    <cellStyle name="Input 8 2 10" xfId="15489"/>
    <cellStyle name="Input 8 2 11" xfId="15490"/>
    <cellStyle name="Input 8 2 12" xfId="15491"/>
    <cellStyle name="Input 8 2 13" xfId="15492"/>
    <cellStyle name="Input 8 2 14" xfId="15493"/>
    <cellStyle name="Input 8 2 15" xfId="15494"/>
    <cellStyle name="Input 8 2 16" xfId="15495"/>
    <cellStyle name="Input 8 2 17" xfId="15496"/>
    <cellStyle name="Input 8 2 18" xfId="15497"/>
    <cellStyle name="Input 8 2 2" xfId="15498"/>
    <cellStyle name="Input 8 2 2 10" xfId="15499"/>
    <cellStyle name="Input 8 2 2 11" xfId="15500"/>
    <cellStyle name="Input 8 2 2 12" xfId="15501"/>
    <cellStyle name="Input 8 2 2 13" xfId="15502"/>
    <cellStyle name="Input 8 2 2 14" xfId="15503"/>
    <cellStyle name="Input 8 2 2 15" xfId="15504"/>
    <cellStyle name="Input 8 2 2 16" xfId="15505"/>
    <cellStyle name="Input 8 2 2 2" xfId="15506"/>
    <cellStyle name="Input 8 2 2 2 2" xfId="15507"/>
    <cellStyle name="Input 8 2 2 2 3" xfId="15508"/>
    <cellStyle name="Input 8 2 2 2 4" xfId="15509"/>
    <cellStyle name="Input 8 2 2 3" xfId="15510"/>
    <cellStyle name="Input 8 2 2 4" xfId="15511"/>
    <cellStyle name="Input 8 2 2 5" xfId="15512"/>
    <cellStyle name="Input 8 2 2 6" xfId="15513"/>
    <cellStyle name="Input 8 2 2 7" xfId="15514"/>
    <cellStyle name="Input 8 2 2 8" xfId="15515"/>
    <cellStyle name="Input 8 2 2 9" xfId="15516"/>
    <cellStyle name="Input 8 2 3" xfId="15517"/>
    <cellStyle name="Input 8 2 3 10" xfId="15518"/>
    <cellStyle name="Input 8 2 3 11" xfId="15519"/>
    <cellStyle name="Input 8 2 3 12" xfId="15520"/>
    <cellStyle name="Input 8 2 3 13" xfId="15521"/>
    <cellStyle name="Input 8 2 3 14" xfId="15522"/>
    <cellStyle name="Input 8 2 3 15" xfId="15523"/>
    <cellStyle name="Input 8 2 3 16" xfId="15524"/>
    <cellStyle name="Input 8 2 3 2" xfId="15525"/>
    <cellStyle name="Input 8 2 3 2 2" xfId="15526"/>
    <cellStyle name="Input 8 2 3 2 3" xfId="15527"/>
    <cellStyle name="Input 8 2 3 2 4" xfId="15528"/>
    <cellStyle name="Input 8 2 3 3" xfId="15529"/>
    <cellStyle name="Input 8 2 3 4" xfId="15530"/>
    <cellStyle name="Input 8 2 3 5" xfId="15531"/>
    <cellStyle name="Input 8 2 3 6" xfId="15532"/>
    <cellStyle name="Input 8 2 3 7" xfId="15533"/>
    <cellStyle name="Input 8 2 3 8" xfId="15534"/>
    <cellStyle name="Input 8 2 3 9" xfId="15535"/>
    <cellStyle name="Input 8 2 4" xfId="15536"/>
    <cellStyle name="Input 8 2 4 2" xfId="15537"/>
    <cellStyle name="Input 8 2 4 3" xfId="15538"/>
    <cellStyle name="Input 8 2 4 4" xfId="15539"/>
    <cellStyle name="Input 8 2 5" xfId="15540"/>
    <cellStyle name="Input 8 2 6" xfId="15541"/>
    <cellStyle name="Input 8 2 7" xfId="15542"/>
    <cellStyle name="Input 8 2 8" xfId="15543"/>
    <cellStyle name="Input 8 2 9" xfId="15544"/>
    <cellStyle name="Input 8 3" xfId="15545"/>
    <cellStyle name="Input 8 3 10" xfId="15546"/>
    <cellStyle name="Input 8 3 11" xfId="15547"/>
    <cellStyle name="Input 8 3 12" xfId="15548"/>
    <cellStyle name="Input 8 3 13" xfId="15549"/>
    <cellStyle name="Input 8 3 14" xfId="15550"/>
    <cellStyle name="Input 8 3 15" xfId="15551"/>
    <cellStyle name="Input 8 3 16" xfId="15552"/>
    <cellStyle name="Input 8 3 17" xfId="15553"/>
    <cellStyle name="Input 8 3 18" xfId="15554"/>
    <cellStyle name="Input 8 3 2" xfId="15555"/>
    <cellStyle name="Input 8 3 2 10" xfId="15556"/>
    <cellStyle name="Input 8 3 2 11" xfId="15557"/>
    <cellStyle name="Input 8 3 2 12" xfId="15558"/>
    <cellStyle name="Input 8 3 2 13" xfId="15559"/>
    <cellStyle name="Input 8 3 2 14" xfId="15560"/>
    <cellStyle name="Input 8 3 2 15" xfId="15561"/>
    <cellStyle name="Input 8 3 2 16" xfId="15562"/>
    <cellStyle name="Input 8 3 2 2" xfId="15563"/>
    <cellStyle name="Input 8 3 2 2 2" xfId="15564"/>
    <cellStyle name="Input 8 3 2 2 3" xfId="15565"/>
    <cellStyle name="Input 8 3 2 2 4" xfId="15566"/>
    <cellStyle name="Input 8 3 2 3" xfId="15567"/>
    <cellStyle name="Input 8 3 2 4" xfId="15568"/>
    <cellStyle name="Input 8 3 2 5" xfId="15569"/>
    <cellStyle name="Input 8 3 2 6" xfId="15570"/>
    <cellStyle name="Input 8 3 2 7" xfId="15571"/>
    <cellStyle name="Input 8 3 2 8" xfId="15572"/>
    <cellStyle name="Input 8 3 2 9" xfId="15573"/>
    <cellStyle name="Input 8 3 3" xfId="15574"/>
    <cellStyle name="Input 8 3 3 10" xfId="15575"/>
    <cellStyle name="Input 8 3 3 11" xfId="15576"/>
    <cellStyle name="Input 8 3 3 12" xfId="15577"/>
    <cellStyle name="Input 8 3 3 13" xfId="15578"/>
    <cellStyle name="Input 8 3 3 14" xfId="15579"/>
    <cellStyle name="Input 8 3 3 15" xfId="15580"/>
    <cellStyle name="Input 8 3 3 16" xfId="15581"/>
    <cellStyle name="Input 8 3 3 2" xfId="15582"/>
    <cellStyle name="Input 8 3 3 2 2" xfId="15583"/>
    <cellStyle name="Input 8 3 3 2 3" xfId="15584"/>
    <cellStyle name="Input 8 3 3 2 4" xfId="15585"/>
    <cellStyle name="Input 8 3 3 3" xfId="15586"/>
    <cellStyle name="Input 8 3 3 4" xfId="15587"/>
    <cellStyle name="Input 8 3 3 5" xfId="15588"/>
    <cellStyle name="Input 8 3 3 6" xfId="15589"/>
    <cellStyle name="Input 8 3 3 7" xfId="15590"/>
    <cellStyle name="Input 8 3 3 8" xfId="15591"/>
    <cellStyle name="Input 8 3 3 9" xfId="15592"/>
    <cellStyle name="Input 8 3 4" xfId="15593"/>
    <cellStyle name="Input 8 3 4 2" xfId="15594"/>
    <cellStyle name="Input 8 3 4 3" xfId="15595"/>
    <cellStyle name="Input 8 3 4 4" xfId="15596"/>
    <cellStyle name="Input 8 3 5" xfId="15597"/>
    <cellStyle name="Input 8 3 6" xfId="15598"/>
    <cellStyle name="Input 8 3 7" xfId="15599"/>
    <cellStyle name="Input 8 3 8" xfId="15600"/>
    <cellStyle name="Input 8 3 9" xfId="15601"/>
    <cellStyle name="Input 8 4" xfId="15602"/>
    <cellStyle name="Input 8 4 10" xfId="15603"/>
    <cellStyle name="Input 8 4 11" xfId="15604"/>
    <cellStyle name="Input 8 4 12" xfId="15605"/>
    <cellStyle name="Input 8 4 13" xfId="15606"/>
    <cellStyle name="Input 8 4 14" xfId="15607"/>
    <cellStyle name="Input 8 4 15" xfId="15608"/>
    <cellStyle name="Input 8 4 16" xfId="15609"/>
    <cellStyle name="Input 8 4 17" xfId="15610"/>
    <cellStyle name="Input 8 4 18" xfId="15611"/>
    <cellStyle name="Input 8 4 2" xfId="15612"/>
    <cellStyle name="Input 8 4 2 10" xfId="15613"/>
    <cellStyle name="Input 8 4 2 11" xfId="15614"/>
    <cellStyle name="Input 8 4 2 12" xfId="15615"/>
    <cellStyle name="Input 8 4 2 13" xfId="15616"/>
    <cellStyle name="Input 8 4 2 14" xfId="15617"/>
    <cellStyle name="Input 8 4 2 15" xfId="15618"/>
    <cellStyle name="Input 8 4 2 16" xfId="15619"/>
    <cellStyle name="Input 8 4 2 2" xfId="15620"/>
    <cellStyle name="Input 8 4 2 2 2" xfId="15621"/>
    <cellStyle name="Input 8 4 2 2 3" xfId="15622"/>
    <cellStyle name="Input 8 4 2 2 4" xfId="15623"/>
    <cellStyle name="Input 8 4 2 3" xfId="15624"/>
    <cellStyle name="Input 8 4 2 4" xfId="15625"/>
    <cellStyle name="Input 8 4 2 5" xfId="15626"/>
    <cellStyle name="Input 8 4 2 6" xfId="15627"/>
    <cellStyle name="Input 8 4 2 7" xfId="15628"/>
    <cellStyle name="Input 8 4 2 8" xfId="15629"/>
    <cellStyle name="Input 8 4 2 9" xfId="15630"/>
    <cellStyle name="Input 8 4 3" xfId="15631"/>
    <cellStyle name="Input 8 4 3 10" xfId="15632"/>
    <cellStyle name="Input 8 4 3 11" xfId="15633"/>
    <cellStyle name="Input 8 4 3 12" xfId="15634"/>
    <cellStyle name="Input 8 4 3 13" xfId="15635"/>
    <cellStyle name="Input 8 4 3 14" xfId="15636"/>
    <cellStyle name="Input 8 4 3 15" xfId="15637"/>
    <cellStyle name="Input 8 4 3 16" xfId="15638"/>
    <cellStyle name="Input 8 4 3 2" xfId="15639"/>
    <cellStyle name="Input 8 4 3 2 2" xfId="15640"/>
    <cellStyle name="Input 8 4 3 2 3" xfId="15641"/>
    <cellStyle name="Input 8 4 3 2 4" xfId="15642"/>
    <cellStyle name="Input 8 4 3 3" xfId="15643"/>
    <cellStyle name="Input 8 4 3 4" xfId="15644"/>
    <cellStyle name="Input 8 4 3 5" xfId="15645"/>
    <cellStyle name="Input 8 4 3 6" xfId="15646"/>
    <cellStyle name="Input 8 4 3 7" xfId="15647"/>
    <cellStyle name="Input 8 4 3 8" xfId="15648"/>
    <cellStyle name="Input 8 4 3 9" xfId="15649"/>
    <cellStyle name="Input 8 4 4" xfId="15650"/>
    <cellStyle name="Input 8 4 4 2" xfId="15651"/>
    <cellStyle name="Input 8 4 4 3" xfId="15652"/>
    <cellStyle name="Input 8 4 4 4" xfId="15653"/>
    <cellStyle name="Input 8 4 5" xfId="15654"/>
    <cellStyle name="Input 8 4 6" xfId="15655"/>
    <cellStyle name="Input 8 4 7" xfId="15656"/>
    <cellStyle name="Input 8 4 8" xfId="15657"/>
    <cellStyle name="Input 8 4 9" xfId="15658"/>
    <cellStyle name="Input 8 5" xfId="15659"/>
    <cellStyle name="Input 8 5 2" xfId="15660"/>
    <cellStyle name="Input 8 5 3" xfId="15661"/>
    <cellStyle name="Input 8 5 4" xfId="15662"/>
    <cellStyle name="Input 8 6" xfId="15663"/>
    <cellStyle name="Input 8 7" xfId="15664"/>
    <cellStyle name="Input 8 8" xfId="15665"/>
    <cellStyle name="Input 8 9" xfId="15666"/>
    <cellStyle name="Input 9" xfId="15667"/>
    <cellStyle name="Input 9 10" xfId="15668"/>
    <cellStyle name="Input 9 11" xfId="15669"/>
    <cellStyle name="Input 9 12" xfId="15670"/>
    <cellStyle name="Input 9 13" xfId="15671"/>
    <cellStyle name="Input 9 14" xfId="15672"/>
    <cellStyle name="Input 9 15" xfId="15673"/>
    <cellStyle name="Input 9 16" xfId="15674"/>
    <cellStyle name="Input 9 17" xfId="15675"/>
    <cellStyle name="Input 9 18" xfId="15676"/>
    <cellStyle name="Input 9 19" xfId="15677"/>
    <cellStyle name="Input 9 2" xfId="15678"/>
    <cellStyle name="Input 9 2 10" xfId="15679"/>
    <cellStyle name="Input 9 2 11" xfId="15680"/>
    <cellStyle name="Input 9 2 12" xfId="15681"/>
    <cellStyle name="Input 9 2 13" xfId="15682"/>
    <cellStyle name="Input 9 2 14" xfId="15683"/>
    <cellStyle name="Input 9 2 15" xfId="15684"/>
    <cellStyle name="Input 9 2 16" xfId="15685"/>
    <cellStyle name="Input 9 2 17" xfId="15686"/>
    <cellStyle name="Input 9 2 18" xfId="15687"/>
    <cellStyle name="Input 9 2 2" xfId="15688"/>
    <cellStyle name="Input 9 2 2 10" xfId="15689"/>
    <cellStyle name="Input 9 2 2 11" xfId="15690"/>
    <cellStyle name="Input 9 2 2 12" xfId="15691"/>
    <cellStyle name="Input 9 2 2 13" xfId="15692"/>
    <cellStyle name="Input 9 2 2 14" xfId="15693"/>
    <cellStyle name="Input 9 2 2 15" xfId="15694"/>
    <cellStyle name="Input 9 2 2 16" xfId="15695"/>
    <cellStyle name="Input 9 2 2 2" xfId="15696"/>
    <cellStyle name="Input 9 2 2 2 2" xfId="15697"/>
    <cellStyle name="Input 9 2 2 2 3" xfId="15698"/>
    <cellStyle name="Input 9 2 2 2 4" xfId="15699"/>
    <cellStyle name="Input 9 2 2 3" xfId="15700"/>
    <cellStyle name="Input 9 2 2 4" xfId="15701"/>
    <cellStyle name="Input 9 2 2 5" xfId="15702"/>
    <cellStyle name="Input 9 2 2 6" xfId="15703"/>
    <cellStyle name="Input 9 2 2 7" xfId="15704"/>
    <cellStyle name="Input 9 2 2 8" xfId="15705"/>
    <cellStyle name="Input 9 2 2 9" xfId="15706"/>
    <cellStyle name="Input 9 2 3" xfId="15707"/>
    <cellStyle name="Input 9 2 3 10" xfId="15708"/>
    <cellStyle name="Input 9 2 3 11" xfId="15709"/>
    <cellStyle name="Input 9 2 3 12" xfId="15710"/>
    <cellStyle name="Input 9 2 3 13" xfId="15711"/>
    <cellStyle name="Input 9 2 3 14" xfId="15712"/>
    <cellStyle name="Input 9 2 3 15" xfId="15713"/>
    <cellStyle name="Input 9 2 3 16" xfId="15714"/>
    <cellStyle name="Input 9 2 3 2" xfId="15715"/>
    <cellStyle name="Input 9 2 3 2 2" xfId="15716"/>
    <cellStyle name="Input 9 2 3 2 3" xfId="15717"/>
    <cellStyle name="Input 9 2 3 2 4" xfId="15718"/>
    <cellStyle name="Input 9 2 3 3" xfId="15719"/>
    <cellStyle name="Input 9 2 3 4" xfId="15720"/>
    <cellStyle name="Input 9 2 3 5" xfId="15721"/>
    <cellStyle name="Input 9 2 3 6" xfId="15722"/>
    <cellStyle name="Input 9 2 3 7" xfId="15723"/>
    <cellStyle name="Input 9 2 3 8" xfId="15724"/>
    <cellStyle name="Input 9 2 3 9" xfId="15725"/>
    <cellStyle name="Input 9 2 4" xfId="15726"/>
    <cellStyle name="Input 9 2 4 2" xfId="15727"/>
    <cellStyle name="Input 9 2 4 3" xfId="15728"/>
    <cellStyle name="Input 9 2 4 4" xfId="15729"/>
    <cellStyle name="Input 9 2 5" xfId="15730"/>
    <cellStyle name="Input 9 2 6" xfId="15731"/>
    <cellStyle name="Input 9 2 7" xfId="15732"/>
    <cellStyle name="Input 9 2 8" xfId="15733"/>
    <cellStyle name="Input 9 2 9" xfId="15734"/>
    <cellStyle name="Input 9 3" xfId="15735"/>
    <cellStyle name="Input 9 3 10" xfId="15736"/>
    <cellStyle name="Input 9 3 11" xfId="15737"/>
    <cellStyle name="Input 9 3 12" xfId="15738"/>
    <cellStyle name="Input 9 3 13" xfId="15739"/>
    <cellStyle name="Input 9 3 14" xfId="15740"/>
    <cellStyle name="Input 9 3 15" xfId="15741"/>
    <cellStyle name="Input 9 3 16" xfId="15742"/>
    <cellStyle name="Input 9 3 17" xfId="15743"/>
    <cellStyle name="Input 9 3 18" xfId="15744"/>
    <cellStyle name="Input 9 3 2" xfId="15745"/>
    <cellStyle name="Input 9 3 2 10" xfId="15746"/>
    <cellStyle name="Input 9 3 2 11" xfId="15747"/>
    <cellStyle name="Input 9 3 2 12" xfId="15748"/>
    <cellStyle name="Input 9 3 2 13" xfId="15749"/>
    <cellStyle name="Input 9 3 2 14" xfId="15750"/>
    <cellStyle name="Input 9 3 2 15" xfId="15751"/>
    <cellStyle name="Input 9 3 2 16" xfId="15752"/>
    <cellStyle name="Input 9 3 2 2" xfId="15753"/>
    <cellStyle name="Input 9 3 2 2 2" xfId="15754"/>
    <cellStyle name="Input 9 3 2 2 3" xfId="15755"/>
    <cellStyle name="Input 9 3 2 2 4" xfId="15756"/>
    <cellStyle name="Input 9 3 2 3" xfId="15757"/>
    <cellStyle name="Input 9 3 2 4" xfId="15758"/>
    <cellStyle name="Input 9 3 2 5" xfId="15759"/>
    <cellStyle name="Input 9 3 2 6" xfId="15760"/>
    <cellStyle name="Input 9 3 2 7" xfId="15761"/>
    <cellStyle name="Input 9 3 2 8" xfId="15762"/>
    <cellStyle name="Input 9 3 2 9" xfId="15763"/>
    <cellStyle name="Input 9 3 3" xfId="15764"/>
    <cellStyle name="Input 9 3 3 10" xfId="15765"/>
    <cellStyle name="Input 9 3 3 11" xfId="15766"/>
    <cellStyle name="Input 9 3 3 12" xfId="15767"/>
    <cellStyle name="Input 9 3 3 13" xfId="15768"/>
    <cellStyle name="Input 9 3 3 14" xfId="15769"/>
    <cellStyle name="Input 9 3 3 15" xfId="15770"/>
    <cellStyle name="Input 9 3 3 16" xfId="15771"/>
    <cellStyle name="Input 9 3 3 2" xfId="15772"/>
    <cellStyle name="Input 9 3 3 2 2" xfId="15773"/>
    <cellStyle name="Input 9 3 3 2 3" xfId="15774"/>
    <cellStyle name="Input 9 3 3 2 4" xfId="15775"/>
    <cellStyle name="Input 9 3 3 3" xfId="15776"/>
    <cellStyle name="Input 9 3 3 4" xfId="15777"/>
    <cellStyle name="Input 9 3 3 5" xfId="15778"/>
    <cellStyle name="Input 9 3 3 6" xfId="15779"/>
    <cellStyle name="Input 9 3 3 7" xfId="15780"/>
    <cellStyle name="Input 9 3 3 8" xfId="15781"/>
    <cellStyle name="Input 9 3 3 9" xfId="15782"/>
    <cellStyle name="Input 9 3 4" xfId="15783"/>
    <cellStyle name="Input 9 3 4 2" xfId="15784"/>
    <cellStyle name="Input 9 3 4 3" xfId="15785"/>
    <cellStyle name="Input 9 3 4 4" xfId="15786"/>
    <cellStyle name="Input 9 3 5" xfId="15787"/>
    <cellStyle name="Input 9 3 6" xfId="15788"/>
    <cellStyle name="Input 9 3 7" xfId="15789"/>
    <cellStyle name="Input 9 3 8" xfId="15790"/>
    <cellStyle name="Input 9 3 9" xfId="15791"/>
    <cellStyle name="Input 9 4" xfId="15792"/>
    <cellStyle name="Input 9 4 10" xfId="15793"/>
    <cellStyle name="Input 9 4 11" xfId="15794"/>
    <cellStyle name="Input 9 4 12" xfId="15795"/>
    <cellStyle name="Input 9 4 13" xfId="15796"/>
    <cellStyle name="Input 9 4 14" xfId="15797"/>
    <cellStyle name="Input 9 4 15" xfId="15798"/>
    <cellStyle name="Input 9 4 16" xfId="15799"/>
    <cellStyle name="Input 9 4 17" xfId="15800"/>
    <cellStyle name="Input 9 4 18" xfId="15801"/>
    <cellStyle name="Input 9 4 2" xfId="15802"/>
    <cellStyle name="Input 9 4 2 10" xfId="15803"/>
    <cellStyle name="Input 9 4 2 11" xfId="15804"/>
    <cellStyle name="Input 9 4 2 12" xfId="15805"/>
    <cellStyle name="Input 9 4 2 13" xfId="15806"/>
    <cellStyle name="Input 9 4 2 14" xfId="15807"/>
    <cellStyle name="Input 9 4 2 15" xfId="15808"/>
    <cellStyle name="Input 9 4 2 16" xfId="15809"/>
    <cellStyle name="Input 9 4 2 2" xfId="15810"/>
    <cellStyle name="Input 9 4 2 2 2" xfId="15811"/>
    <cellStyle name="Input 9 4 2 2 3" xfId="15812"/>
    <cellStyle name="Input 9 4 2 2 4" xfId="15813"/>
    <cellStyle name="Input 9 4 2 3" xfId="15814"/>
    <cellStyle name="Input 9 4 2 4" xfId="15815"/>
    <cellStyle name="Input 9 4 2 5" xfId="15816"/>
    <cellStyle name="Input 9 4 2 6" xfId="15817"/>
    <cellStyle name="Input 9 4 2 7" xfId="15818"/>
    <cellStyle name="Input 9 4 2 8" xfId="15819"/>
    <cellStyle name="Input 9 4 2 9" xfId="15820"/>
    <cellStyle name="Input 9 4 3" xfId="15821"/>
    <cellStyle name="Input 9 4 3 10" xfId="15822"/>
    <cellStyle name="Input 9 4 3 11" xfId="15823"/>
    <cellStyle name="Input 9 4 3 12" xfId="15824"/>
    <cellStyle name="Input 9 4 3 13" xfId="15825"/>
    <cellStyle name="Input 9 4 3 14" xfId="15826"/>
    <cellStyle name="Input 9 4 3 15" xfId="15827"/>
    <cellStyle name="Input 9 4 3 16" xfId="15828"/>
    <cellStyle name="Input 9 4 3 2" xfId="15829"/>
    <cellStyle name="Input 9 4 3 2 2" xfId="15830"/>
    <cellStyle name="Input 9 4 3 2 3" xfId="15831"/>
    <cellStyle name="Input 9 4 3 2 4" xfId="15832"/>
    <cellStyle name="Input 9 4 3 3" xfId="15833"/>
    <cellStyle name="Input 9 4 3 4" xfId="15834"/>
    <cellStyle name="Input 9 4 3 5" xfId="15835"/>
    <cellStyle name="Input 9 4 3 6" xfId="15836"/>
    <cellStyle name="Input 9 4 3 7" xfId="15837"/>
    <cellStyle name="Input 9 4 3 8" xfId="15838"/>
    <cellStyle name="Input 9 4 3 9" xfId="15839"/>
    <cellStyle name="Input 9 4 4" xfId="15840"/>
    <cellStyle name="Input 9 4 4 2" xfId="15841"/>
    <cellStyle name="Input 9 4 4 3" xfId="15842"/>
    <cellStyle name="Input 9 4 4 4" xfId="15843"/>
    <cellStyle name="Input 9 4 5" xfId="15844"/>
    <cellStyle name="Input 9 4 6" xfId="15845"/>
    <cellStyle name="Input 9 4 7" xfId="15846"/>
    <cellStyle name="Input 9 4 8" xfId="15847"/>
    <cellStyle name="Input 9 4 9" xfId="15848"/>
    <cellStyle name="Input 9 5" xfId="15849"/>
    <cellStyle name="Input 9 5 2" xfId="15850"/>
    <cellStyle name="Input 9 5 3" xfId="15851"/>
    <cellStyle name="Input 9 5 4" xfId="15852"/>
    <cellStyle name="Input 9 6" xfId="15853"/>
    <cellStyle name="Input 9 7" xfId="15854"/>
    <cellStyle name="Input 9 8" xfId="15855"/>
    <cellStyle name="Input 9 9" xfId="15856"/>
    <cellStyle name="Input Cells" xfId="15857"/>
    <cellStyle name="Insatisfaisant" xfId="15858"/>
    <cellStyle name="Item_Current" xfId="15859"/>
    <cellStyle name="Lien hypertexte" xfId="15860"/>
    <cellStyle name="Lien hypertexte visit?" xfId="15861"/>
    <cellStyle name="Lien hypertexte visite" xfId="15862"/>
    <cellStyle name="Lien hypertexte visité" xfId="15863"/>
    <cellStyle name="Link Currency (0)" xfId="15864"/>
    <cellStyle name="Link Currency (0) 2" xfId="15865"/>
    <cellStyle name="Link Currency (0) 3" xfId="15866"/>
    <cellStyle name="Link Currency (0) 4" xfId="15867"/>
    <cellStyle name="Link Currency (0) 5" xfId="15868"/>
    <cellStyle name="Link Currency (0) 6" xfId="15869"/>
    <cellStyle name="Link Currency (0) 7" xfId="15870"/>
    <cellStyle name="Link Currency (0) 8" xfId="15871"/>
    <cellStyle name="Link Currency (2)" xfId="15872"/>
    <cellStyle name="Link Currency (2) 2" xfId="15873"/>
    <cellStyle name="Link Currency (2) 2 2" xfId="15874"/>
    <cellStyle name="Link Currency (2) 3" xfId="15875"/>
    <cellStyle name="Link Currency (2) 3 2" xfId="15876"/>
    <cellStyle name="Link Currency (2) 4" xfId="15877"/>
    <cellStyle name="Link Currency (2) 4 2" xfId="15878"/>
    <cellStyle name="Link Currency (2) 5" xfId="15879"/>
    <cellStyle name="Link Currency (2) 5 2" xfId="15880"/>
    <cellStyle name="Link Currency (2) 6" xfId="15881"/>
    <cellStyle name="Link Currency (2) 6 2" xfId="15882"/>
    <cellStyle name="Link Currency (2) 7" xfId="15883"/>
    <cellStyle name="Link Currency (2) 7 2" xfId="15884"/>
    <cellStyle name="Link Currency (2) 8" xfId="15885"/>
    <cellStyle name="Link Currency (2) 8 2" xfId="15886"/>
    <cellStyle name="Link Currency (2) 9" xfId="15887"/>
    <cellStyle name="Link Units (0)" xfId="15888"/>
    <cellStyle name="Link Units (0) 2" xfId="15889"/>
    <cellStyle name="Link Units (0) 3" xfId="15890"/>
    <cellStyle name="Link Units (0) 4" xfId="15891"/>
    <cellStyle name="Link Units (0) 5" xfId="15892"/>
    <cellStyle name="Link Units (0) 6" xfId="15893"/>
    <cellStyle name="Link Units (0) 7" xfId="15894"/>
    <cellStyle name="Link Units (0) 8" xfId="15895"/>
    <cellStyle name="Link Units (1)" xfId="15896"/>
    <cellStyle name="Link Units (1) 2" xfId="15897"/>
    <cellStyle name="Link Units (1) 3" xfId="15898"/>
    <cellStyle name="Link Units (1) 4" xfId="15899"/>
    <cellStyle name="Link Units (1) 4 2" xfId="15900"/>
    <cellStyle name="Link Units (1) 5" xfId="15901"/>
    <cellStyle name="Link Units (1) 5 2" xfId="15902"/>
    <cellStyle name="Link Units (1) 6" xfId="15903"/>
    <cellStyle name="Link Units (1) 7" xfId="15904"/>
    <cellStyle name="Link Units (1) 8" xfId="15905"/>
    <cellStyle name="Link Units (2)" xfId="15906"/>
    <cellStyle name="Link Units (2) 2" xfId="15907"/>
    <cellStyle name="Link Units (2) 2 2" xfId="15908"/>
    <cellStyle name="Link Units (2) 3" xfId="15909"/>
    <cellStyle name="Link Units (2) 3 2" xfId="15910"/>
    <cellStyle name="Link Units (2) 4" xfId="15911"/>
    <cellStyle name="Link Units (2) 4 2" xfId="15912"/>
    <cellStyle name="Link Units (2) 5" xfId="15913"/>
    <cellStyle name="Link Units (2) 5 2" xfId="15914"/>
    <cellStyle name="Link Units (2) 6" xfId="15915"/>
    <cellStyle name="Link Units (2) 6 2" xfId="15916"/>
    <cellStyle name="Link Units (2) 7" xfId="15917"/>
    <cellStyle name="Link Units (2) 7 2" xfId="15918"/>
    <cellStyle name="Link Units (2) 8" xfId="15919"/>
    <cellStyle name="Link Units (2) 8 2" xfId="15920"/>
    <cellStyle name="Link Units (2) 9" xfId="15921"/>
    <cellStyle name="Linked Cell 1" xfId="15922"/>
    <cellStyle name="Linked Cell 10 2" xfId="15923"/>
    <cellStyle name="Linked Cell 10 3" xfId="15924"/>
    <cellStyle name="Linked Cell 10 4" xfId="15925"/>
    <cellStyle name="Linked Cell 11 2" xfId="15926"/>
    <cellStyle name="Linked Cell 11 3" xfId="15927"/>
    <cellStyle name="Linked Cell 11 4" xfId="15928"/>
    <cellStyle name="Linked Cell 12 2" xfId="15929"/>
    <cellStyle name="Linked Cell 12 3" xfId="15930"/>
    <cellStyle name="Linked Cell 12 4" xfId="15931"/>
    <cellStyle name="Linked Cell 13 2" xfId="15932"/>
    <cellStyle name="Linked Cell 13 3" xfId="15933"/>
    <cellStyle name="Linked Cell 13 4" xfId="15934"/>
    <cellStyle name="Linked Cell 14 2" xfId="15935"/>
    <cellStyle name="Linked Cell 14 3" xfId="15936"/>
    <cellStyle name="Linked Cell 14 4" xfId="15937"/>
    <cellStyle name="Linked Cell 15 2" xfId="15938"/>
    <cellStyle name="Linked Cell 15 3" xfId="15939"/>
    <cellStyle name="Linked Cell 15 4" xfId="15940"/>
    <cellStyle name="Linked Cell 16 2" xfId="15941"/>
    <cellStyle name="Linked Cell 16 3" xfId="15942"/>
    <cellStyle name="Linked Cell 16 4" xfId="15943"/>
    <cellStyle name="Linked Cell 17 2" xfId="15944"/>
    <cellStyle name="Linked Cell 17 3" xfId="15945"/>
    <cellStyle name="Linked Cell 17 4" xfId="15946"/>
    <cellStyle name="Linked Cell 2" xfId="15947"/>
    <cellStyle name="Linked Cell 2 2" xfId="15948"/>
    <cellStyle name="Linked Cell 2 3" xfId="15949"/>
    <cellStyle name="Linked Cell 2 4" xfId="15950"/>
    <cellStyle name="Linked Cell 3" xfId="15951"/>
    <cellStyle name="Linked Cell 3 2" xfId="15952"/>
    <cellStyle name="Linked Cell 3 3" xfId="15953"/>
    <cellStyle name="Linked Cell 3 4" xfId="15954"/>
    <cellStyle name="Linked Cell 4" xfId="15955"/>
    <cellStyle name="Linked Cell 4 2" xfId="15956"/>
    <cellStyle name="Linked Cell 4 3" xfId="15957"/>
    <cellStyle name="Linked Cell 4 4" xfId="15958"/>
    <cellStyle name="Linked Cell 5" xfId="15959"/>
    <cellStyle name="Linked Cell 5 2" xfId="15960"/>
    <cellStyle name="Linked Cell 5 3" xfId="15961"/>
    <cellStyle name="Linked Cell 5 4" xfId="15962"/>
    <cellStyle name="Linked Cell 6" xfId="15963"/>
    <cellStyle name="Linked Cell 6 2" xfId="15964"/>
    <cellStyle name="Linked Cell 6 3" xfId="15965"/>
    <cellStyle name="Linked Cell 6 4" xfId="15966"/>
    <cellStyle name="Linked Cell 7 2" xfId="15967"/>
    <cellStyle name="Linked Cell 7 3" xfId="15968"/>
    <cellStyle name="Linked Cell 7 4" xfId="15969"/>
    <cellStyle name="Linked Cell 8 2" xfId="15970"/>
    <cellStyle name="Linked Cell 8 3" xfId="15971"/>
    <cellStyle name="Linked Cell 8 4" xfId="15972"/>
    <cellStyle name="Linked Cell 9 2" xfId="15973"/>
    <cellStyle name="Linked Cell 9 3" xfId="15974"/>
    <cellStyle name="Linked Cell 9 4" xfId="15975"/>
    <cellStyle name="Linked Cells" xfId="15976"/>
    <cellStyle name="LISAM" xfId="15977"/>
    <cellStyle name="Millares [0]_Grade Differentiators" xfId="15978"/>
    <cellStyle name="Millares_Grade Differentiators" xfId="15979"/>
    <cellStyle name="Milliers [0]_1" xfId="15980"/>
    <cellStyle name="Milliers_~9720173" xfId="15981"/>
    <cellStyle name="Model" xfId="15982"/>
    <cellStyle name="Moneda [0]_Grade Differentiators" xfId="15983"/>
    <cellStyle name="Moneda_Grade Differentiators" xfId="15984"/>
    <cellStyle name="Monétaire [0]_1" xfId="15985"/>
    <cellStyle name="Monétaire_~9720173" xfId="15986"/>
    <cellStyle name="ＭＳゴシック" xfId="15987"/>
    <cellStyle name="n" xfId="15988"/>
    <cellStyle name="n_Bao cao KT tuan 36" xfId="15989"/>
    <cellStyle name="N_Intimex-2007" xfId="15990"/>
    <cellStyle name="N_Intimex-2007 2" xfId="15991"/>
    <cellStyle name="N_Intimex-2007 3" xfId="15992"/>
    <cellStyle name="N_Intimex-2007 4" xfId="15993"/>
    <cellStyle name="N_Intimex-2007 5" xfId="15994"/>
    <cellStyle name="Neutral 1" xfId="15995"/>
    <cellStyle name="Neutral 1 2" xfId="15996"/>
    <cellStyle name="Neutral 10 2" xfId="15997"/>
    <cellStyle name="Neutral 10 3" xfId="15998"/>
    <cellStyle name="Neutral 10 4" xfId="15999"/>
    <cellStyle name="Neutral 11 2" xfId="16000"/>
    <cellStyle name="Neutral 11 3" xfId="16001"/>
    <cellStyle name="Neutral 11 4" xfId="16002"/>
    <cellStyle name="Neutral 12 2" xfId="16003"/>
    <cellStyle name="Neutral 12 3" xfId="16004"/>
    <cellStyle name="Neutral 12 4" xfId="16005"/>
    <cellStyle name="Neutral 13 2" xfId="16006"/>
    <cellStyle name="Neutral 13 3" xfId="16007"/>
    <cellStyle name="Neutral 13 4" xfId="16008"/>
    <cellStyle name="Neutral 14 2" xfId="16009"/>
    <cellStyle name="Neutral 14 3" xfId="16010"/>
    <cellStyle name="Neutral 14 4" xfId="16011"/>
    <cellStyle name="Neutral 15 2" xfId="16012"/>
    <cellStyle name="Neutral 15 3" xfId="16013"/>
    <cellStyle name="Neutral 15 4" xfId="16014"/>
    <cellStyle name="Neutral 16 2" xfId="16015"/>
    <cellStyle name="Neutral 16 3" xfId="16016"/>
    <cellStyle name="Neutral 16 4" xfId="16017"/>
    <cellStyle name="Neutral 17 2" xfId="16018"/>
    <cellStyle name="Neutral 17 3" xfId="16019"/>
    <cellStyle name="Neutral 17 4" xfId="16020"/>
    <cellStyle name="Neutral 2" xfId="16021"/>
    <cellStyle name="Neutral 2 2" xfId="16022"/>
    <cellStyle name="Neutral 2 3" xfId="16023"/>
    <cellStyle name="Neutral 2 4" xfId="16024"/>
    <cellStyle name="Neutral 2 5" xfId="16025"/>
    <cellStyle name="Neutral 3" xfId="16026"/>
    <cellStyle name="Neutral 3 2" xfId="16027"/>
    <cellStyle name="Neutral 3 3" xfId="16028"/>
    <cellStyle name="Neutral 3 4" xfId="16029"/>
    <cellStyle name="Neutral 3 5" xfId="16030"/>
    <cellStyle name="Neutral 4" xfId="16031"/>
    <cellStyle name="Neutral 4 2" xfId="16032"/>
    <cellStyle name="Neutral 4 3" xfId="16033"/>
    <cellStyle name="Neutral 4 4" xfId="16034"/>
    <cellStyle name="Neutral 5" xfId="16035"/>
    <cellStyle name="Neutral 5 2" xfId="16036"/>
    <cellStyle name="Neutral 5 2 2" xfId="16037"/>
    <cellStyle name="Neutral 5 3" xfId="16038"/>
    <cellStyle name="Neutral 5 4" xfId="16039"/>
    <cellStyle name="Neutral 6" xfId="16040"/>
    <cellStyle name="Neutral 6 2" xfId="16041"/>
    <cellStyle name="Neutral 6 3" xfId="16042"/>
    <cellStyle name="Neutral 6 4" xfId="16043"/>
    <cellStyle name="Neutral 7 2" xfId="16044"/>
    <cellStyle name="Neutral 7 3" xfId="16045"/>
    <cellStyle name="Neutral 7 4" xfId="16046"/>
    <cellStyle name="Neutral 8 2" xfId="16047"/>
    <cellStyle name="Neutral 8 3" xfId="16048"/>
    <cellStyle name="Neutral 8 4" xfId="16049"/>
    <cellStyle name="Neutral 9 2" xfId="16050"/>
    <cellStyle name="Neutral 9 3" xfId="16051"/>
    <cellStyle name="Neutral 9 4" xfId="16052"/>
    <cellStyle name="Neutre" xfId="16053"/>
    <cellStyle name="No" xfId="16054"/>
    <cellStyle name="no dec" xfId="16055"/>
    <cellStyle name="no dec 2" xfId="16056"/>
    <cellStyle name="no dec 3" xfId="16057"/>
    <cellStyle name="no dec 4" xfId="16058"/>
    <cellStyle name="no dec 5" xfId="16059"/>
    <cellStyle name="no dec 6" xfId="16060"/>
    <cellStyle name="no dec 7" xfId="16061"/>
    <cellStyle name="no dec 8" xfId="16062"/>
    <cellStyle name="ÑONVÒ" xfId="16063"/>
    <cellStyle name="ÑONVÒ 2" xfId="16064"/>
    <cellStyle name="ÑONVÒ 2 2" xfId="16065"/>
    <cellStyle name="ÑONVÒ 2 3" xfId="16066"/>
    <cellStyle name="ÑONVÒ 3" xfId="16067"/>
    <cellStyle name="ÑONVÒ 4" xfId="16068"/>
    <cellStyle name="ÑONVÒ 5" xfId="16069"/>
    <cellStyle name="ÑONVÒ 6" xfId="16070"/>
    <cellStyle name="ÑONVÒ 7" xfId="16071"/>
    <cellStyle name="Normal" xfId="0" builtinId="0"/>
    <cellStyle name="Normal - Style1" xfId="16072"/>
    <cellStyle name="Normal - Style5" xfId="16073"/>
    <cellStyle name="Normal 1" xfId="16074"/>
    <cellStyle name="Normal 10" xfId="16075"/>
    <cellStyle name="Normal 10 10" xfId="16076"/>
    <cellStyle name="Normal 10 11" xfId="16077"/>
    <cellStyle name="Normal 10 2" xfId="16078"/>
    <cellStyle name="Normal 10 2 2" xfId="16079"/>
    <cellStyle name="Normal 10 2 3" xfId="16080"/>
    <cellStyle name="Normal 10 2 3 2" xfId="16081"/>
    <cellStyle name="Normal 10 2 3 3" xfId="16082"/>
    <cellStyle name="Normal 10 2 3 4" xfId="16083"/>
    <cellStyle name="Normal 10 2 3 5" xfId="16084"/>
    <cellStyle name="Normal 10 2 3 6" xfId="16085"/>
    <cellStyle name="Normal 10 2 4" xfId="16086"/>
    <cellStyle name="Normal 10 2 5" xfId="16087"/>
    <cellStyle name="Normal 10 2 6" xfId="16088"/>
    <cellStyle name="Normal 10 3" xfId="16089"/>
    <cellStyle name="Normal 10 3 10" xfId="16090"/>
    <cellStyle name="Normal 10 3 10 2" xfId="16091"/>
    <cellStyle name="Normal 10 3 10 2 2" xfId="16092"/>
    <cellStyle name="Normal 10 3 10 3" xfId="16093"/>
    <cellStyle name="Normal 10 3 10 3 2" xfId="16094"/>
    <cellStyle name="Normal 10 3 10 4" xfId="16095"/>
    <cellStyle name="Normal 10 3 10 4 2" xfId="16096"/>
    <cellStyle name="Normal 10 3 10 5" xfId="16097"/>
    <cellStyle name="Normal 10 3 10 5 2" xfId="16098"/>
    <cellStyle name="Normal 10 3 10 6" xfId="16099"/>
    <cellStyle name="Normal 10 3 11" xfId="16100"/>
    <cellStyle name="Normal 10 3 12" xfId="16101"/>
    <cellStyle name="Normal 10 3 12 2" xfId="16102"/>
    <cellStyle name="Normal 10 3 13" xfId="16103"/>
    <cellStyle name="Normal 10 3 13 2" xfId="16104"/>
    <cellStyle name="Normal 10 3 14" xfId="16105"/>
    <cellStyle name="Normal 10 3 14 2" xfId="16106"/>
    <cellStyle name="Normal 10 3 15" xfId="16107"/>
    <cellStyle name="Normal 10 3 15 2" xfId="16108"/>
    <cellStyle name="Normal 10 3 16" xfId="16109"/>
    <cellStyle name="Normal 10 3 17" xfId="16110"/>
    <cellStyle name="Normal 10 3 18" xfId="16111"/>
    <cellStyle name="Normal 10 3 2" xfId="16112"/>
    <cellStyle name="Normal 10 3 2 10" xfId="16113"/>
    <cellStyle name="Normal 10 3 2 10 2" xfId="16114"/>
    <cellStyle name="Normal 10 3 2 2" xfId="16115"/>
    <cellStyle name="Normal 10 3 2 2 2" xfId="16116"/>
    <cellStyle name="Normal 10 3 2 2 2 2" xfId="16117"/>
    <cellStyle name="Normal 10 3 2 2 2 3" xfId="16118"/>
    <cellStyle name="Normal 10 3 2 2 2 4" xfId="16119"/>
    <cellStyle name="Normal 10 3 2 2 3" xfId="16120"/>
    <cellStyle name="Normal 10 3 2 2 4" xfId="16121"/>
    <cellStyle name="Normal 10 3 2 2 5" xfId="16122"/>
    <cellStyle name="Normal 10 3 2 2 6" xfId="16123"/>
    <cellStyle name="Normal 10 3 2 2 6 2" xfId="16124"/>
    <cellStyle name="Normal 10 3 2 2 7" xfId="16125"/>
    <cellStyle name="Normal 10 3 2 2 7 2" xfId="16126"/>
    <cellStyle name="Normal 10 3 2 2 8" xfId="16127"/>
    <cellStyle name="Normal 10 3 2 2 8 2" xfId="16128"/>
    <cellStyle name="Normal 10 3 2 2 9" xfId="16129"/>
    <cellStyle name="Normal 10 3 2 2 9 2" xfId="16130"/>
    <cellStyle name="Normal 10 3 2 3" xfId="16131"/>
    <cellStyle name="Normal 10 3 2 3 2" xfId="16132"/>
    <cellStyle name="Normal 10 3 2 3 3" xfId="16133"/>
    <cellStyle name="Normal 10 3 2 3 4" xfId="16134"/>
    <cellStyle name="Normal 10 3 2 3 5" xfId="16135"/>
    <cellStyle name="Normal 10 3 2 3 5 2" xfId="16136"/>
    <cellStyle name="Normal 10 3 2 3 6" xfId="16137"/>
    <cellStyle name="Normal 10 3 2 3 6 2" xfId="16138"/>
    <cellStyle name="Normal 10 3 2 3 7" xfId="16139"/>
    <cellStyle name="Normal 10 3 2 3 7 2" xfId="16140"/>
    <cellStyle name="Normal 10 3 2 3 8" xfId="16141"/>
    <cellStyle name="Normal 10 3 2 3 8 2" xfId="16142"/>
    <cellStyle name="Normal 10 3 2 3 9" xfId="16143"/>
    <cellStyle name="Normal 10 3 2 4" xfId="16144"/>
    <cellStyle name="Normal 10 3 2 5" xfId="16145"/>
    <cellStyle name="Normal 10 3 2 6" xfId="16146"/>
    <cellStyle name="Normal 10 3 2 7" xfId="16147"/>
    <cellStyle name="Normal 10 3 2 7 2" xfId="16148"/>
    <cellStyle name="Normal 10 3 2 8" xfId="16149"/>
    <cellStyle name="Normal 10 3 2 8 2" xfId="16150"/>
    <cellStyle name="Normal 10 3 2 8 3" xfId="16151"/>
    <cellStyle name="Normal 10 3 2 9" xfId="16152"/>
    <cellStyle name="Normal 10 3 2 9 2" xfId="16153"/>
    <cellStyle name="Normal 10 3 3" xfId="16154"/>
    <cellStyle name="Normal 10 3 3 10" xfId="16155"/>
    <cellStyle name="Normal 10 3 3 10 2" xfId="16156"/>
    <cellStyle name="Normal 10 3 3 2" xfId="16157"/>
    <cellStyle name="Normal 10 3 3 2 2" xfId="16158"/>
    <cellStyle name="Normal 10 3 3 2 2 2" xfId="16159"/>
    <cellStyle name="Normal 10 3 3 2 2 3" xfId="16160"/>
    <cellStyle name="Normal 10 3 3 2 2 4" xfId="16161"/>
    <cellStyle name="Normal 10 3 3 2 3" xfId="16162"/>
    <cellStyle name="Normal 10 3 3 2 4" xfId="16163"/>
    <cellStyle name="Normal 10 3 3 2 5" xfId="16164"/>
    <cellStyle name="Normal 10 3 3 2 6" xfId="16165"/>
    <cellStyle name="Normal 10 3 3 2 6 2" xfId="16166"/>
    <cellStyle name="Normal 10 3 3 2 7" xfId="16167"/>
    <cellStyle name="Normal 10 3 3 2 7 2" xfId="16168"/>
    <cellStyle name="Normal 10 3 3 2 8" xfId="16169"/>
    <cellStyle name="Normal 10 3 3 2 8 2" xfId="16170"/>
    <cellStyle name="Normal 10 3 3 2 9" xfId="16171"/>
    <cellStyle name="Normal 10 3 3 2 9 2" xfId="16172"/>
    <cellStyle name="Normal 10 3 3 3" xfId="16173"/>
    <cellStyle name="Normal 10 3 3 3 2" xfId="16174"/>
    <cellStyle name="Normal 10 3 3 3 3" xfId="16175"/>
    <cellStyle name="Normal 10 3 3 3 4" xfId="16176"/>
    <cellStyle name="Normal 10 3 3 3 5" xfId="16177"/>
    <cellStyle name="Normal 10 3 3 3 5 2" xfId="16178"/>
    <cellStyle name="Normal 10 3 3 3 6" xfId="16179"/>
    <cellStyle name="Normal 10 3 3 3 6 2" xfId="16180"/>
    <cellStyle name="Normal 10 3 3 3 7" xfId="16181"/>
    <cellStyle name="Normal 10 3 3 3 7 2" xfId="16182"/>
    <cellStyle name="Normal 10 3 3 3 8" xfId="16183"/>
    <cellStyle name="Normal 10 3 3 3 8 2" xfId="16184"/>
    <cellStyle name="Normal 10 3 3 3 9" xfId="16185"/>
    <cellStyle name="Normal 10 3 3 4" xfId="16186"/>
    <cellStyle name="Normal 10 3 3 5" xfId="16187"/>
    <cellStyle name="Normal 10 3 3 6" xfId="16188"/>
    <cellStyle name="Normal 10 3 3 7" xfId="16189"/>
    <cellStyle name="Normal 10 3 3 7 2" xfId="16190"/>
    <cellStyle name="Normal 10 3 3 8" xfId="16191"/>
    <cellStyle name="Normal 10 3 3 8 2" xfId="16192"/>
    <cellStyle name="Normal 10 3 3 9" xfId="16193"/>
    <cellStyle name="Normal 10 3 3 9 2" xfId="16194"/>
    <cellStyle name="Normal 10 3 4" xfId="16195"/>
    <cellStyle name="Normal 10 3 4 2" xfId="16196"/>
    <cellStyle name="Normal 10 3 4 2 2" xfId="16197"/>
    <cellStyle name="Normal 10 3 4 2 3" xfId="16198"/>
    <cellStyle name="Normal 10 3 4 2 4" xfId="16199"/>
    <cellStyle name="Normal 10 3 4 2 5" xfId="16200"/>
    <cellStyle name="Normal 10 3 4 2 5 2" xfId="16201"/>
    <cellStyle name="Normal 10 3 4 2 6" xfId="16202"/>
    <cellStyle name="Normal 10 3 4 2 6 2" xfId="16203"/>
    <cellStyle name="Normal 10 3 4 2 7" xfId="16204"/>
    <cellStyle name="Normal 10 3 4 2 7 2" xfId="16205"/>
    <cellStyle name="Normal 10 3 4 2 8" xfId="16206"/>
    <cellStyle name="Normal 10 3 4 2 8 2" xfId="16207"/>
    <cellStyle name="Normal 10 3 4 2 9" xfId="16208"/>
    <cellStyle name="Normal 10 3 4 3" xfId="16209"/>
    <cellStyle name="Normal 10 3 4 3 2" xfId="16210"/>
    <cellStyle name="Normal 10 3 4 3 2 2" xfId="16211"/>
    <cellStyle name="Normal 10 3 4 3 2 3" xfId="16212"/>
    <cellStyle name="Normal 10 3 4 3 3" xfId="16213"/>
    <cellStyle name="Normal 10 3 4 3 3 2" xfId="16214"/>
    <cellStyle name="Normal 10 3 4 3 4" xfId="16215"/>
    <cellStyle name="Normal 10 3 4 3 4 2" xfId="16216"/>
    <cellStyle name="Normal 10 3 4 3 5" xfId="16217"/>
    <cellStyle name="Normal 10 3 4 3 5 2" xfId="16218"/>
    <cellStyle name="Normal 10 3 4 4" xfId="16219"/>
    <cellStyle name="Normal 10 3 4 5" xfId="16220"/>
    <cellStyle name="Normal 10 3 4 6" xfId="16221"/>
    <cellStyle name="Normal 10 3 4 6 2" xfId="16222"/>
    <cellStyle name="Normal 10 3 4 7" xfId="16223"/>
    <cellStyle name="Normal 10 3 4 7 2" xfId="16224"/>
    <cellStyle name="Normal 10 3 4 8" xfId="16225"/>
    <cellStyle name="Normal 10 3 4 8 2" xfId="16226"/>
    <cellStyle name="Normal 10 3 4 9" xfId="16227"/>
    <cellStyle name="Normal 10 3 4 9 2" xfId="16228"/>
    <cellStyle name="Normal 10 3 5" xfId="16229"/>
    <cellStyle name="Normal 10 3 5 2" xfId="16230"/>
    <cellStyle name="Normal 10 3 5 2 2" xfId="16231"/>
    <cellStyle name="Normal 10 3 5 2 3" xfId="16232"/>
    <cellStyle name="Normal 10 3 5 2 4" xfId="16233"/>
    <cellStyle name="Normal 10 3 5 3" xfId="16234"/>
    <cellStyle name="Normal 10 3 5 4" xfId="16235"/>
    <cellStyle name="Normal 10 3 5 5" xfId="16236"/>
    <cellStyle name="Normal 10 3 5 6" xfId="16237"/>
    <cellStyle name="Normal 10 3 5 6 2" xfId="16238"/>
    <cellStyle name="Normal 10 3 5 7" xfId="16239"/>
    <cellStyle name="Normal 10 3 5 7 2" xfId="16240"/>
    <cellStyle name="Normal 10 3 5 8" xfId="16241"/>
    <cellStyle name="Normal 10 3 5 8 2" xfId="16242"/>
    <cellStyle name="Normal 10 3 5 9" xfId="16243"/>
    <cellStyle name="Normal 10 3 5 9 2" xfId="16244"/>
    <cellStyle name="Normal 10 3 6" xfId="16245"/>
    <cellStyle name="Normal 10 3 6 2" xfId="16246"/>
    <cellStyle name="Normal 10 3 6 3" xfId="16247"/>
    <cellStyle name="Normal 10 3 6 4" xfId="16248"/>
    <cellStyle name="Normal 10 3 6 5" xfId="16249"/>
    <cellStyle name="Normal 10 3 6 5 2" xfId="16250"/>
    <cellStyle name="Normal 10 3 6 6" xfId="16251"/>
    <cellStyle name="Normal 10 3 6 6 2" xfId="16252"/>
    <cellStyle name="Normal 10 3 6 7" xfId="16253"/>
    <cellStyle name="Normal 10 3 6 7 2" xfId="16254"/>
    <cellStyle name="Normal 10 3 6 8" xfId="16255"/>
    <cellStyle name="Normal 10 3 6 8 2" xfId="16256"/>
    <cellStyle name="Normal 10 3 7" xfId="16257"/>
    <cellStyle name="Normal 10 3 7 2" xfId="16258"/>
    <cellStyle name="Normal 10 3 7 3" xfId="16259"/>
    <cellStyle name="Normal 10 3 7 4" xfId="16260"/>
    <cellStyle name="Normal 10 3 7 5" xfId="16261"/>
    <cellStyle name="Normal 10 3 7 5 2" xfId="16262"/>
    <cellStyle name="Normal 10 3 7 6" xfId="16263"/>
    <cellStyle name="Normal 10 3 7 6 2" xfId="16264"/>
    <cellStyle name="Normal 10 3 7 7" xfId="16265"/>
    <cellStyle name="Normal 10 3 7 7 2" xfId="16266"/>
    <cellStyle name="Normal 10 3 7 7 3" xfId="16267"/>
    <cellStyle name="Normal 10 3 7 8" xfId="16268"/>
    <cellStyle name="Normal 10 3 7 8 2" xfId="16269"/>
    <cellStyle name="Normal 10 3 8" xfId="16270"/>
    <cellStyle name="Normal 10 3 8 10" xfId="16271"/>
    <cellStyle name="Normal 10 3 8 2" xfId="16272"/>
    <cellStyle name="Normal 10 3 8 3" xfId="16273"/>
    <cellStyle name="Normal 10 3 8 4" xfId="16274"/>
    <cellStyle name="Normal 10 3 8 5" xfId="16275"/>
    <cellStyle name="Normal 10 3 8 5 2" xfId="16276"/>
    <cellStyle name="Normal 10 3 8 6" xfId="16277"/>
    <cellStyle name="Normal 10 3 8 6 2" xfId="16278"/>
    <cellStyle name="Normal 10 3 8 6 3" xfId="16279"/>
    <cellStyle name="Normal 10 3 8 7" xfId="16280"/>
    <cellStyle name="Normal 10 3 8 7 2" xfId="16281"/>
    <cellStyle name="Normal 10 3 8 8" xfId="16282"/>
    <cellStyle name="Normal 10 3 8 8 2" xfId="16283"/>
    <cellStyle name="Normal 10 3 8 9" xfId="16284"/>
    <cellStyle name="Normal 10 3 9" xfId="16285"/>
    <cellStyle name="Normal 10 3 9 2" xfId="16286"/>
    <cellStyle name="Normal 10 3 9 2 2" xfId="16287"/>
    <cellStyle name="Normal 10 3 9 2 3" xfId="16288"/>
    <cellStyle name="Normal 10 3 9 3" xfId="16289"/>
    <cellStyle name="Normal 10 3 9 3 2" xfId="16290"/>
    <cellStyle name="Normal 10 3 9 3 3" xfId="16291"/>
    <cellStyle name="Normal 10 3 9 4" xfId="16292"/>
    <cellStyle name="Normal 10 3 9 4 2" xfId="16293"/>
    <cellStyle name="Normal 10 3 9 5" xfId="16294"/>
    <cellStyle name="Normal 10 3 9 5 2" xfId="16295"/>
    <cellStyle name="Normal 10 4" xfId="16296"/>
    <cellStyle name="Normal 10 4 2" xfId="16297"/>
    <cellStyle name="Normal 10 4 3" xfId="16298"/>
    <cellStyle name="Normal 10 4 4" xfId="16299"/>
    <cellStyle name="Normal 10 4 5" xfId="16300"/>
    <cellStyle name="Normal 10 4 6" xfId="16301"/>
    <cellStyle name="Normal 10 5" xfId="16302"/>
    <cellStyle name="Normal 10 5 2" xfId="16303"/>
    <cellStyle name="Normal 10 5 3" xfId="16304"/>
    <cellStyle name="Normal 10 5 4" xfId="16305"/>
    <cellStyle name="Normal 10 5 5" xfId="16306"/>
    <cellStyle name="Normal 10 5 6" xfId="16307"/>
    <cellStyle name="Normal 10 6" xfId="16308"/>
    <cellStyle name="Normal 10 7" xfId="16309"/>
    <cellStyle name="Normal 10 8" xfId="16310"/>
    <cellStyle name="Normal 10 9" xfId="16311"/>
    <cellStyle name="Normal 100" xfId="16312"/>
    <cellStyle name="Normal 101" xfId="16313"/>
    <cellStyle name="Normal 102" xfId="16314"/>
    <cellStyle name="Normal 103" xfId="16315"/>
    <cellStyle name="Normal 104" xfId="16316"/>
    <cellStyle name="Normal 105" xfId="16317"/>
    <cellStyle name="Normal 106" xfId="16318"/>
    <cellStyle name="Normal 107" xfId="16319"/>
    <cellStyle name="Normal 108" xfId="16320"/>
    <cellStyle name="Normal 109" xfId="16321"/>
    <cellStyle name="Normal 10pt" xfId="16322"/>
    <cellStyle name="Normal 10pt 2" xfId="16323"/>
    <cellStyle name="Normal 10pt 2 2" xfId="16324"/>
    <cellStyle name="Normal 10pt 2 3" xfId="16325"/>
    <cellStyle name="Normal 10pt 3" xfId="16326"/>
    <cellStyle name="Normal 10pt 4" xfId="16327"/>
    <cellStyle name="Normal 10pt 5" xfId="16328"/>
    <cellStyle name="Normal 10pt 6" xfId="16329"/>
    <cellStyle name="Normal 10pt 7" xfId="16330"/>
    <cellStyle name="Normal 11" xfId="16331"/>
    <cellStyle name="Normal 11 10" xfId="16332"/>
    <cellStyle name="Normal 11 11" xfId="16333"/>
    <cellStyle name="Normal 11 12" xfId="16334"/>
    <cellStyle name="Normal 11 13" xfId="16335"/>
    <cellStyle name="Normal 11 14" xfId="16336"/>
    <cellStyle name="Normal 11 15" xfId="16337"/>
    <cellStyle name="Normal 11 16" xfId="16338"/>
    <cellStyle name="Normal 11 17" xfId="16339"/>
    <cellStyle name="Normal 11 18" xfId="16340"/>
    <cellStyle name="Normal 11 2" xfId="16341"/>
    <cellStyle name="Normal 11 2 10" xfId="16342"/>
    <cellStyle name="Normal 11 2 11" xfId="16343"/>
    <cellStyle name="Normal 11 2 12" xfId="16344"/>
    <cellStyle name="Normal 11 2 13" xfId="16345"/>
    <cellStyle name="Normal 11 2 14" xfId="16346"/>
    <cellStyle name="Normal 11 2 15" xfId="16347"/>
    <cellStyle name="Normal 11 2 2" xfId="16348"/>
    <cellStyle name="Normal 11 2 2 2" xfId="16349"/>
    <cellStyle name="Normal 11 2 2 3" xfId="16350"/>
    <cellStyle name="Normal 11 2 2 4" xfId="16351"/>
    <cellStyle name="Normal 11 2 2 5" xfId="16352"/>
    <cellStyle name="Normal 11 2 2 6" xfId="16353"/>
    <cellStyle name="Normal 11 2 3" xfId="16354"/>
    <cellStyle name="Normal 11 2 3 2" xfId="16355"/>
    <cellStyle name="Normal 11 2 3 3" xfId="16356"/>
    <cellStyle name="Normal 11 2 3 4" xfId="16357"/>
    <cellStyle name="Normal 11 2 3 5" xfId="16358"/>
    <cellStyle name="Normal 11 2 3 6" xfId="16359"/>
    <cellStyle name="Normal 11 2 4" xfId="16360"/>
    <cellStyle name="Normal 11 2 5" xfId="16361"/>
    <cellStyle name="Normal 11 2 6" xfId="16362"/>
    <cellStyle name="Normal 11 2 7" xfId="16363"/>
    <cellStyle name="Normal 11 2 8" xfId="16364"/>
    <cellStyle name="Normal 11 2 9" xfId="16365"/>
    <cellStyle name="Normal 11 3" xfId="16366"/>
    <cellStyle name="Normal 11 3 10" xfId="16367"/>
    <cellStyle name="Normal 11 3 11" xfId="16368"/>
    <cellStyle name="Normal 11 3 12" xfId="16369"/>
    <cellStyle name="Normal 11 3 2" xfId="16370"/>
    <cellStyle name="Normal 11 3 2 10" xfId="16371"/>
    <cellStyle name="Normal 11 3 2 2" xfId="16372"/>
    <cellStyle name="Normal 11 3 2 2 2" xfId="16373"/>
    <cellStyle name="Normal 11 3 2 2 3" xfId="16374"/>
    <cellStyle name="Normal 11 3 2 2 4" xfId="16375"/>
    <cellStyle name="Normal 11 3 2 3" xfId="16376"/>
    <cellStyle name="Normal 11 3 2 4" xfId="16377"/>
    <cellStyle name="Normal 11 3 2 5" xfId="16378"/>
    <cellStyle name="Normal 11 3 2 6" xfId="16379"/>
    <cellStyle name="Normal 11 3 2 7" xfId="16380"/>
    <cellStyle name="Normal 11 3 2 8" xfId="16381"/>
    <cellStyle name="Normal 11 3 2 9" xfId="16382"/>
    <cellStyle name="Normal 11 3 3" xfId="16383"/>
    <cellStyle name="Normal 11 3 3 2" xfId="16384"/>
    <cellStyle name="Normal 11 3 3 3" xfId="16385"/>
    <cellStyle name="Normal 11 3 3 4" xfId="16386"/>
    <cellStyle name="Normal 11 3 3 5" xfId="16387"/>
    <cellStyle name="Normal 11 3 3 6" xfId="16388"/>
    <cellStyle name="Normal 11 3 3 7" xfId="16389"/>
    <cellStyle name="Normal 11 3 3 8" xfId="16390"/>
    <cellStyle name="Normal 11 3 3 9" xfId="16391"/>
    <cellStyle name="Normal 11 3 4" xfId="16392"/>
    <cellStyle name="Normal 11 3 4 2" xfId="16393"/>
    <cellStyle name="Normal 11 3 4 3" xfId="16394"/>
    <cellStyle name="Normal 11 3 4 4" xfId="16395"/>
    <cellStyle name="Normal 11 3 4 5" xfId="16396"/>
    <cellStyle name="Normal 11 3 4 6" xfId="16397"/>
    <cellStyle name="Normal 11 3 5" xfId="16398"/>
    <cellStyle name="Normal 11 3 5 2" xfId="16399"/>
    <cellStyle name="Normal 11 3 5 3" xfId="16400"/>
    <cellStyle name="Normal 11 3 5 4" xfId="16401"/>
    <cellStyle name="Normal 11 3 5 5" xfId="16402"/>
    <cellStyle name="Normal 11 3 5 6" xfId="16403"/>
    <cellStyle name="Normal 11 3 6" xfId="16404"/>
    <cellStyle name="Normal 11 3 6 2" xfId="16405"/>
    <cellStyle name="Normal 11 3 6 3" xfId="16406"/>
    <cellStyle name="Normal 11 3 6 4" xfId="16407"/>
    <cellStyle name="Normal 11 3 6 5" xfId="16408"/>
    <cellStyle name="Normal 11 3 6 6" xfId="16409"/>
    <cellStyle name="Normal 11 3 7" xfId="16410"/>
    <cellStyle name="Normal 11 3 8" xfId="16411"/>
    <cellStyle name="Normal 11 3 9" xfId="16412"/>
    <cellStyle name="Normal 11 4" xfId="16413"/>
    <cellStyle name="Normal 11 4 10" xfId="16414"/>
    <cellStyle name="Normal 11 4 11" xfId="16415"/>
    <cellStyle name="Normal 11 4 12" xfId="16416"/>
    <cellStyle name="Normal 11 4 2" xfId="16417"/>
    <cellStyle name="Normal 11 4 2 10" xfId="16418"/>
    <cellStyle name="Normal 11 4 2 2" xfId="16419"/>
    <cellStyle name="Normal 11 4 2 2 2" xfId="16420"/>
    <cellStyle name="Normal 11 4 2 2 3" xfId="16421"/>
    <cellStyle name="Normal 11 4 2 2 4" xfId="16422"/>
    <cellStyle name="Normal 11 4 2 3" xfId="16423"/>
    <cellStyle name="Normal 11 4 2 4" xfId="16424"/>
    <cellStyle name="Normal 11 4 2 5" xfId="16425"/>
    <cellStyle name="Normal 11 4 2 6" xfId="16426"/>
    <cellStyle name="Normal 11 4 2 7" xfId="16427"/>
    <cellStyle name="Normal 11 4 2 8" xfId="16428"/>
    <cellStyle name="Normal 11 4 2 9" xfId="16429"/>
    <cellStyle name="Normal 11 4 3" xfId="16430"/>
    <cellStyle name="Normal 11 4 3 2" xfId="16431"/>
    <cellStyle name="Normal 11 4 3 3" xfId="16432"/>
    <cellStyle name="Normal 11 4 3 4" xfId="16433"/>
    <cellStyle name="Normal 11 4 3 5" xfId="16434"/>
    <cellStyle name="Normal 11 4 3 6" xfId="16435"/>
    <cellStyle name="Normal 11 4 3 7" xfId="16436"/>
    <cellStyle name="Normal 11 4 3 8" xfId="16437"/>
    <cellStyle name="Normal 11 4 3 9" xfId="16438"/>
    <cellStyle name="Normal 11 4 4" xfId="16439"/>
    <cellStyle name="Normal 11 4 4 2" xfId="16440"/>
    <cellStyle name="Normal 11 4 4 3" xfId="16441"/>
    <cellStyle name="Normal 11 4 4 4" xfId="16442"/>
    <cellStyle name="Normal 11 4 4 5" xfId="16443"/>
    <cellStyle name="Normal 11 4 4 6" xfId="16444"/>
    <cellStyle name="Normal 11 4 5" xfId="16445"/>
    <cellStyle name="Normal 11 4 5 2" xfId="16446"/>
    <cellStyle name="Normal 11 4 5 3" xfId="16447"/>
    <cellStyle name="Normal 11 4 5 4" xfId="16448"/>
    <cellStyle name="Normal 11 4 5 5" xfId="16449"/>
    <cellStyle name="Normal 11 4 5 6" xfId="16450"/>
    <cellStyle name="Normal 11 4 6" xfId="16451"/>
    <cellStyle name="Normal 11 4 6 2" xfId="16452"/>
    <cellStyle name="Normal 11 4 6 3" xfId="16453"/>
    <cellStyle name="Normal 11 4 6 4" xfId="16454"/>
    <cellStyle name="Normal 11 4 6 5" xfId="16455"/>
    <cellStyle name="Normal 11 4 6 6" xfId="16456"/>
    <cellStyle name="Normal 11 4 7" xfId="16457"/>
    <cellStyle name="Normal 11 4 8" xfId="16458"/>
    <cellStyle name="Normal 11 4 9" xfId="16459"/>
    <cellStyle name="Normal 11 5" xfId="16460"/>
    <cellStyle name="Normal 11 5 10" xfId="16461"/>
    <cellStyle name="Normal 11 5 2" xfId="16462"/>
    <cellStyle name="Normal 11 5 2 2" xfId="16463"/>
    <cellStyle name="Normal 11 5 2 3" xfId="16464"/>
    <cellStyle name="Normal 11 5 2 4" xfId="16465"/>
    <cellStyle name="Normal 11 5 3" xfId="16466"/>
    <cellStyle name="Normal 11 5 4" xfId="16467"/>
    <cellStyle name="Normal 11 5 5" xfId="16468"/>
    <cellStyle name="Normal 11 5 6" xfId="16469"/>
    <cellStyle name="Normal 11 5 7" xfId="16470"/>
    <cellStyle name="Normal 11 5 8" xfId="16471"/>
    <cellStyle name="Normal 11 5 9" xfId="16472"/>
    <cellStyle name="Normal 11 6" xfId="16473"/>
    <cellStyle name="Normal 11 6 2" xfId="16474"/>
    <cellStyle name="Normal 11 6 2 2" xfId="16475"/>
    <cellStyle name="Normal 11 6 2 3" xfId="16476"/>
    <cellStyle name="Normal 11 6 2 4" xfId="16477"/>
    <cellStyle name="Normal 11 6 3" xfId="16478"/>
    <cellStyle name="Normal 11 6 4" xfId="16479"/>
    <cellStyle name="Normal 11 6 5" xfId="16480"/>
    <cellStyle name="Normal 11 6 6" xfId="16481"/>
    <cellStyle name="Normal 11 6 7" xfId="16482"/>
    <cellStyle name="Normal 11 6 8" xfId="16483"/>
    <cellStyle name="Normal 11 6 9" xfId="16484"/>
    <cellStyle name="Normal 11 7" xfId="16485"/>
    <cellStyle name="Normal 11 7 2" xfId="16486"/>
    <cellStyle name="Normal 11 7 3" xfId="16487"/>
    <cellStyle name="Normal 11 7 4" xfId="16488"/>
    <cellStyle name="Normal 11 7 5" xfId="16489"/>
    <cellStyle name="Normal 11 7 5 2" xfId="16490"/>
    <cellStyle name="Normal 11 7 6" xfId="16491"/>
    <cellStyle name="Normal 11 7 6 2" xfId="16492"/>
    <cellStyle name="Normal 11 7 7" xfId="16493"/>
    <cellStyle name="Normal 11 7 7 2" xfId="16494"/>
    <cellStyle name="Normal 11 7 8" xfId="16495"/>
    <cellStyle name="Normal 11 7 8 2" xfId="16496"/>
    <cellStyle name="Normal 11 7 9" xfId="16497"/>
    <cellStyle name="Normal 11 8" xfId="16498"/>
    <cellStyle name="Normal 11 8 2" xfId="16499"/>
    <cellStyle name="Normal 11 8 3" xfId="16500"/>
    <cellStyle name="Normal 11 8 4" xfId="16501"/>
    <cellStyle name="Normal 11 9" xfId="16502"/>
    <cellStyle name="Normal 11 9 2" xfId="16503"/>
    <cellStyle name="Normal 11 9 3" xfId="16504"/>
    <cellStyle name="Normal 11 9 4" xfId="16505"/>
    <cellStyle name="Normal 110" xfId="16506"/>
    <cellStyle name="Normal 111" xfId="16507"/>
    <cellStyle name="Normal 112" xfId="16508"/>
    <cellStyle name="Normal 113" xfId="16509"/>
    <cellStyle name="Normal 114" xfId="16510"/>
    <cellStyle name="Normal 115" xfId="16511"/>
    <cellStyle name="Normal 116" xfId="16512"/>
    <cellStyle name="Normal 117" xfId="16513"/>
    <cellStyle name="Normal 118" xfId="16514"/>
    <cellStyle name="Normal 119" xfId="16515"/>
    <cellStyle name="Normal 12" xfId="16516"/>
    <cellStyle name="Normal 12 10" xfId="16517"/>
    <cellStyle name="Normal 12 10 2" xfId="16518"/>
    <cellStyle name="Normal 12 11" xfId="16519"/>
    <cellStyle name="Normal 12 11 2" xfId="16520"/>
    <cellStyle name="Normal 12 12" xfId="16521"/>
    <cellStyle name="Normal 12 12 2" xfId="16522"/>
    <cellStyle name="Normal 12 13" xfId="16523"/>
    <cellStyle name="Normal 12 13 2" xfId="16524"/>
    <cellStyle name="Normal 12 14" xfId="16525"/>
    <cellStyle name="Normal 12 14 2" xfId="16526"/>
    <cellStyle name="Normal 12 15" xfId="16527"/>
    <cellStyle name="Normal 12 15 2" xfId="16528"/>
    <cellStyle name="Normal 12 16" xfId="16529"/>
    <cellStyle name="Normal 12 2" xfId="16530"/>
    <cellStyle name="Normal 12 2 10" xfId="16531"/>
    <cellStyle name="Normal 12 2 11" xfId="16532"/>
    <cellStyle name="Normal 12 2 2" xfId="16533"/>
    <cellStyle name="Normal 12 2 2 2" xfId="16534"/>
    <cellStyle name="Normal 12 2 2 2 2" xfId="16535"/>
    <cellStyle name="Normal 12 2 2 2 3" xfId="16536"/>
    <cellStyle name="Normal 12 2 2 2 4" xfId="16537"/>
    <cellStyle name="Normal 12 2 2 3" xfId="16538"/>
    <cellStyle name="Normal 12 2 2 4" xfId="16539"/>
    <cellStyle name="Normal 12 2 2 5" xfId="16540"/>
    <cellStyle name="Normal 12 2 2 6" xfId="16541"/>
    <cellStyle name="Normal 12 2 2 7" xfId="16542"/>
    <cellStyle name="Normal 12 2 2 8" xfId="16543"/>
    <cellStyle name="Normal 12 2 2 9" xfId="16544"/>
    <cellStyle name="Normal 12 2 3" xfId="16545"/>
    <cellStyle name="Normal 12 2 3 2" xfId="16546"/>
    <cellStyle name="Normal 12 2 3 3" xfId="16547"/>
    <cellStyle name="Normal 12 2 3 4" xfId="16548"/>
    <cellStyle name="Normal 12 2 3 5" xfId="16549"/>
    <cellStyle name="Normal 12 2 3 6" xfId="16550"/>
    <cellStyle name="Normal 12 2 3 7" xfId="16551"/>
    <cellStyle name="Normal 12 2 3 8" xfId="16552"/>
    <cellStyle name="Normal 12 2 3 9" xfId="16553"/>
    <cellStyle name="Normal 12 2 4" xfId="16554"/>
    <cellStyle name="Normal 12 2 4 2" xfId="16555"/>
    <cellStyle name="Normal 12 2 4 3" xfId="16556"/>
    <cellStyle name="Normal 12 2 4 4" xfId="16557"/>
    <cellStyle name="Normal 12 2 4 5" xfId="16558"/>
    <cellStyle name="Normal 12 2 4 6" xfId="16559"/>
    <cellStyle name="Normal 12 2 5" xfId="16560"/>
    <cellStyle name="Normal 12 2 5 2" xfId="16561"/>
    <cellStyle name="Normal 12 2 5 3" xfId="16562"/>
    <cellStyle name="Normal 12 2 5 4" xfId="16563"/>
    <cellStyle name="Normal 12 2 5 5" xfId="16564"/>
    <cellStyle name="Normal 12 2 5 6" xfId="16565"/>
    <cellStyle name="Normal 12 2 6" xfId="16566"/>
    <cellStyle name="Normal 12 2 6 2" xfId="16567"/>
    <cellStyle name="Normal 12 2 6 3" xfId="16568"/>
    <cellStyle name="Normal 12 2 6 4" xfId="16569"/>
    <cellStyle name="Normal 12 2 6 5" xfId="16570"/>
    <cellStyle name="Normal 12 2 6 6" xfId="16571"/>
    <cellStyle name="Normal 12 2 7" xfId="16572"/>
    <cellStyle name="Normal 12 2 8" xfId="16573"/>
    <cellStyle name="Normal 12 2 9" xfId="16574"/>
    <cellStyle name="Normal 12 3" xfId="16575"/>
    <cellStyle name="Normal 12 3 10" xfId="16576"/>
    <cellStyle name="Normal 12 3 11" xfId="16577"/>
    <cellStyle name="Normal 12 3 2" xfId="16578"/>
    <cellStyle name="Normal 12 3 2 10" xfId="16579"/>
    <cellStyle name="Normal 12 3 2 2" xfId="16580"/>
    <cellStyle name="Normal 12 3 2 2 2" xfId="16581"/>
    <cellStyle name="Normal 12 3 2 2 3" xfId="16582"/>
    <cellStyle name="Normal 12 3 2 2 4" xfId="16583"/>
    <cellStyle name="Normal 12 3 2 3" xfId="16584"/>
    <cellStyle name="Normal 12 3 2 4" xfId="16585"/>
    <cellStyle name="Normal 12 3 2 5" xfId="16586"/>
    <cellStyle name="Normal 12 3 2 6" xfId="16587"/>
    <cellStyle name="Normal 12 3 2 7" xfId="16588"/>
    <cellStyle name="Normal 12 3 2 8" xfId="16589"/>
    <cellStyle name="Normal 12 3 2 9" xfId="16590"/>
    <cellStyle name="Normal 12 3 3" xfId="16591"/>
    <cellStyle name="Normal 12 3 3 2" xfId="16592"/>
    <cellStyle name="Normal 12 3 3 3" xfId="16593"/>
    <cellStyle name="Normal 12 3 3 4" xfId="16594"/>
    <cellStyle name="Normal 12 3 3 5" xfId="16595"/>
    <cellStyle name="Normal 12 3 3 6" xfId="16596"/>
    <cellStyle name="Normal 12 3 3 7" xfId="16597"/>
    <cellStyle name="Normal 12 3 3 8" xfId="16598"/>
    <cellStyle name="Normal 12 3 3 9" xfId="16599"/>
    <cellStyle name="Normal 12 3 4" xfId="16600"/>
    <cellStyle name="Normal 12 3 4 2" xfId="16601"/>
    <cellStyle name="Normal 12 3 4 3" xfId="16602"/>
    <cellStyle name="Normal 12 3 4 4" xfId="16603"/>
    <cellStyle name="Normal 12 3 4 5" xfId="16604"/>
    <cellStyle name="Normal 12 3 4 6" xfId="16605"/>
    <cellStyle name="Normal 12 3 5" xfId="16606"/>
    <cellStyle name="Normal 12 3 5 2" xfId="16607"/>
    <cellStyle name="Normal 12 3 5 3" xfId="16608"/>
    <cellStyle name="Normal 12 3 5 4" xfId="16609"/>
    <cellStyle name="Normal 12 3 5 5" xfId="16610"/>
    <cellStyle name="Normal 12 3 5 6" xfId="16611"/>
    <cellStyle name="Normal 12 3 6" xfId="16612"/>
    <cellStyle name="Normal 12 3 6 2" xfId="16613"/>
    <cellStyle name="Normal 12 3 6 3" xfId="16614"/>
    <cellStyle name="Normal 12 3 6 4" xfId="16615"/>
    <cellStyle name="Normal 12 3 6 5" xfId="16616"/>
    <cellStyle name="Normal 12 3 7" xfId="16617"/>
    <cellStyle name="Normal 12 3 8" xfId="16618"/>
    <cellStyle name="Normal 12 3 9" xfId="16619"/>
    <cellStyle name="Normal 12 4" xfId="16620"/>
    <cellStyle name="Normal 12 4 10" xfId="16621"/>
    <cellStyle name="Normal 12 4 11" xfId="16622"/>
    <cellStyle name="Normal 12 4 12" xfId="16623"/>
    <cellStyle name="Normal 12 4 2" xfId="16624"/>
    <cellStyle name="Normal 12 4 2 2" xfId="16625"/>
    <cellStyle name="Normal 12 4 2 3" xfId="16626"/>
    <cellStyle name="Normal 12 4 2 4" xfId="16627"/>
    <cellStyle name="Normal 12 4 2 5" xfId="16628"/>
    <cellStyle name="Normal 12 4 2 6" xfId="16629"/>
    <cellStyle name="Normal 12 4 2 7" xfId="16630"/>
    <cellStyle name="Normal 12 4 2 8" xfId="16631"/>
    <cellStyle name="Normal 12 4 2 9" xfId="16632"/>
    <cellStyle name="Normal 12 4 3" xfId="16633"/>
    <cellStyle name="Normal 12 4 3 2" xfId="16634"/>
    <cellStyle name="Normal 12 4 3 3" xfId="16635"/>
    <cellStyle name="Normal 12 4 3 4" xfId="16636"/>
    <cellStyle name="Normal 12 4 3 5" xfId="16637"/>
    <cellStyle name="Normal 12 4 3 6" xfId="16638"/>
    <cellStyle name="Normal 12 4 4" xfId="16639"/>
    <cellStyle name="Normal 12 4 4 2" xfId="16640"/>
    <cellStyle name="Normal 12 4 4 3" xfId="16641"/>
    <cellStyle name="Normal 12 4 4 4" xfId="16642"/>
    <cellStyle name="Normal 12 4 4 5" xfId="16643"/>
    <cellStyle name="Normal 12 4 4 6" xfId="16644"/>
    <cellStyle name="Normal 12 4 5" xfId="16645"/>
    <cellStyle name="Normal 12 4 5 2" xfId="16646"/>
    <cellStyle name="Normal 12 4 5 3" xfId="16647"/>
    <cellStyle name="Normal 12 4 5 4" xfId="16648"/>
    <cellStyle name="Normal 12 4 5 5" xfId="16649"/>
    <cellStyle name="Normal 12 4 5 6" xfId="16650"/>
    <cellStyle name="Normal 12 4 6" xfId="16651"/>
    <cellStyle name="Normal 12 4 7" xfId="16652"/>
    <cellStyle name="Normal 12 4 8" xfId="16653"/>
    <cellStyle name="Normal 12 4 9" xfId="16654"/>
    <cellStyle name="Normal 12 5" xfId="16655"/>
    <cellStyle name="Normal 12 5 2" xfId="16656"/>
    <cellStyle name="Normal 12 5 2 2" xfId="16657"/>
    <cellStyle name="Normal 12 5 2 3" xfId="16658"/>
    <cellStyle name="Normal 12 5 2 4" xfId="16659"/>
    <cellStyle name="Normal 12 5 3" xfId="16660"/>
    <cellStyle name="Normal 12 5 4" xfId="16661"/>
    <cellStyle name="Normal 12 5 5" xfId="16662"/>
    <cellStyle name="Normal 12 5 6" xfId="16663"/>
    <cellStyle name="Normal 12 5 7" xfId="16664"/>
    <cellStyle name="Normal 12 5 8" xfId="16665"/>
    <cellStyle name="Normal 12 5 9" xfId="16666"/>
    <cellStyle name="Normal 12 6" xfId="16667"/>
    <cellStyle name="Normal 12 6 2" xfId="16668"/>
    <cellStyle name="Normal 12 6 3" xfId="16669"/>
    <cellStyle name="Normal 12 6 4" xfId="16670"/>
    <cellStyle name="Normal 12 6 5" xfId="16671"/>
    <cellStyle name="Normal 12 6 5 2" xfId="16672"/>
    <cellStyle name="Normal 12 6 6" xfId="16673"/>
    <cellStyle name="Normal 12 6 6 2" xfId="16674"/>
    <cellStyle name="Normal 12 6 7" xfId="16675"/>
    <cellStyle name="Normal 12 6 7 2" xfId="16676"/>
    <cellStyle name="Normal 12 6 8" xfId="16677"/>
    <cellStyle name="Normal 12 6 8 2" xfId="16678"/>
    <cellStyle name="Normal 12 6 9" xfId="16679"/>
    <cellStyle name="Normal 12 7" xfId="16680"/>
    <cellStyle name="Normal 12 7 2" xfId="16681"/>
    <cellStyle name="Normal 12 7 3" xfId="16682"/>
    <cellStyle name="Normal 12 7 4" xfId="16683"/>
    <cellStyle name="Normal 12 7 5" xfId="16684"/>
    <cellStyle name="Normal 12 8" xfId="16685"/>
    <cellStyle name="Normal 12 8 2" xfId="16686"/>
    <cellStyle name="Normal 12 8 3" xfId="16687"/>
    <cellStyle name="Normal 12 8 4" xfId="16688"/>
    <cellStyle name="Normal 12 8 5" xfId="16689"/>
    <cellStyle name="Normal 12 9" xfId="16690"/>
    <cellStyle name="Normal 120" xfId="16691"/>
    <cellStyle name="Normal 121" xfId="16692"/>
    <cellStyle name="Normal 122" xfId="16693"/>
    <cellStyle name="Normal 123" xfId="16694"/>
    <cellStyle name="Normal 124" xfId="16695"/>
    <cellStyle name="Normal 125" xfId="16696"/>
    <cellStyle name="Normal 126" xfId="16697"/>
    <cellStyle name="Normal 127" xfId="16698"/>
    <cellStyle name="Normal 128" xfId="16699"/>
    <cellStyle name="Normal 129" xfId="16700"/>
    <cellStyle name="Normal 13" xfId="16701"/>
    <cellStyle name="Normal 13 10" xfId="16702"/>
    <cellStyle name="Normal 13 10 2" xfId="16703"/>
    <cellStyle name="Normal 13 10 3" xfId="16704"/>
    <cellStyle name="Normal 13 10 4" xfId="16705"/>
    <cellStyle name="Normal 13 10 5" xfId="16706"/>
    <cellStyle name="Normal 13 10 6" xfId="16707"/>
    <cellStyle name="Normal 13 11" xfId="16708"/>
    <cellStyle name="Normal 13 11 2" xfId="16709"/>
    <cellStyle name="Normal 13 11 3" xfId="16710"/>
    <cellStyle name="Normal 13 11 4" xfId="16711"/>
    <cellStyle name="Normal 13 11 5" xfId="16712"/>
    <cellStyle name="Normal 13 11 6" xfId="16713"/>
    <cellStyle name="Normal 13 12" xfId="16714"/>
    <cellStyle name="Normal 13 12 2" xfId="16715"/>
    <cellStyle name="Normal 13 12 3" xfId="16716"/>
    <cellStyle name="Normal 13 12 4" xfId="16717"/>
    <cellStyle name="Normal 13 12 5" xfId="16718"/>
    <cellStyle name="Normal 13 12 6" xfId="16719"/>
    <cellStyle name="Normal 13 13" xfId="16720"/>
    <cellStyle name="Normal 13 14" xfId="16721"/>
    <cellStyle name="Normal 13 15" xfId="16722"/>
    <cellStyle name="Normal 13 16" xfId="16723"/>
    <cellStyle name="Normal 13 17" xfId="16724"/>
    <cellStyle name="Normal 13 2" xfId="16725"/>
    <cellStyle name="Normal 13 2 10" xfId="16726"/>
    <cellStyle name="Normal 13 2 11" xfId="16727"/>
    <cellStyle name="Normal 13 2 2" xfId="16728"/>
    <cellStyle name="Normal 13 2 2 10" xfId="16729"/>
    <cellStyle name="Normal 13 2 2 2" xfId="16730"/>
    <cellStyle name="Normal 13 2 2 2 2" xfId="16731"/>
    <cellStyle name="Normal 13 2 2 2 3" xfId="16732"/>
    <cellStyle name="Normal 13 2 2 2 4" xfId="16733"/>
    <cellStyle name="Normal 13 2 2 3" xfId="16734"/>
    <cellStyle name="Normal 13 2 2 4" xfId="16735"/>
    <cellStyle name="Normal 13 2 2 5" xfId="16736"/>
    <cellStyle name="Normal 13 2 2 6" xfId="16737"/>
    <cellStyle name="Normal 13 2 2 7" xfId="16738"/>
    <cellStyle name="Normal 13 2 2 8" xfId="16739"/>
    <cellStyle name="Normal 13 2 2 8 2" xfId="16740"/>
    <cellStyle name="Normal 13 2 2 9" xfId="16741"/>
    <cellStyle name="Normal 13 2 3" xfId="16742"/>
    <cellStyle name="Normal 13 2 3 2" xfId="16743"/>
    <cellStyle name="Normal 13 2 3 3" xfId="16744"/>
    <cellStyle name="Normal 13 2 3 4" xfId="16745"/>
    <cellStyle name="Normal 13 2 3 5" xfId="16746"/>
    <cellStyle name="Normal 13 2 3 6" xfId="16747"/>
    <cellStyle name="Normal 13 2 3 7" xfId="16748"/>
    <cellStyle name="Normal 13 2 3 8" xfId="16749"/>
    <cellStyle name="Normal 13 2 4" xfId="16750"/>
    <cellStyle name="Normal 13 2 4 2" xfId="16751"/>
    <cellStyle name="Normal 13 2 4 3" xfId="16752"/>
    <cellStyle name="Normal 13 2 4 4" xfId="16753"/>
    <cellStyle name="Normal 13 2 4 5" xfId="16754"/>
    <cellStyle name="Normal 13 2 4 6" xfId="16755"/>
    <cellStyle name="Normal 13 2 5" xfId="16756"/>
    <cellStyle name="Normal 13 2 5 2" xfId="16757"/>
    <cellStyle name="Normal 13 2 5 3" xfId="16758"/>
    <cellStyle name="Normal 13 2 5 4" xfId="16759"/>
    <cellStyle name="Normal 13 2 5 5" xfId="16760"/>
    <cellStyle name="Normal 13 2 5 6" xfId="16761"/>
    <cellStyle name="Normal 13 2 6" xfId="16762"/>
    <cellStyle name="Normal 13 2 6 2" xfId="16763"/>
    <cellStyle name="Normal 13 2 6 3" xfId="16764"/>
    <cellStyle name="Normal 13 2 6 4" xfId="16765"/>
    <cellStyle name="Normal 13 2 6 5" xfId="16766"/>
    <cellStyle name="Normal 13 2 6 6" xfId="16767"/>
    <cellStyle name="Normal 13 2 7" xfId="16768"/>
    <cellStyle name="Normal 13 2 8" xfId="16769"/>
    <cellStyle name="Normal 13 2 9" xfId="16770"/>
    <cellStyle name="Normal 13 3" xfId="16771"/>
    <cellStyle name="Normal 13 3 10" xfId="16772"/>
    <cellStyle name="Normal 13 3 11" xfId="16773"/>
    <cellStyle name="Normal 13 3 12" xfId="16774"/>
    <cellStyle name="Normal 13 3 2" xfId="16775"/>
    <cellStyle name="Normal 13 3 2 10" xfId="16776"/>
    <cellStyle name="Normal 13 3 2 2" xfId="16777"/>
    <cellStyle name="Normal 13 3 2 2 2" xfId="16778"/>
    <cellStyle name="Normal 13 3 2 2 3" xfId="16779"/>
    <cellStyle name="Normal 13 3 2 2 4" xfId="16780"/>
    <cellStyle name="Normal 13 3 2 3" xfId="16781"/>
    <cellStyle name="Normal 13 3 2 4" xfId="16782"/>
    <cellStyle name="Normal 13 3 2 5" xfId="16783"/>
    <cellStyle name="Normal 13 3 2 6" xfId="16784"/>
    <cellStyle name="Normal 13 3 2 7" xfId="16785"/>
    <cellStyle name="Normal 13 3 2 8" xfId="16786"/>
    <cellStyle name="Normal 13 3 2 9" xfId="16787"/>
    <cellStyle name="Normal 13 3 3" xfId="16788"/>
    <cellStyle name="Normal 13 3 3 2" xfId="16789"/>
    <cellStyle name="Normal 13 3 3 3" xfId="16790"/>
    <cellStyle name="Normal 13 3 3 4" xfId="16791"/>
    <cellStyle name="Normal 13 3 3 5" xfId="16792"/>
    <cellStyle name="Normal 13 3 3 6" xfId="16793"/>
    <cellStyle name="Normal 13 3 3 7" xfId="16794"/>
    <cellStyle name="Normal 13 3 3 8" xfId="16795"/>
    <cellStyle name="Normal 13 3 3 9" xfId="16796"/>
    <cellStyle name="Normal 13 3 4" xfId="16797"/>
    <cellStyle name="Normal 13 3 4 2" xfId="16798"/>
    <cellStyle name="Normal 13 3 4 3" xfId="16799"/>
    <cellStyle name="Normal 13 3 4 4" xfId="16800"/>
    <cellStyle name="Normal 13 3 4 5" xfId="16801"/>
    <cellStyle name="Normal 13 3 4 6" xfId="16802"/>
    <cellStyle name="Normal 13 3 5" xfId="16803"/>
    <cellStyle name="Normal 13 3 5 2" xfId="16804"/>
    <cellStyle name="Normal 13 3 5 3" xfId="16805"/>
    <cellStyle name="Normal 13 3 5 4" xfId="16806"/>
    <cellStyle name="Normal 13 3 5 5" xfId="16807"/>
    <cellStyle name="Normal 13 3 5 6" xfId="16808"/>
    <cellStyle name="Normal 13 3 6" xfId="16809"/>
    <cellStyle name="Normal 13 3 6 2" xfId="16810"/>
    <cellStyle name="Normal 13 3 6 3" xfId="16811"/>
    <cellStyle name="Normal 13 3 6 4" xfId="16812"/>
    <cellStyle name="Normal 13 3 6 5" xfId="16813"/>
    <cellStyle name="Normal 13 3 6 6" xfId="16814"/>
    <cellStyle name="Normal 13 3 7" xfId="16815"/>
    <cellStyle name="Normal 13 3 8" xfId="16816"/>
    <cellStyle name="Normal 13 3 9" xfId="16817"/>
    <cellStyle name="Normal 13 4" xfId="16818"/>
    <cellStyle name="Normal 13 4 10" xfId="16819"/>
    <cellStyle name="Normal 13 4 11" xfId="16820"/>
    <cellStyle name="Normal 13 4 12" xfId="16821"/>
    <cellStyle name="Normal 13 4 2" xfId="16822"/>
    <cellStyle name="Normal 13 4 2 2" xfId="16823"/>
    <cellStyle name="Normal 13 4 2 3" xfId="16824"/>
    <cellStyle name="Normal 13 4 2 4" xfId="16825"/>
    <cellStyle name="Normal 13 4 2 5" xfId="16826"/>
    <cellStyle name="Normal 13 4 2 6" xfId="16827"/>
    <cellStyle name="Normal 13 4 2 7" xfId="16828"/>
    <cellStyle name="Normal 13 4 2 8" xfId="16829"/>
    <cellStyle name="Normal 13 4 2 9" xfId="16830"/>
    <cellStyle name="Normal 13 4 3" xfId="16831"/>
    <cellStyle name="Normal 13 4 3 2" xfId="16832"/>
    <cellStyle name="Normal 13 4 3 3" xfId="16833"/>
    <cellStyle name="Normal 13 4 3 4" xfId="16834"/>
    <cellStyle name="Normal 13 4 3 5" xfId="16835"/>
    <cellStyle name="Normal 13 4 3 6" xfId="16836"/>
    <cellStyle name="Normal 13 4 4" xfId="16837"/>
    <cellStyle name="Normal 13 4 4 2" xfId="16838"/>
    <cellStyle name="Normal 13 4 4 3" xfId="16839"/>
    <cellStyle name="Normal 13 4 4 4" xfId="16840"/>
    <cellStyle name="Normal 13 4 4 5" xfId="16841"/>
    <cellStyle name="Normal 13 4 4 6" xfId="16842"/>
    <cellStyle name="Normal 13 4 5" xfId="16843"/>
    <cellStyle name="Normal 13 4 5 2" xfId="16844"/>
    <cellStyle name="Normal 13 4 5 3" xfId="16845"/>
    <cellStyle name="Normal 13 4 5 4" xfId="16846"/>
    <cellStyle name="Normal 13 4 5 5" xfId="16847"/>
    <cellStyle name="Normal 13 4 5 6" xfId="16848"/>
    <cellStyle name="Normal 13 4 6" xfId="16849"/>
    <cellStyle name="Normal 13 4 6 2" xfId="16850"/>
    <cellStyle name="Normal 13 4 7" xfId="16851"/>
    <cellStyle name="Normal 13 4 7 2" xfId="16852"/>
    <cellStyle name="Normal 13 4 8" xfId="16853"/>
    <cellStyle name="Normal 13 4 9" xfId="16854"/>
    <cellStyle name="Normal 13 5" xfId="16855"/>
    <cellStyle name="Normal 13 5 10" xfId="16856"/>
    <cellStyle name="Normal 13 5 11" xfId="16857"/>
    <cellStyle name="Normal 13 5 2" xfId="16858"/>
    <cellStyle name="Normal 13 5 2 2" xfId="16859"/>
    <cellStyle name="Normal 13 5 2 2 2" xfId="16860"/>
    <cellStyle name="Normal 13 5 2 2 3" xfId="16861"/>
    <cellStyle name="Normal 13 5 2 2 4" xfId="16862"/>
    <cellStyle name="Normal 13 5 2 3" xfId="16863"/>
    <cellStyle name="Normal 13 5 2 4" xfId="16864"/>
    <cellStyle name="Normal 13 5 2 5" xfId="16865"/>
    <cellStyle name="Normal 13 5 3" xfId="16866"/>
    <cellStyle name="Normal 13 5 3 2" xfId="16867"/>
    <cellStyle name="Normal 13 5 3 3" xfId="16868"/>
    <cellStyle name="Normal 13 5 3 4" xfId="16869"/>
    <cellStyle name="Normal 13 5 4" xfId="16870"/>
    <cellStyle name="Normal 13 5 5" xfId="16871"/>
    <cellStyle name="Normal 13 5 6" xfId="16872"/>
    <cellStyle name="Normal 13 5 7" xfId="16873"/>
    <cellStyle name="Normal 13 5 8" xfId="16874"/>
    <cellStyle name="Normal 13 5 9" xfId="16875"/>
    <cellStyle name="Normal 13 6" xfId="16876"/>
    <cellStyle name="Normal 13 6 2" xfId="16877"/>
    <cellStyle name="Normal 13 6 2 2" xfId="16878"/>
    <cellStyle name="Normal 13 6 2 3" xfId="16879"/>
    <cellStyle name="Normal 13 6 2 4" xfId="16880"/>
    <cellStyle name="Normal 13 6 3" xfId="16881"/>
    <cellStyle name="Normal 13 6 4" xfId="16882"/>
    <cellStyle name="Normal 13 6 5" xfId="16883"/>
    <cellStyle name="Normal 13 6 6" xfId="16884"/>
    <cellStyle name="Normal 13 6 7" xfId="16885"/>
    <cellStyle name="Normal 13 6 8" xfId="16886"/>
    <cellStyle name="Normal 13 6 9" xfId="16887"/>
    <cellStyle name="Normal 13 7" xfId="16888"/>
    <cellStyle name="Normal 13 7 2" xfId="16889"/>
    <cellStyle name="Normal 13 7 3" xfId="16890"/>
    <cellStyle name="Normal 13 7 4" xfId="16891"/>
    <cellStyle name="Normal 13 7 5" xfId="16892"/>
    <cellStyle name="Normal 13 7 6" xfId="16893"/>
    <cellStyle name="Normal 13 7 7" xfId="16894"/>
    <cellStyle name="Normal 13 7 8" xfId="16895"/>
    <cellStyle name="Normal 13 7 9" xfId="16896"/>
    <cellStyle name="Normal 13 8" xfId="16897"/>
    <cellStyle name="Normal 13 8 2" xfId="16898"/>
    <cellStyle name="Normal 13 8 3" xfId="16899"/>
    <cellStyle name="Normal 13 8 4" xfId="16900"/>
    <cellStyle name="Normal 13 8 5" xfId="16901"/>
    <cellStyle name="Normal 13 8 6" xfId="16902"/>
    <cellStyle name="Normal 13 8 7" xfId="16903"/>
    <cellStyle name="Normal 13 8 8" xfId="16904"/>
    <cellStyle name="Normal 13 8 9" xfId="16905"/>
    <cellStyle name="Normal 13 9" xfId="16906"/>
    <cellStyle name="Normal 13 9 2" xfId="16907"/>
    <cellStyle name="Normal 13 9 3" xfId="16908"/>
    <cellStyle name="Normal 13 9 4" xfId="16909"/>
    <cellStyle name="Normal 13 9 5" xfId="16910"/>
    <cellStyle name="Normal 13 9 6" xfId="16911"/>
    <cellStyle name="Normal 13 9 7" xfId="16912"/>
    <cellStyle name="Normal 13 9 8" xfId="16913"/>
    <cellStyle name="Normal 13 9 9" xfId="16914"/>
    <cellStyle name="Normal 130" xfId="16915"/>
    <cellStyle name="Normal 131" xfId="16916"/>
    <cellStyle name="Normal 132" xfId="16917"/>
    <cellStyle name="Normal 133" xfId="16918"/>
    <cellStyle name="Normal 134" xfId="16919"/>
    <cellStyle name="Normal 135" xfId="16920"/>
    <cellStyle name="Normal 136" xfId="16921"/>
    <cellStyle name="Normal 137" xfId="16922"/>
    <cellStyle name="Normal 138" xfId="16923"/>
    <cellStyle name="Normal 139" xfId="16924"/>
    <cellStyle name="Normal 14" xfId="16925"/>
    <cellStyle name="Normal 14 10" xfId="16926"/>
    <cellStyle name="Normal 14 11" xfId="16927"/>
    <cellStyle name="Normal 14 12" xfId="16928"/>
    <cellStyle name="Normal 14 13" xfId="16929"/>
    <cellStyle name="Normal 14 14" xfId="16930"/>
    <cellStyle name="Normal 14 15" xfId="16931"/>
    <cellStyle name="Normal 14 2" xfId="16932"/>
    <cellStyle name="Normal 14 2 10" xfId="16933"/>
    <cellStyle name="Normal 14 2 11" xfId="16934"/>
    <cellStyle name="Normal 14 2 12" xfId="16935"/>
    <cellStyle name="Normal 14 2 2" xfId="16936"/>
    <cellStyle name="Normal 14 2 2 10" xfId="16937"/>
    <cellStyle name="Normal 14 2 2 2" xfId="16938"/>
    <cellStyle name="Normal 14 2 2 2 2" xfId="16939"/>
    <cellStyle name="Normal 14 2 2 2 3" xfId="16940"/>
    <cellStyle name="Normal 14 2 2 2 4" xfId="16941"/>
    <cellStyle name="Normal 14 2 2 3" xfId="16942"/>
    <cellStyle name="Normal 14 2 2 4" xfId="16943"/>
    <cellStyle name="Normal 14 2 2 5" xfId="16944"/>
    <cellStyle name="Normal 14 2 2 6" xfId="16945"/>
    <cellStyle name="Normal 14 2 2 7" xfId="16946"/>
    <cellStyle name="Normal 14 2 2 8" xfId="16947"/>
    <cellStyle name="Normal 14 2 2 9" xfId="16948"/>
    <cellStyle name="Normal 14 2 3" xfId="16949"/>
    <cellStyle name="Normal 14 2 3 2" xfId="16950"/>
    <cellStyle name="Normal 14 2 3 3" xfId="16951"/>
    <cellStyle name="Normal 14 2 3 4" xfId="16952"/>
    <cellStyle name="Normal 14 2 3 5" xfId="16953"/>
    <cellStyle name="Normal 14 2 3 6" xfId="16954"/>
    <cellStyle name="Normal 14 2 3 7" xfId="16955"/>
    <cellStyle name="Normal 14 2 3 8" xfId="16956"/>
    <cellStyle name="Normal 14 2 3 9" xfId="16957"/>
    <cellStyle name="Normal 14 2 4" xfId="16958"/>
    <cellStyle name="Normal 14 2 4 2" xfId="16959"/>
    <cellStyle name="Normal 14 2 4 3" xfId="16960"/>
    <cellStyle name="Normal 14 2 4 4" xfId="16961"/>
    <cellStyle name="Normal 14 2 4 5" xfId="16962"/>
    <cellStyle name="Normal 14 2 4 6" xfId="16963"/>
    <cellStyle name="Normal 14 2 5" xfId="16964"/>
    <cellStyle name="Normal 14 2 5 2" xfId="16965"/>
    <cellStyle name="Normal 14 2 5 3" xfId="16966"/>
    <cellStyle name="Normal 14 2 5 4" xfId="16967"/>
    <cellStyle name="Normal 14 2 5 5" xfId="16968"/>
    <cellStyle name="Normal 14 2 5 6" xfId="16969"/>
    <cellStyle name="Normal 14 2 6" xfId="16970"/>
    <cellStyle name="Normal 14 2 6 2" xfId="16971"/>
    <cellStyle name="Normal 14 2 6 3" xfId="16972"/>
    <cellStyle name="Normal 14 2 6 4" xfId="16973"/>
    <cellStyle name="Normal 14 2 6 5" xfId="16974"/>
    <cellStyle name="Normal 14 2 6 6" xfId="16975"/>
    <cellStyle name="Normal 14 2 7" xfId="16976"/>
    <cellStyle name="Normal 14 2 8" xfId="16977"/>
    <cellStyle name="Normal 14 2 9" xfId="16978"/>
    <cellStyle name="Normal 14 3" xfId="16979"/>
    <cellStyle name="Normal 14 3 10" xfId="16980"/>
    <cellStyle name="Normal 14 3 11" xfId="16981"/>
    <cellStyle name="Normal 14 3 12" xfId="16982"/>
    <cellStyle name="Normal 14 3 2" xfId="16983"/>
    <cellStyle name="Normal 14 3 2 10" xfId="16984"/>
    <cellStyle name="Normal 14 3 2 2" xfId="16985"/>
    <cellStyle name="Normal 14 3 2 2 2" xfId="16986"/>
    <cellStyle name="Normal 14 3 2 2 3" xfId="16987"/>
    <cellStyle name="Normal 14 3 2 2 4" xfId="16988"/>
    <cellStyle name="Normal 14 3 2 3" xfId="16989"/>
    <cellStyle name="Normal 14 3 2 4" xfId="16990"/>
    <cellStyle name="Normal 14 3 2 5" xfId="16991"/>
    <cellStyle name="Normal 14 3 2 6" xfId="16992"/>
    <cellStyle name="Normal 14 3 2 7" xfId="16993"/>
    <cellStyle name="Normal 14 3 2 8" xfId="16994"/>
    <cellStyle name="Normal 14 3 2 9" xfId="16995"/>
    <cellStyle name="Normal 14 3 3" xfId="16996"/>
    <cellStyle name="Normal 14 3 3 2" xfId="16997"/>
    <cellStyle name="Normal 14 3 3 3" xfId="16998"/>
    <cellStyle name="Normal 14 3 3 4" xfId="16999"/>
    <cellStyle name="Normal 14 3 3 5" xfId="17000"/>
    <cellStyle name="Normal 14 3 3 6" xfId="17001"/>
    <cellStyle name="Normal 14 3 3 7" xfId="17002"/>
    <cellStyle name="Normal 14 3 3 8" xfId="17003"/>
    <cellStyle name="Normal 14 3 3 9" xfId="17004"/>
    <cellStyle name="Normal 14 3 4" xfId="17005"/>
    <cellStyle name="Normal 14 3 4 2" xfId="17006"/>
    <cellStyle name="Normal 14 3 4 3" xfId="17007"/>
    <cellStyle name="Normal 14 3 4 4" xfId="17008"/>
    <cellStyle name="Normal 14 3 4 5" xfId="17009"/>
    <cellStyle name="Normal 14 3 4 6" xfId="17010"/>
    <cellStyle name="Normal 14 3 5" xfId="17011"/>
    <cellStyle name="Normal 14 3 5 2" xfId="17012"/>
    <cellStyle name="Normal 14 3 5 3" xfId="17013"/>
    <cellStyle name="Normal 14 3 5 4" xfId="17014"/>
    <cellStyle name="Normal 14 3 5 5" xfId="17015"/>
    <cellStyle name="Normal 14 3 6" xfId="17016"/>
    <cellStyle name="Normal 14 3 6 2" xfId="17017"/>
    <cellStyle name="Normal 14 3 6 3" xfId="17018"/>
    <cellStyle name="Normal 14 3 6 4" xfId="17019"/>
    <cellStyle name="Normal 14 3 6 5" xfId="17020"/>
    <cellStyle name="Normal 14 3 6 6" xfId="17021"/>
    <cellStyle name="Normal 14 3 7" xfId="17022"/>
    <cellStyle name="Normal 14 3 8" xfId="17023"/>
    <cellStyle name="Normal 14 3 9" xfId="17024"/>
    <cellStyle name="Normal 14 4" xfId="17025"/>
    <cellStyle name="Normal 14 4 10" xfId="17026"/>
    <cellStyle name="Normal 14 4 11" xfId="17027"/>
    <cellStyle name="Normal 14 4 12" xfId="17028"/>
    <cellStyle name="Normal 14 4 2" xfId="17029"/>
    <cellStyle name="Normal 14 4 2 2" xfId="17030"/>
    <cellStyle name="Normal 14 4 2 3" xfId="17031"/>
    <cellStyle name="Normal 14 4 2 4" xfId="17032"/>
    <cellStyle name="Normal 14 4 2 5" xfId="17033"/>
    <cellStyle name="Normal 14 4 2 6" xfId="17034"/>
    <cellStyle name="Normal 14 4 2 7" xfId="17035"/>
    <cellStyle name="Normal 14 4 2 8" xfId="17036"/>
    <cellStyle name="Normal 14 4 2 9" xfId="17037"/>
    <cellStyle name="Normal 14 4 3" xfId="17038"/>
    <cellStyle name="Normal 14 4 3 2" xfId="17039"/>
    <cellStyle name="Normal 14 4 3 3" xfId="17040"/>
    <cellStyle name="Normal 14 4 3 4" xfId="17041"/>
    <cellStyle name="Normal 14 4 3 5" xfId="17042"/>
    <cellStyle name="Normal 14 4 3 6" xfId="17043"/>
    <cellStyle name="Normal 14 4 4" xfId="17044"/>
    <cellStyle name="Normal 14 4 4 2" xfId="17045"/>
    <cellStyle name="Normal 14 4 4 3" xfId="17046"/>
    <cellStyle name="Normal 14 4 4 4" xfId="17047"/>
    <cellStyle name="Normal 14 4 4 5" xfId="17048"/>
    <cellStyle name="Normal 14 4 4 6" xfId="17049"/>
    <cellStyle name="Normal 14 4 5" xfId="17050"/>
    <cellStyle name="Normal 14 4 5 2" xfId="17051"/>
    <cellStyle name="Normal 14 4 5 3" xfId="17052"/>
    <cellStyle name="Normal 14 4 5 4" xfId="17053"/>
    <cellStyle name="Normal 14 4 5 5" xfId="17054"/>
    <cellStyle name="Normal 14 4 5 6" xfId="17055"/>
    <cellStyle name="Normal 14 4 6" xfId="17056"/>
    <cellStyle name="Normal 14 4 7" xfId="17057"/>
    <cellStyle name="Normal 14 4 8" xfId="17058"/>
    <cellStyle name="Normal 14 4 9" xfId="17059"/>
    <cellStyle name="Normal 14 5" xfId="17060"/>
    <cellStyle name="Normal 14 5 2" xfId="17061"/>
    <cellStyle name="Normal 14 5 2 2" xfId="17062"/>
    <cellStyle name="Normal 14 5 2 3" xfId="17063"/>
    <cellStyle name="Normal 14 5 2 4" xfId="17064"/>
    <cellStyle name="Normal 14 5 3" xfId="17065"/>
    <cellStyle name="Normal 14 5 4" xfId="17066"/>
    <cellStyle name="Normal 14 5 5" xfId="17067"/>
    <cellStyle name="Normal 14 5 6" xfId="17068"/>
    <cellStyle name="Normal 14 5 6 2" xfId="17069"/>
    <cellStyle name="Normal 14 5 7" xfId="17070"/>
    <cellStyle name="Normal 14 5 7 2" xfId="17071"/>
    <cellStyle name="Normal 14 5 7 3" xfId="17072"/>
    <cellStyle name="Normal 14 5 8" xfId="17073"/>
    <cellStyle name="Normal 14 5 8 2" xfId="17074"/>
    <cellStyle name="Normal 14 5 9" xfId="17075"/>
    <cellStyle name="Normal 14 5 9 2" xfId="17076"/>
    <cellStyle name="Normal 14 5 9 3" xfId="17077"/>
    <cellStyle name="Normal 14 6" xfId="17078"/>
    <cellStyle name="Normal 14 6 2" xfId="17079"/>
    <cellStyle name="Normal 14 6 3" xfId="17080"/>
    <cellStyle name="Normal 14 6 4" xfId="17081"/>
    <cellStyle name="Normal 14 7" xfId="17082"/>
    <cellStyle name="Normal 14 7 2" xfId="17083"/>
    <cellStyle name="Normal 14 7 3" xfId="17084"/>
    <cellStyle name="Normal 14 7 4" xfId="17085"/>
    <cellStyle name="Normal 14 8" xfId="17086"/>
    <cellStyle name="Normal 14 8 2" xfId="17087"/>
    <cellStyle name="Normal 14 8 3" xfId="17088"/>
    <cellStyle name="Normal 14 8 4" xfId="17089"/>
    <cellStyle name="Normal 14 9" xfId="17090"/>
    <cellStyle name="Normal 140" xfId="17091"/>
    <cellStyle name="Normal 141" xfId="17092"/>
    <cellStyle name="Normal 142" xfId="17093"/>
    <cellStyle name="Normal 143" xfId="17094"/>
    <cellStyle name="Normal 144" xfId="17095"/>
    <cellStyle name="Normal 145" xfId="17096"/>
    <cellStyle name="Normal 146" xfId="17097"/>
    <cellStyle name="Normal 147" xfId="17098"/>
    <cellStyle name="Normal 148" xfId="17099"/>
    <cellStyle name="Normal 149" xfId="17100"/>
    <cellStyle name="Normal 15" xfId="17101"/>
    <cellStyle name="Normal 15 10" xfId="17102"/>
    <cellStyle name="Normal 15 10 2" xfId="17103"/>
    <cellStyle name="Normal 15 10 2 2" xfId="17104"/>
    <cellStyle name="Normal 15 10 3" xfId="17105"/>
    <cellStyle name="Normal 15 10 3 2" xfId="17106"/>
    <cellStyle name="Normal 15 10 4" xfId="17107"/>
    <cellStyle name="Normal 15 10 4 2" xfId="17108"/>
    <cellStyle name="Normal 15 10 5" xfId="17109"/>
    <cellStyle name="Normal 15 10 5 2" xfId="17110"/>
    <cellStyle name="Normal 15 10 6" xfId="17111"/>
    <cellStyle name="Normal 15 11" xfId="17112"/>
    <cellStyle name="Normal 15 12" xfId="17113"/>
    <cellStyle name="Normal 15 12 2" xfId="17114"/>
    <cellStyle name="Normal 15 13" xfId="17115"/>
    <cellStyle name="Normal 15 13 2" xfId="17116"/>
    <cellStyle name="Normal 15 14" xfId="17117"/>
    <cellStyle name="Normal 15 14 2" xfId="17118"/>
    <cellStyle name="Normal 15 15" xfId="17119"/>
    <cellStyle name="Normal 15 15 2" xfId="17120"/>
    <cellStyle name="Normal 15 2" xfId="17121"/>
    <cellStyle name="Normal 15 2 10" xfId="17122"/>
    <cellStyle name="Normal 15 2 10 2" xfId="17123"/>
    <cellStyle name="Normal 15 2 2" xfId="17124"/>
    <cellStyle name="Normal 15 2 2 2" xfId="17125"/>
    <cellStyle name="Normal 15 2 2 2 2" xfId="17126"/>
    <cellStyle name="Normal 15 2 2 2 3" xfId="17127"/>
    <cellStyle name="Normal 15 2 2 2 4" xfId="17128"/>
    <cellStyle name="Normal 15 2 2 3" xfId="17129"/>
    <cellStyle name="Normal 15 2 2 4" xfId="17130"/>
    <cellStyle name="Normal 15 2 2 5" xfId="17131"/>
    <cellStyle name="Normal 15 2 2 6" xfId="17132"/>
    <cellStyle name="Normal 15 2 2 6 2" xfId="17133"/>
    <cellStyle name="Normal 15 2 2 7" xfId="17134"/>
    <cellStyle name="Normal 15 2 2 7 2" xfId="17135"/>
    <cellStyle name="Normal 15 2 2 8" xfId="17136"/>
    <cellStyle name="Normal 15 2 2 8 2" xfId="17137"/>
    <cellStyle name="Normal 15 2 2 9" xfId="17138"/>
    <cellStyle name="Normal 15 2 2 9 2" xfId="17139"/>
    <cellStyle name="Normal 15 2 3" xfId="17140"/>
    <cellStyle name="Normal 15 2 3 2" xfId="17141"/>
    <cellStyle name="Normal 15 2 3 3" xfId="17142"/>
    <cellStyle name="Normal 15 2 3 4" xfId="17143"/>
    <cellStyle name="Normal 15 2 3 5" xfId="17144"/>
    <cellStyle name="Normal 15 2 3 5 2" xfId="17145"/>
    <cellStyle name="Normal 15 2 3 6" xfId="17146"/>
    <cellStyle name="Normal 15 2 3 6 2" xfId="17147"/>
    <cellStyle name="Normal 15 2 3 7" xfId="17148"/>
    <cellStyle name="Normal 15 2 3 7 2" xfId="17149"/>
    <cellStyle name="Normal 15 2 3 8" xfId="17150"/>
    <cellStyle name="Normal 15 2 3 8 2" xfId="17151"/>
    <cellStyle name="Normal 15 2 3 9" xfId="17152"/>
    <cellStyle name="Normal 15 2 4" xfId="17153"/>
    <cellStyle name="Normal 15 2 5" xfId="17154"/>
    <cellStyle name="Normal 15 2 6" xfId="17155"/>
    <cellStyle name="Normal 15 2 7" xfId="17156"/>
    <cellStyle name="Normal 15 2 7 2" xfId="17157"/>
    <cellStyle name="Normal 15 2 8" xfId="17158"/>
    <cellStyle name="Normal 15 2 8 2" xfId="17159"/>
    <cellStyle name="Normal 15 2 9" xfId="17160"/>
    <cellStyle name="Normal 15 2 9 2" xfId="17161"/>
    <cellStyle name="Normal 15 3" xfId="17162"/>
    <cellStyle name="Normal 15 3 10" xfId="17163"/>
    <cellStyle name="Normal 15 3 10 2" xfId="17164"/>
    <cellStyle name="Normal 15 3 2" xfId="17165"/>
    <cellStyle name="Normal 15 3 2 10" xfId="17166"/>
    <cellStyle name="Normal 15 3 2 2" xfId="17167"/>
    <cellStyle name="Normal 15 3 2 2 2" xfId="17168"/>
    <cellStyle name="Normal 15 3 2 2 3" xfId="17169"/>
    <cellStyle name="Normal 15 3 2 2 4" xfId="17170"/>
    <cellStyle name="Normal 15 3 2 3" xfId="17171"/>
    <cellStyle name="Normal 15 3 2 4" xfId="17172"/>
    <cellStyle name="Normal 15 3 2 5" xfId="17173"/>
    <cellStyle name="Normal 15 3 2 6" xfId="17174"/>
    <cellStyle name="Normal 15 3 2 6 2" xfId="17175"/>
    <cellStyle name="Normal 15 3 2 7" xfId="17176"/>
    <cellStyle name="Normal 15 3 2 7 2" xfId="17177"/>
    <cellStyle name="Normal 15 3 2 8" xfId="17178"/>
    <cellStyle name="Normal 15 3 2 8 2" xfId="17179"/>
    <cellStyle name="Normal 15 3 2 9" xfId="17180"/>
    <cellStyle name="Normal 15 3 2 9 2" xfId="17181"/>
    <cellStyle name="Normal 15 3 3" xfId="17182"/>
    <cellStyle name="Normal 15 3 3 2" xfId="17183"/>
    <cellStyle name="Normal 15 3 3 3" xfId="17184"/>
    <cellStyle name="Normal 15 3 3 4" xfId="17185"/>
    <cellStyle name="Normal 15 3 3 5" xfId="17186"/>
    <cellStyle name="Normal 15 3 3 5 2" xfId="17187"/>
    <cellStyle name="Normal 15 3 3 5 3" xfId="17188"/>
    <cellStyle name="Normal 15 3 3 6" xfId="17189"/>
    <cellStyle name="Normal 15 3 3 6 2" xfId="17190"/>
    <cellStyle name="Normal 15 3 3 7" xfId="17191"/>
    <cellStyle name="Normal 15 3 3 7 2" xfId="17192"/>
    <cellStyle name="Normal 15 3 3 8" xfId="17193"/>
    <cellStyle name="Normal 15 3 3 8 2" xfId="17194"/>
    <cellStyle name="Normal 15 3 4" xfId="17195"/>
    <cellStyle name="Normal 15 3 5" xfId="17196"/>
    <cellStyle name="Normal 15 3 6" xfId="17197"/>
    <cellStyle name="Normal 15 3 7" xfId="17198"/>
    <cellStyle name="Normal 15 3 7 2" xfId="17199"/>
    <cellStyle name="Normal 15 3 7 3" xfId="17200"/>
    <cellStyle name="Normal 15 3 8" xfId="17201"/>
    <cellStyle name="Normal 15 3 8 2" xfId="17202"/>
    <cellStyle name="Normal 15 3 8 3" xfId="17203"/>
    <cellStyle name="Normal 15 3 9" xfId="17204"/>
    <cellStyle name="Normal 15 3 9 2" xfId="17205"/>
    <cellStyle name="Normal 15 3 9 3" xfId="17206"/>
    <cellStyle name="Normal 15 4" xfId="17207"/>
    <cellStyle name="Normal 15 4 2" xfId="17208"/>
    <cellStyle name="Normal 15 4 2 2" xfId="17209"/>
    <cellStyle name="Normal 15 4 2 3" xfId="17210"/>
    <cellStyle name="Normal 15 4 2 4" xfId="17211"/>
    <cellStyle name="Normal 15 4 2 5" xfId="17212"/>
    <cellStyle name="Normal 15 4 2 5 2" xfId="17213"/>
    <cellStyle name="Normal 15 4 2 6" xfId="17214"/>
    <cellStyle name="Normal 15 4 2 6 2" xfId="17215"/>
    <cellStyle name="Normal 15 4 2 7" xfId="17216"/>
    <cellStyle name="Normal 15 4 2 7 2" xfId="17217"/>
    <cellStyle name="Normal 15 4 2 8" xfId="17218"/>
    <cellStyle name="Normal 15 4 2 8 2" xfId="17219"/>
    <cellStyle name="Normal 15 4 2 9" xfId="17220"/>
    <cellStyle name="Normal 15 4 3" xfId="17221"/>
    <cellStyle name="Normal 15 4 3 2" xfId="17222"/>
    <cellStyle name="Normal 15 4 3 2 2" xfId="17223"/>
    <cellStyle name="Normal 15 4 3 3" xfId="17224"/>
    <cellStyle name="Normal 15 4 3 3 2" xfId="17225"/>
    <cellStyle name="Normal 15 4 3 4" xfId="17226"/>
    <cellStyle name="Normal 15 4 3 4 2" xfId="17227"/>
    <cellStyle name="Normal 15 4 3 5" xfId="17228"/>
    <cellStyle name="Normal 15 4 3 5 2" xfId="17229"/>
    <cellStyle name="Normal 15 4 3 6" xfId="17230"/>
    <cellStyle name="Normal 15 4 4" xfId="17231"/>
    <cellStyle name="Normal 15 4 5" xfId="17232"/>
    <cellStyle name="Normal 15 4 6" xfId="17233"/>
    <cellStyle name="Normal 15 4 6 2" xfId="17234"/>
    <cellStyle name="Normal 15 4 7" xfId="17235"/>
    <cellStyle name="Normal 15 4 7 2" xfId="17236"/>
    <cellStyle name="Normal 15 4 7 3" xfId="17237"/>
    <cellStyle name="Normal 15 4 7 4" xfId="17238"/>
    <cellStyle name="Normal 15 4 8" xfId="17239"/>
    <cellStyle name="Normal 15 4 8 2" xfId="17240"/>
    <cellStyle name="Normal 15 4 8 3" xfId="17241"/>
    <cellStyle name="Normal 15 4 9" xfId="17242"/>
    <cellStyle name="Normal 15 4 9 2" xfId="17243"/>
    <cellStyle name="Normal 15 4 9 3" xfId="17244"/>
    <cellStyle name="Normal 15 5" xfId="17245"/>
    <cellStyle name="Normal 15 5 2" xfId="17246"/>
    <cellStyle name="Normal 15 5 2 2" xfId="17247"/>
    <cellStyle name="Normal 15 5 2 3" xfId="17248"/>
    <cellStyle name="Normal 15 5 2 4" xfId="17249"/>
    <cellStyle name="Normal 15 5 3" xfId="17250"/>
    <cellStyle name="Normal 15 5 4" xfId="17251"/>
    <cellStyle name="Normal 15 5 5" xfId="17252"/>
    <cellStyle name="Normal 15 5 6" xfId="17253"/>
    <cellStyle name="Normal 15 5 6 2" xfId="17254"/>
    <cellStyle name="Normal 15 5 7" xfId="17255"/>
    <cellStyle name="Normal 15 5 7 2" xfId="17256"/>
    <cellStyle name="Normal 15 5 8" xfId="17257"/>
    <cellStyle name="Normal 15 5 8 2" xfId="17258"/>
    <cellStyle name="Normal 15 5 9" xfId="17259"/>
    <cellStyle name="Normal 15 5 9 2" xfId="17260"/>
    <cellStyle name="Normal 15 6" xfId="17261"/>
    <cellStyle name="Normal 15 6 2" xfId="17262"/>
    <cellStyle name="Normal 15 6 3" xfId="17263"/>
    <cellStyle name="Normal 15 6 4" xfId="17264"/>
    <cellStyle name="Normal 15 6 5" xfId="17265"/>
    <cellStyle name="Normal 15 6 5 2" xfId="17266"/>
    <cellStyle name="Normal 15 6 6" xfId="17267"/>
    <cellStyle name="Normal 15 6 6 2" xfId="17268"/>
    <cellStyle name="Normal 15 6 7" xfId="17269"/>
    <cellStyle name="Normal 15 6 7 2" xfId="17270"/>
    <cellStyle name="Normal 15 6 7 3" xfId="17271"/>
    <cellStyle name="Normal 15 6 8" xfId="17272"/>
    <cellStyle name="Normal 15 6 8 2" xfId="17273"/>
    <cellStyle name="Normal 15 7" xfId="17274"/>
    <cellStyle name="Normal 15 7 2" xfId="17275"/>
    <cellStyle name="Normal 15 7 3" xfId="17276"/>
    <cellStyle name="Normal 15 7 4" xfId="17277"/>
    <cellStyle name="Normal 15 7 5" xfId="17278"/>
    <cellStyle name="Normal 15 7 5 2" xfId="17279"/>
    <cellStyle name="Normal 15 7 5 3" xfId="17280"/>
    <cellStyle name="Normal 15 7 6" xfId="17281"/>
    <cellStyle name="Normal 15 7 6 2" xfId="17282"/>
    <cellStyle name="Normal 15 7 7" xfId="17283"/>
    <cellStyle name="Normal 15 7 7 2" xfId="17284"/>
    <cellStyle name="Normal 15 7 8" xfId="17285"/>
    <cellStyle name="Normal 15 7 8 2" xfId="17286"/>
    <cellStyle name="Normal 15 8" xfId="17287"/>
    <cellStyle name="Normal 15 8 2" xfId="17288"/>
    <cellStyle name="Normal 15 8 3" xfId="17289"/>
    <cellStyle name="Normal 15 8 4" xfId="17290"/>
    <cellStyle name="Normal 15 8 5" xfId="17291"/>
    <cellStyle name="Normal 15 8 5 2" xfId="17292"/>
    <cellStyle name="Normal 15 8 6" xfId="17293"/>
    <cellStyle name="Normal 15 8 6 2" xfId="17294"/>
    <cellStyle name="Normal 15 8 7" xfId="17295"/>
    <cellStyle name="Normal 15 8 7 2" xfId="17296"/>
    <cellStyle name="Normal 15 8 7 3" xfId="17297"/>
    <cellStyle name="Normal 15 8 8" xfId="17298"/>
    <cellStyle name="Normal 15 8 8 2" xfId="17299"/>
    <cellStyle name="Normal 15 9" xfId="17300"/>
    <cellStyle name="Normal 15 9 2" xfId="17301"/>
    <cellStyle name="Normal 15 9 2 2" xfId="17302"/>
    <cellStyle name="Normal 15 9 3" xfId="17303"/>
    <cellStyle name="Normal 15 9 3 2" xfId="17304"/>
    <cellStyle name="Normal 15 9 4" xfId="17305"/>
    <cellStyle name="Normal 15 9 4 2" xfId="17306"/>
    <cellStyle name="Normal 15 9 5" xfId="17307"/>
    <cellStyle name="Normal 15 9 5 2" xfId="17308"/>
    <cellStyle name="Normal 15 9 6" xfId="17309"/>
    <cellStyle name="Normal 150" xfId="17310"/>
    <cellStyle name="Normal 151" xfId="17311"/>
    <cellStyle name="Normal 152" xfId="17312"/>
    <cellStyle name="Normal 153" xfId="17313"/>
    <cellStyle name="Normal 154" xfId="17314"/>
    <cellStyle name="Normal 155" xfId="17315"/>
    <cellStyle name="Normal 156" xfId="17316"/>
    <cellStyle name="Normal 157" xfId="17317"/>
    <cellStyle name="Normal 158" xfId="17318"/>
    <cellStyle name="Normal 159" xfId="17319"/>
    <cellStyle name="Normal 16" xfId="17320"/>
    <cellStyle name="Normal 16 10" xfId="17321"/>
    <cellStyle name="Normal 16 11" xfId="17322"/>
    <cellStyle name="Normal 16 12" xfId="17323"/>
    <cellStyle name="Normal 16 13" xfId="17324"/>
    <cellStyle name="Normal 16 14" xfId="17325"/>
    <cellStyle name="Normal 16 15" xfId="17326"/>
    <cellStyle name="Normal 16 2" xfId="17327"/>
    <cellStyle name="Normal 16 2 10" xfId="17328"/>
    <cellStyle name="Normal 16 2 11" xfId="17329"/>
    <cellStyle name="Normal 16 2 2" xfId="17330"/>
    <cellStyle name="Normal 16 2 2 10" xfId="17331"/>
    <cellStyle name="Normal 16 2 2 2" xfId="17332"/>
    <cellStyle name="Normal 16 2 2 2 2" xfId="17333"/>
    <cellStyle name="Normal 16 2 2 2 3" xfId="17334"/>
    <cellStyle name="Normal 16 2 2 2 4" xfId="17335"/>
    <cellStyle name="Normal 16 2 2 3" xfId="17336"/>
    <cellStyle name="Normal 16 2 2 4" xfId="17337"/>
    <cellStyle name="Normal 16 2 2 5" xfId="17338"/>
    <cellStyle name="Normal 16 2 2 6" xfId="17339"/>
    <cellStyle name="Normal 16 2 2 7" xfId="17340"/>
    <cellStyle name="Normal 16 2 2 8" xfId="17341"/>
    <cellStyle name="Normal 16 2 2 9" xfId="17342"/>
    <cellStyle name="Normal 16 2 3" xfId="17343"/>
    <cellStyle name="Normal 16 2 3 2" xfId="17344"/>
    <cellStyle name="Normal 16 2 3 3" xfId="17345"/>
    <cellStyle name="Normal 16 2 3 4" xfId="17346"/>
    <cellStyle name="Normal 16 2 3 5" xfId="17347"/>
    <cellStyle name="Normal 16 2 3 6" xfId="17348"/>
    <cellStyle name="Normal 16 2 3 7" xfId="17349"/>
    <cellStyle name="Normal 16 2 3 8" xfId="17350"/>
    <cellStyle name="Normal 16 2 3 9" xfId="17351"/>
    <cellStyle name="Normal 16 2 4" xfId="17352"/>
    <cellStyle name="Normal 16 2 4 2" xfId="17353"/>
    <cellStyle name="Normal 16 2 4 3" xfId="17354"/>
    <cellStyle name="Normal 16 2 4 4" xfId="17355"/>
    <cellStyle name="Normal 16 2 4 5" xfId="17356"/>
    <cellStyle name="Normal 16 2 5" xfId="17357"/>
    <cellStyle name="Normal 16 2 5 2" xfId="17358"/>
    <cellStyle name="Normal 16 2 5 3" xfId="17359"/>
    <cellStyle name="Normal 16 2 5 4" xfId="17360"/>
    <cellStyle name="Normal 16 2 5 5" xfId="17361"/>
    <cellStyle name="Normal 16 2 5 6" xfId="17362"/>
    <cellStyle name="Normal 16 2 6" xfId="17363"/>
    <cellStyle name="Normal 16 2 6 2" xfId="17364"/>
    <cellStyle name="Normal 16 2 6 3" xfId="17365"/>
    <cellStyle name="Normal 16 2 6 4" xfId="17366"/>
    <cellStyle name="Normal 16 2 6 5" xfId="17367"/>
    <cellStyle name="Normal 16 2 6 6" xfId="17368"/>
    <cellStyle name="Normal 16 2 7" xfId="17369"/>
    <cellStyle name="Normal 16 2 7 2" xfId="17370"/>
    <cellStyle name="Normal 16 2 8" xfId="17371"/>
    <cellStyle name="Normal 16 2 8 2" xfId="17372"/>
    <cellStyle name="Normal 16 2 9" xfId="17373"/>
    <cellStyle name="Normal 16 3" xfId="17374"/>
    <cellStyle name="Normal 16 3 10" xfId="17375"/>
    <cellStyle name="Normal 16 3 11" xfId="17376"/>
    <cellStyle name="Normal 16 3 2" xfId="17377"/>
    <cellStyle name="Normal 16 3 2 2" xfId="17378"/>
    <cellStyle name="Normal 16 3 2 2 2" xfId="17379"/>
    <cellStyle name="Normal 16 3 2 2 3" xfId="17380"/>
    <cellStyle name="Normal 16 3 2 2 4" xfId="17381"/>
    <cellStyle name="Normal 16 3 2 3" xfId="17382"/>
    <cellStyle name="Normal 16 3 2 4" xfId="17383"/>
    <cellStyle name="Normal 16 3 2 5" xfId="17384"/>
    <cellStyle name="Normal 16 3 2 6" xfId="17385"/>
    <cellStyle name="Normal 16 3 2 7" xfId="17386"/>
    <cellStyle name="Normal 16 3 2 8" xfId="17387"/>
    <cellStyle name="Normal 16 3 2 9" xfId="17388"/>
    <cellStyle name="Normal 16 3 3" xfId="17389"/>
    <cellStyle name="Normal 16 3 3 2" xfId="17390"/>
    <cellStyle name="Normal 16 3 3 3" xfId="17391"/>
    <cellStyle name="Normal 16 3 3 4" xfId="17392"/>
    <cellStyle name="Normal 16 3 3 5" xfId="17393"/>
    <cellStyle name="Normal 16 3 3 6" xfId="17394"/>
    <cellStyle name="Normal 16 3 3 7" xfId="17395"/>
    <cellStyle name="Normal 16 3 3 8" xfId="17396"/>
    <cellStyle name="Normal 16 3 4" xfId="17397"/>
    <cellStyle name="Normal 16 3 4 2" xfId="17398"/>
    <cellStyle name="Normal 16 3 4 3" xfId="17399"/>
    <cellStyle name="Normal 16 3 4 4" xfId="17400"/>
    <cellStyle name="Normal 16 3 4 5" xfId="17401"/>
    <cellStyle name="Normal 16 3 5" xfId="17402"/>
    <cellStyle name="Normal 16 3 5 2" xfId="17403"/>
    <cellStyle name="Normal 16 3 5 3" xfId="17404"/>
    <cellStyle name="Normal 16 3 5 4" xfId="17405"/>
    <cellStyle name="Normal 16 3 5 5" xfId="17406"/>
    <cellStyle name="Normal 16 3 6" xfId="17407"/>
    <cellStyle name="Normal 16 3 6 2" xfId="17408"/>
    <cellStyle name="Normal 16 3 6 3" xfId="17409"/>
    <cellStyle name="Normal 16 3 6 4" xfId="17410"/>
    <cellStyle name="Normal 16 3 6 5" xfId="17411"/>
    <cellStyle name="Normal 16 3 6 6" xfId="17412"/>
    <cellStyle name="Normal 16 3 7" xfId="17413"/>
    <cellStyle name="Normal 16 3 7 2" xfId="17414"/>
    <cellStyle name="Normal 16 3 8" xfId="17415"/>
    <cellStyle name="Normal 16 3 8 2" xfId="17416"/>
    <cellStyle name="Normal 16 3 9" xfId="17417"/>
    <cellStyle name="Normal 16 4" xfId="17418"/>
    <cellStyle name="Normal 16 4 10" xfId="17419"/>
    <cellStyle name="Normal 16 4 11" xfId="17420"/>
    <cellStyle name="Normal 16 4 12" xfId="17421"/>
    <cellStyle name="Normal 16 4 2" xfId="17422"/>
    <cellStyle name="Normal 16 4 2 2" xfId="17423"/>
    <cellStyle name="Normal 16 4 2 3" xfId="17424"/>
    <cellStyle name="Normal 16 4 2 4" xfId="17425"/>
    <cellStyle name="Normal 16 4 2 5" xfId="17426"/>
    <cellStyle name="Normal 16 4 2 6" xfId="17427"/>
    <cellStyle name="Normal 16 4 2 7" xfId="17428"/>
    <cellStyle name="Normal 16 4 2 8" xfId="17429"/>
    <cellStyle name="Normal 16 4 2 9" xfId="17430"/>
    <cellStyle name="Normal 16 4 3" xfId="17431"/>
    <cellStyle name="Normal 16 4 3 2" xfId="17432"/>
    <cellStyle name="Normal 16 4 3 3" xfId="17433"/>
    <cellStyle name="Normal 16 4 3 4" xfId="17434"/>
    <cellStyle name="Normal 16 4 3 5" xfId="17435"/>
    <cellStyle name="Normal 16 4 3 6" xfId="17436"/>
    <cellStyle name="Normal 16 4 4" xfId="17437"/>
    <cellStyle name="Normal 16 4 4 2" xfId="17438"/>
    <cellStyle name="Normal 16 4 4 3" xfId="17439"/>
    <cellStyle name="Normal 16 4 4 4" xfId="17440"/>
    <cellStyle name="Normal 16 4 4 5" xfId="17441"/>
    <cellStyle name="Normal 16 4 4 6" xfId="17442"/>
    <cellStyle name="Normal 16 4 5" xfId="17443"/>
    <cellStyle name="Normal 16 4 5 2" xfId="17444"/>
    <cellStyle name="Normal 16 4 5 3" xfId="17445"/>
    <cellStyle name="Normal 16 4 5 4" xfId="17446"/>
    <cellStyle name="Normal 16 4 5 5" xfId="17447"/>
    <cellStyle name="Normal 16 4 5 6" xfId="17448"/>
    <cellStyle name="Normal 16 4 6" xfId="17449"/>
    <cellStyle name="Normal 16 4 7" xfId="17450"/>
    <cellStyle name="Normal 16 4 7 2" xfId="17451"/>
    <cellStyle name="Normal 16 4 8" xfId="17452"/>
    <cellStyle name="Normal 16 4 8 2" xfId="17453"/>
    <cellStyle name="Normal 16 4 9" xfId="17454"/>
    <cellStyle name="Normal 16 5" xfId="17455"/>
    <cellStyle name="Normal 16 5 10" xfId="17456"/>
    <cellStyle name="Normal 16 5 2" xfId="17457"/>
    <cellStyle name="Normal 16 5 2 2" xfId="17458"/>
    <cellStyle name="Normal 16 5 2 3" xfId="17459"/>
    <cellStyle name="Normal 16 5 2 4" xfId="17460"/>
    <cellStyle name="Normal 16 5 3" xfId="17461"/>
    <cellStyle name="Normal 16 5 4" xfId="17462"/>
    <cellStyle name="Normal 16 5 5" xfId="17463"/>
    <cellStyle name="Normal 16 5 6" xfId="17464"/>
    <cellStyle name="Normal 16 5 6 2" xfId="17465"/>
    <cellStyle name="Normal 16 5 7" xfId="17466"/>
    <cellStyle name="Normal 16 5 7 2" xfId="17467"/>
    <cellStyle name="Normal 16 5 8" xfId="17468"/>
    <cellStyle name="Normal 16 5 8 2" xfId="17469"/>
    <cellStyle name="Normal 16 5 9" xfId="17470"/>
    <cellStyle name="Normal 16 5 9 2" xfId="17471"/>
    <cellStyle name="Normal 16 6" xfId="17472"/>
    <cellStyle name="Normal 16 6 2" xfId="17473"/>
    <cellStyle name="Normal 16 6 3" xfId="17474"/>
    <cellStyle name="Normal 16 6 4" xfId="17475"/>
    <cellStyle name="Normal 16 7" xfId="17476"/>
    <cellStyle name="Normal 16 7 2" xfId="17477"/>
    <cellStyle name="Normal 16 7 3" xfId="17478"/>
    <cellStyle name="Normal 16 7 4" xfId="17479"/>
    <cellStyle name="Normal 16 8" xfId="17480"/>
    <cellStyle name="Normal 16 8 2" xfId="17481"/>
    <cellStyle name="Normal 16 8 3" xfId="17482"/>
    <cellStyle name="Normal 16 8 4" xfId="17483"/>
    <cellStyle name="Normal 16 9" xfId="17484"/>
    <cellStyle name="Normal 160" xfId="17485"/>
    <cellStyle name="Normal 161" xfId="17486"/>
    <cellStyle name="Normal 162" xfId="17487"/>
    <cellStyle name="Normal 163" xfId="17488"/>
    <cellStyle name="Normal 164" xfId="17489"/>
    <cellStyle name="Normal 165" xfId="17490"/>
    <cellStyle name="Normal 166" xfId="17491"/>
    <cellStyle name="Normal 167" xfId="17492"/>
    <cellStyle name="Normal 168" xfId="17493"/>
    <cellStyle name="Normal 169" xfId="17494"/>
    <cellStyle name="Normal 17" xfId="17495"/>
    <cellStyle name="Normal 17 10" xfId="17496"/>
    <cellStyle name="Normal 17 10 2" xfId="17497"/>
    <cellStyle name="Normal 17 10 2 2" xfId="17498"/>
    <cellStyle name="Normal 17 10 3" xfId="17499"/>
    <cellStyle name="Normal 17 10 3 2" xfId="17500"/>
    <cellStyle name="Normal 17 10 4" xfId="17501"/>
    <cellStyle name="Normal 17 10 4 2" xfId="17502"/>
    <cellStyle name="Normal 17 10 5" xfId="17503"/>
    <cellStyle name="Normal 17 10 5 2" xfId="17504"/>
    <cellStyle name="Normal 17 11" xfId="17505"/>
    <cellStyle name="Normal 17 11 2" xfId="17506"/>
    <cellStyle name="Normal 17 11 2 2" xfId="17507"/>
    <cellStyle name="Normal 17 11 3" xfId="17508"/>
    <cellStyle name="Normal 17 11 3 2" xfId="17509"/>
    <cellStyle name="Normal 17 11 4" xfId="17510"/>
    <cellStyle name="Normal 17 11 4 2" xfId="17511"/>
    <cellStyle name="Normal 17 11 4 3" xfId="17512"/>
    <cellStyle name="Normal 17 11 5" xfId="17513"/>
    <cellStyle name="Normal 17 11 5 2" xfId="17514"/>
    <cellStyle name="Normal 17 11 6" xfId="17515"/>
    <cellStyle name="Normal 17 12" xfId="17516"/>
    <cellStyle name="Normal 17 12 2" xfId="17517"/>
    <cellStyle name="Normal 17 12 2 2" xfId="17518"/>
    <cellStyle name="Normal 17 12 3" xfId="17519"/>
    <cellStyle name="Normal 17 13" xfId="17520"/>
    <cellStyle name="Normal 17 13 2" xfId="17521"/>
    <cellStyle name="Normal 17 13 2 2" xfId="17522"/>
    <cellStyle name="Normal 17 13 3" xfId="17523"/>
    <cellStyle name="Normal 17 14" xfId="17524"/>
    <cellStyle name="Normal 17 14 2" xfId="17525"/>
    <cellStyle name="Normal 17 15" xfId="17526"/>
    <cellStyle name="Normal 17 15 2" xfId="17527"/>
    <cellStyle name="Normal 17 15 3" xfId="17528"/>
    <cellStyle name="Normal 17 16" xfId="17529"/>
    <cellStyle name="Normal 17 16 2" xfId="17530"/>
    <cellStyle name="Normal 17 16 3" xfId="17531"/>
    <cellStyle name="Normal 17 2" xfId="17532"/>
    <cellStyle name="Normal 17 2 10" xfId="17533"/>
    <cellStyle name="Normal 17 2 11" xfId="17534"/>
    <cellStyle name="Normal 17 2 12" xfId="17535"/>
    <cellStyle name="Normal 17 2 2" xfId="17536"/>
    <cellStyle name="Normal 17 2 2 10" xfId="17537"/>
    <cellStyle name="Normal 17 2 2 2" xfId="17538"/>
    <cellStyle name="Normal 17 2 2 2 2" xfId="17539"/>
    <cellStyle name="Normal 17 2 2 2 3" xfId="17540"/>
    <cellStyle name="Normal 17 2 2 2 4" xfId="17541"/>
    <cellStyle name="Normal 17 2 2 3" xfId="17542"/>
    <cellStyle name="Normal 17 2 2 4" xfId="17543"/>
    <cellStyle name="Normal 17 2 2 5" xfId="17544"/>
    <cellStyle name="Normal 17 2 2 6" xfId="17545"/>
    <cellStyle name="Normal 17 2 2 7" xfId="17546"/>
    <cellStyle name="Normal 17 2 2 8" xfId="17547"/>
    <cellStyle name="Normal 17 2 2 9" xfId="17548"/>
    <cellStyle name="Normal 17 2 3" xfId="17549"/>
    <cellStyle name="Normal 17 2 3 2" xfId="17550"/>
    <cellStyle name="Normal 17 2 3 3" xfId="17551"/>
    <cellStyle name="Normal 17 2 3 4" xfId="17552"/>
    <cellStyle name="Normal 17 2 3 5" xfId="17553"/>
    <cellStyle name="Normal 17 2 3 6" xfId="17554"/>
    <cellStyle name="Normal 17 2 3 7" xfId="17555"/>
    <cellStyle name="Normal 17 2 3 8" xfId="17556"/>
    <cellStyle name="Normal 17 2 3 9" xfId="17557"/>
    <cellStyle name="Normal 17 2 4" xfId="17558"/>
    <cellStyle name="Normal 17 2 4 2" xfId="17559"/>
    <cellStyle name="Normal 17 2 4 3" xfId="17560"/>
    <cellStyle name="Normal 17 2 4 4" xfId="17561"/>
    <cellStyle name="Normal 17 2 4 5" xfId="17562"/>
    <cellStyle name="Normal 17 2 4 6" xfId="17563"/>
    <cellStyle name="Normal 17 2 5" xfId="17564"/>
    <cellStyle name="Normal 17 2 5 2" xfId="17565"/>
    <cellStyle name="Normal 17 2 5 3" xfId="17566"/>
    <cellStyle name="Normal 17 2 5 4" xfId="17567"/>
    <cellStyle name="Normal 17 2 5 5" xfId="17568"/>
    <cellStyle name="Normal 17 2 5 6" xfId="17569"/>
    <cellStyle name="Normal 17 2 6" xfId="17570"/>
    <cellStyle name="Normal 17 2 6 2" xfId="17571"/>
    <cellStyle name="Normal 17 2 6 3" xfId="17572"/>
    <cellStyle name="Normal 17 2 6 4" xfId="17573"/>
    <cellStyle name="Normal 17 2 6 5" xfId="17574"/>
    <cellStyle name="Normal 17 2 6 6" xfId="17575"/>
    <cellStyle name="Normal 17 2 7" xfId="17576"/>
    <cellStyle name="Normal 17 2 7 2" xfId="17577"/>
    <cellStyle name="Normal 17 2 8" xfId="17578"/>
    <cellStyle name="Normal 17 2 9" xfId="17579"/>
    <cellStyle name="Normal 17 3" xfId="17580"/>
    <cellStyle name="Normal 17 3 10" xfId="17581"/>
    <cellStyle name="Normal 17 3 11" xfId="17582"/>
    <cellStyle name="Normal 17 3 2" xfId="17583"/>
    <cellStyle name="Normal 17 3 2 10" xfId="17584"/>
    <cellStyle name="Normal 17 3 2 2" xfId="17585"/>
    <cellStyle name="Normal 17 3 2 2 2" xfId="17586"/>
    <cellStyle name="Normal 17 3 2 2 3" xfId="17587"/>
    <cellStyle name="Normal 17 3 2 2 4" xfId="17588"/>
    <cellStyle name="Normal 17 3 2 3" xfId="17589"/>
    <cellStyle name="Normal 17 3 2 4" xfId="17590"/>
    <cellStyle name="Normal 17 3 2 5" xfId="17591"/>
    <cellStyle name="Normal 17 3 2 6" xfId="17592"/>
    <cellStyle name="Normal 17 3 2 7" xfId="17593"/>
    <cellStyle name="Normal 17 3 2 8" xfId="17594"/>
    <cellStyle name="Normal 17 3 2 9" xfId="17595"/>
    <cellStyle name="Normal 17 3 3" xfId="17596"/>
    <cellStyle name="Normal 17 3 3 2" xfId="17597"/>
    <cellStyle name="Normal 17 3 3 3" xfId="17598"/>
    <cellStyle name="Normal 17 3 3 4" xfId="17599"/>
    <cellStyle name="Normal 17 3 3 5" xfId="17600"/>
    <cellStyle name="Normal 17 3 3 6" xfId="17601"/>
    <cellStyle name="Normal 17 3 3 7" xfId="17602"/>
    <cellStyle name="Normal 17 3 3 8" xfId="17603"/>
    <cellStyle name="Normal 17 3 3 9" xfId="17604"/>
    <cellStyle name="Normal 17 3 4" xfId="17605"/>
    <cellStyle name="Normal 17 3 4 2" xfId="17606"/>
    <cellStyle name="Normal 17 3 4 3" xfId="17607"/>
    <cellStyle name="Normal 17 3 4 4" xfId="17608"/>
    <cellStyle name="Normal 17 3 4 5" xfId="17609"/>
    <cellStyle name="Normal 17 3 4 6" xfId="17610"/>
    <cellStyle name="Normal 17 3 5" xfId="17611"/>
    <cellStyle name="Normal 17 3 5 2" xfId="17612"/>
    <cellStyle name="Normal 17 3 5 3" xfId="17613"/>
    <cellStyle name="Normal 17 3 5 4" xfId="17614"/>
    <cellStyle name="Normal 17 3 5 5" xfId="17615"/>
    <cellStyle name="Normal 17 3 5 6" xfId="17616"/>
    <cellStyle name="Normal 17 3 6" xfId="17617"/>
    <cellStyle name="Normal 17 3 6 2" xfId="17618"/>
    <cellStyle name="Normal 17 3 6 3" xfId="17619"/>
    <cellStyle name="Normal 17 3 6 4" xfId="17620"/>
    <cellStyle name="Normal 17 3 6 5" xfId="17621"/>
    <cellStyle name="Normal 17 3 6 6" xfId="17622"/>
    <cellStyle name="Normal 17 3 7" xfId="17623"/>
    <cellStyle name="Normal 17 3 7 2" xfId="17624"/>
    <cellStyle name="Normal 17 3 8" xfId="17625"/>
    <cellStyle name="Normal 17 3 8 2" xfId="17626"/>
    <cellStyle name="Normal 17 3 9" xfId="17627"/>
    <cellStyle name="Normal 17 4" xfId="17628"/>
    <cellStyle name="Normal 17 4 10" xfId="17629"/>
    <cellStyle name="Normal 17 4 11" xfId="17630"/>
    <cellStyle name="Normal 17 4 2" xfId="17631"/>
    <cellStyle name="Normal 17 4 2 2" xfId="17632"/>
    <cellStyle name="Normal 17 4 2 3" xfId="17633"/>
    <cellStyle name="Normal 17 4 2 4" xfId="17634"/>
    <cellStyle name="Normal 17 4 2 5" xfId="17635"/>
    <cellStyle name="Normal 17 4 2 6" xfId="17636"/>
    <cellStyle name="Normal 17 4 2 7" xfId="17637"/>
    <cellStyle name="Normal 17 4 2 8" xfId="17638"/>
    <cellStyle name="Normal 17 4 2 9" xfId="17639"/>
    <cellStyle name="Normal 17 4 3" xfId="17640"/>
    <cellStyle name="Normal 17 4 3 2" xfId="17641"/>
    <cellStyle name="Normal 17 4 3 3" xfId="17642"/>
    <cellStyle name="Normal 17 4 3 4" xfId="17643"/>
    <cellStyle name="Normal 17 4 3 5" xfId="17644"/>
    <cellStyle name="Normal 17 4 3 6" xfId="17645"/>
    <cellStyle name="Normal 17 4 4" xfId="17646"/>
    <cellStyle name="Normal 17 4 4 2" xfId="17647"/>
    <cellStyle name="Normal 17 4 4 3" xfId="17648"/>
    <cellStyle name="Normal 17 4 4 4" xfId="17649"/>
    <cellStyle name="Normal 17 4 4 5" xfId="17650"/>
    <cellStyle name="Normal 17 4 4 6" xfId="17651"/>
    <cellStyle name="Normal 17 4 5" xfId="17652"/>
    <cellStyle name="Normal 17 4 5 2" xfId="17653"/>
    <cellStyle name="Normal 17 4 5 3" xfId="17654"/>
    <cellStyle name="Normal 17 4 5 4" xfId="17655"/>
    <cellStyle name="Normal 17 4 5 5" xfId="17656"/>
    <cellStyle name="Normal 17 4 5 6" xfId="17657"/>
    <cellStyle name="Normal 17 4 6" xfId="17658"/>
    <cellStyle name="Normal 17 4 7" xfId="17659"/>
    <cellStyle name="Normal 17 4 8" xfId="17660"/>
    <cellStyle name="Normal 17 4 8 2" xfId="17661"/>
    <cellStyle name="Normal 17 4 9" xfId="17662"/>
    <cellStyle name="Normal 17 5" xfId="17663"/>
    <cellStyle name="Normal 17 5 2" xfId="17664"/>
    <cellStyle name="Normal 17 5 2 2" xfId="17665"/>
    <cellStyle name="Normal 17 5 2 3" xfId="17666"/>
    <cellStyle name="Normal 17 5 2 4" xfId="17667"/>
    <cellStyle name="Normal 17 5 2 5" xfId="17668"/>
    <cellStyle name="Normal 17 5 2 5 2" xfId="17669"/>
    <cellStyle name="Normal 17 5 2 6" xfId="17670"/>
    <cellStyle name="Normal 17 5 2 6 2" xfId="17671"/>
    <cellStyle name="Normal 17 5 2 6 3" xfId="17672"/>
    <cellStyle name="Normal 17 5 2 7" xfId="17673"/>
    <cellStyle name="Normal 17 5 2 7 2" xfId="17674"/>
    <cellStyle name="Normal 17 5 2 8" xfId="17675"/>
    <cellStyle name="Normal 17 5 2 8 2" xfId="17676"/>
    <cellStyle name="Normal 17 5 3" xfId="17677"/>
    <cellStyle name="Normal 17 5 3 2" xfId="17678"/>
    <cellStyle name="Normal 17 5 3 2 2" xfId="17679"/>
    <cellStyle name="Normal 17 5 3 3" xfId="17680"/>
    <cellStyle name="Normal 17 5 3 3 2" xfId="17681"/>
    <cellStyle name="Normal 17 5 3 4" xfId="17682"/>
    <cellStyle name="Normal 17 5 3 4 2" xfId="17683"/>
    <cellStyle name="Normal 17 5 3 5" xfId="17684"/>
    <cellStyle name="Normal 17 5 3 5 2" xfId="17685"/>
    <cellStyle name="Normal 17 5 3 6" xfId="17686"/>
    <cellStyle name="Normal 17 5 4" xfId="17687"/>
    <cellStyle name="Normal 17 5 5" xfId="17688"/>
    <cellStyle name="Normal 17 5 6" xfId="17689"/>
    <cellStyle name="Normal 17 5 6 2" xfId="17690"/>
    <cellStyle name="Normal 17 5 7" xfId="17691"/>
    <cellStyle name="Normal 17 5 7 2" xfId="17692"/>
    <cellStyle name="Normal 17 5 8" xfId="17693"/>
    <cellStyle name="Normal 17 5 8 2" xfId="17694"/>
    <cellStyle name="Normal 17 5 9" xfId="17695"/>
    <cellStyle name="Normal 17 5 9 2" xfId="17696"/>
    <cellStyle name="Normal 17 5 9 3" xfId="17697"/>
    <cellStyle name="Normal 17 6" xfId="17698"/>
    <cellStyle name="Normal 17 6 2" xfId="17699"/>
    <cellStyle name="Normal 17 6 2 2" xfId="17700"/>
    <cellStyle name="Normal 17 6 2 2 2" xfId="17701"/>
    <cellStyle name="Normal 17 6 2 3" xfId="17702"/>
    <cellStyle name="Normal 17 6 2 3 2" xfId="17703"/>
    <cellStyle name="Normal 17 6 2 4" xfId="17704"/>
    <cellStyle name="Normal 17 6 2 4 2" xfId="17705"/>
    <cellStyle name="Normal 17 6 2 5" xfId="17706"/>
    <cellStyle name="Normal 17 6 2 5 2" xfId="17707"/>
    <cellStyle name="Normal 17 6 2 6" xfId="17708"/>
    <cellStyle name="Normal 17 6 3" xfId="17709"/>
    <cellStyle name="Normal 17 6 3 2" xfId="17710"/>
    <cellStyle name="Normal 17 6 3 2 2" xfId="17711"/>
    <cellStyle name="Normal 17 6 3 3" xfId="17712"/>
    <cellStyle name="Normal 17 6 3 3 2" xfId="17713"/>
    <cellStyle name="Normal 17 6 3 4" xfId="17714"/>
    <cellStyle name="Normal 17 6 3 4 2" xfId="17715"/>
    <cellStyle name="Normal 17 6 3 5" xfId="17716"/>
    <cellStyle name="Normal 17 6 3 5 2" xfId="17717"/>
    <cellStyle name="Normal 17 6 3 6" xfId="17718"/>
    <cellStyle name="Normal 17 6 4" xfId="17719"/>
    <cellStyle name="Normal 17 6 5" xfId="17720"/>
    <cellStyle name="Normal 17 6 5 2" xfId="17721"/>
    <cellStyle name="Normal 17 6 6" xfId="17722"/>
    <cellStyle name="Normal 17 6 6 2" xfId="17723"/>
    <cellStyle name="Normal 17 6 7" xfId="17724"/>
    <cellStyle name="Normal 17 6 7 2" xfId="17725"/>
    <cellStyle name="Normal 17 6 8" xfId="17726"/>
    <cellStyle name="Normal 17 6 8 2" xfId="17727"/>
    <cellStyle name="Normal 17 7" xfId="17728"/>
    <cellStyle name="Normal 17 7 2" xfId="17729"/>
    <cellStyle name="Normal 17 7 2 2" xfId="17730"/>
    <cellStyle name="Normal 17 7 2 2 2" xfId="17731"/>
    <cellStyle name="Normal 17 7 2 3" xfId="17732"/>
    <cellStyle name="Normal 17 7 2 3 2" xfId="17733"/>
    <cellStyle name="Normal 17 7 2 4" xfId="17734"/>
    <cellStyle name="Normal 17 7 2 4 2" xfId="17735"/>
    <cellStyle name="Normal 17 7 2 5" xfId="17736"/>
    <cellStyle name="Normal 17 7 2 5 2" xfId="17737"/>
    <cellStyle name="Normal 17 7 2 6" xfId="17738"/>
    <cellStyle name="Normal 17 7 3" xfId="17739"/>
    <cellStyle name="Normal 17 7 3 2" xfId="17740"/>
    <cellStyle name="Normal 17 7 3 2 2" xfId="17741"/>
    <cellStyle name="Normal 17 7 3 3" xfId="17742"/>
    <cellStyle name="Normal 17 7 3 3 2" xfId="17743"/>
    <cellStyle name="Normal 17 7 3 3 3" xfId="17744"/>
    <cellStyle name="Normal 17 7 3 4" xfId="17745"/>
    <cellStyle name="Normal 17 7 3 4 2" xfId="17746"/>
    <cellStyle name="Normal 17 7 3 5" xfId="17747"/>
    <cellStyle name="Normal 17 7 3 5 2" xfId="17748"/>
    <cellStyle name="Normal 17 7 3 6" xfId="17749"/>
    <cellStyle name="Normal 17 7 4" xfId="17750"/>
    <cellStyle name="Normal 17 7 5" xfId="17751"/>
    <cellStyle name="Normal 17 7 5 2" xfId="17752"/>
    <cellStyle name="Normal 17 7 5 3" xfId="17753"/>
    <cellStyle name="Normal 17 7 6" xfId="17754"/>
    <cellStyle name="Normal 17 7 6 2" xfId="17755"/>
    <cellStyle name="Normal 17 7 7" xfId="17756"/>
    <cellStyle name="Normal 17 7 7 2" xfId="17757"/>
    <cellStyle name="Normal 17 7 8" xfId="17758"/>
    <cellStyle name="Normal 17 7 8 2" xfId="17759"/>
    <cellStyle name="Normal 17 8" xfId="17760"/>
    <cellStyle name="Normal 17 8 2" xfId="17761"/>
    <cellStyle name="Normal 17 8 3" xfId="17762"/>
    <cellStyle name="Normal 17 8 4" xfId="17763"/>
    <cellStyle name="Normal 17 8 5" xfId="17764"/>
    <cellStyle name="Normal 17 8 5 2" xfId="17765"/>
    <cellStyle name="Normal 17 8 5 3" xfId="17766"/>
    <cellStyle name="Normal 17 8 6" xfId="17767"/>
    <cellStyle name="Normal 17 8 6 2" xfId="17768"/>
    <cellStyle name="Normal 17 8 7" xfId="17769"/>
    <cellStyle name="Normal 17 8 7 2" xfId="17770"/>
    <cellStyle name="Normal 17 8 7 3" xfId="17771"/>
    <cellStyle name="Normal 17 8 8" xfId="17772"/>
    <cellStyle name="Normal 17 8 8 2" xfId="17773"/>
    <cellStyle name="Normal 17 9" xfId="17774"/>
    <cellStyle name="Normal 17 9 2" xfId="17775"/>
    <cellStyle name="Normal 17 9 2 2" xfId="17776"/>
    <cellStyle name="Normal 17 9 3" xfId="17777"/>
    <cellStyle name="Normal 17 9 3 2" xfId="17778"/>
    <cellStyle name="Normal 17 9 4" xfId="17779"/>
    <cellStyle name="Normal 17 9 4 2" xfId="17780"/>
    <cellStyle name="Normal 17 9 5" xfId="17781"/>
    <cellStyle name="Normal 17 9 5 2" xfId="17782"/>
    <cellStyle name="Normal 170" xfId="17783"/>
    <cellStyle name="Normal 171" xfId="17784"/>
    <cellStyle name="Normal 172" xfId="17785"/>
    <cellStyle name="Normal 173" xfId="17786"/>
    <cellStyle name="Normal 174" xfId="17787"/>
    <cellStyle name="Normal 175" xfId="17788"/>
    <cellStyle name="Normal 176" xfId="17789"/>
    <cellStyle name="Normal 177" xfId="17790"/>
    <cellStyle name="Normal 178" xfId="17791"/>
    <cellStyle name="Normal 179" xfId="17792"/>
    <cellStyle name="Normal 18" xfId="17793"/>
    <cellStyle name="Normal 18 10" xfId="17794"/>
    <cellStyle name="Normal 18 10 2" xfId="17795"/>
    <cellStyle name="Normal 18 10 2 2" xfId="17796"/>
    <cellStyle name="Normal 18 10 3" xfId="17797"/>
    <cellStyle name="Normal 18 10 3 2" xfId="17798"/>
    <cellStyle name="Normal 18 10 4" xfId="17799"/>
    <cellStyle name="Normal 18 10 4 2" xfId="17800"/>
    <cellStyle name="Normal 18 10 5" xfId="17801"/>
    <cellStyle name="Normal 18 10 5 2" xfId="17802"/>
    <cellStyle name="Normal 18 11" xfId="17803"/>
    <cellStyle name="Normal 18 11 2" xfId="17804"/>
    <cellStyle name="Normal 18 11 2 2" xfId="17805"/>
    <cellStyle name="Normal 18 11 3" xfId="17806"/>
    <cellStyle name="Normal 18 11 3 2" xfId="17807"/>
    <cellStyle name="Normal 18 11 3 3" xfId="17808"/>
    <cellStyle name="Normal 18 11 4" xfId="17809"/>
    <cellStyle name="Normal 18 11 4 2" xfId="17810"/>
    <cellStyle name="Normal 18 11 4 3" xfId="17811"/>
    <cellStyle name="Normal 18 11 5" xfId="17812"/>
    <cellStyle name="Normal 18 11 5 2" xfId="17813"/>
    <cellStyle name="Normal 18 11 6" xfId="17814"/>
    <cellStyle name="Normal 18 12" xfId="17815"/>
    <cellStyle name="Normal 18 12 2" xfId="17816"/>
    <cellStyle name="Normal 18 12 2 2" xfId="17817"/>
    <cellStyle name="Normal 18 12 3" xfId="17818"/>
    <cellStyle name="Normal 18 13" xfId="17819"/>
    <cellStyle name="Normal 18 13 2" xfId="17820"/>
    <cellStyle name="Normal 18 13 2 2" xfId="17821"/>
    <cellStyle name="Normal 18 13 2 3" xfId="17822"/>
    <cellStyle name="Normal 18 13 3" xfId="17823"/>
    <cellStyle name="Normal 18 14" xfId="17824"/>
    <cellStyle name="Normal 18 14 2" xfId="17825"/>
    <cellStyle name="Normal 18 15" xfId="17826"/>
    <cellStyle name="Normal 18 15 2" xfId="17827"/>
    <cellStyle name="Normal 18 16" xfId="17828"/>
    <cellStyle name="Normal 18 16 2" xfId="17829"/>
    <cellStyle name="Normal 18 2" xfId="17830"/>
    <cellStyle name="Normal 18 2 10" xfId="17831"/>
    <cellStyle name="Normal 18 2 11" xfId="17832"/>
    <cellStyle name="Normal 18 2 12" xfId="17833"/>
    <cellStyle name="Normal 18 2 2" xfId="17834"/>
    <cellStyle name="Normal 18 2 2 10" xfId="17835"/>
    <cellStyle name="Normal 18 2 2 2" xfId="17836"/>
    <cellStyle name="Normal 18 2 2 2 2" xfId="17837"/>
    <cellStyle name="Normal 18 2 2 2 3" xfId="17838"/>
    <cellStyle name="Normal 18 2 2 2 4" xfId="17839"/>
    <cellStyle name="Normal 18 2 2 3" xfId="17840"/>
    <cellStyle name="Normal 18 2 2 4" xfId="17841"/>
    <cellStyle name="Normal 18 2 2 5" xfId="17842"/>
    <cellStyle name="Normal 18 2 2 6" xfId="17843"/>
    <cellStyle name="Normal 18 2 2 7" xfId="17844"/>
    <cellStyle name="Normal 18 2 2 8" xfId="17845"/>
    <cellStyle name="Normal 18 2 2 9" xfId="17846"/>
    <cellStyle name="Normal 18 2 3" xfId="17847"/>
    <cellStyle name="Normal 18 2 3 2" xfId="17848"/>
    <cellStyle name="Normal 18 2 3 3" xfId="17849"/>
    <cellStyle name="Normal 18 2 3 4" xfId="17850"/>
    <cellStyle name="Normal 18 2 3 5" xfId="17851"/>
    <cellStyle name="Normal 18 2 3 6" xfId="17852"/>
    <cellStyle name="Normal 18 2 3 7" xfId="17853"/>
    <cellStyle name="Normal 18 2 3 8" xfId="17854"/>
    <cellStyle name="Normal 18 2 3 9" xfId="17855"/>
    <cellStyle name="Normal 18 2 4" xfId="17856"/>
    <cellStyle name="Normal 18 2 4 2" xfId="17857"/>
    <cellStyle name="Normal 18 2 4 3" xfId="17858"/>
    <cellStyle name="Normal 18 2 4 4" xfId="17859"/>
    <cellStyle name="Normal 18 2 4 5" xfId="17860"/>
    <cellStyle name="Normal 18 2 4 6" xfId="17861"/>
    <cellStyle name="Normal 18 2 5" xfId="17862"/>
    <cellStyle name="Normal 18 2 5 2" xfId="17863"/>
    <cellStyle name="Normal 18 2 5 3" xfId="17864"/>
    <cellStyle name="Normal 18 2 5 4" xfId="17865"/>
    <cellStyle name="Normal 18 2 5 5" xfId="17866"/>
    <cellStyle name="Normal 18 2 5 6" xfId="17867"/>
    <cellStyle name="Normal 18 2 6" xfId="17868"/>
    <cellStyle name="Normal 18 2 6 2" xfId="17869"/>
    <cellStyle name="Normal 18 2 6 3" xfId="17870"/>
    <cellStyle name="Normal 18 2 6 4" xfId="17871"/>
    <cellStyle name="Normal 18 2 6 5" xfId="17872"/>
    <cellStyle name="Normal 18 2 6 6" xfId="17873"/>
    <cellStyle name="Normal 18 2 7" xfId="17874"/>
    <cellStyle name="Normal 18 2 7 2" xfId="17875"/>
    <cellStyle name="Normal 18 2 8" xfId="17876"/>
    <cellStyle name="Normal 18 2 8 2" xfId="17877"/>
    <cellStyle name="Normal 18 2 9" xfId="17878"/>
    <cellStyle name="Normal 18 3" xfId="17879"/>
    <cellStyle name="Normal 18 3 10" xfId="17880"/>
    <cellStyle name="Normal 18 3 11" xfId="17881"/>
    <cellStyle name="Normal 18 3 2" xfId="17882"/>
    <cellStyle name="Normal 18 3 2 2" xfId="17883"/>
    <cellStyle name="Normal 18 3 2 2 2" xfId="17884"/>
    <cellStyle name="Normal 18 3 2 2 3" xfId="17885"/>
    <cellStyle name="Normal 18 3 2 2 4" xfId="17886"/>
    <cellStyle name="Normal 18 3 2 3" xfId="17887"/>
    <cellStyle name="Normal 18 3 2 4" xfId="17888"/>
    <cellStyle name="Normal 18 3 2 5" xfId="17889"/>
    <cellStyle name="Normal 18 3 2 6" xfId="17890"/>
    <cellStyle name="Normal 18 3 2 7" xfId="17891"/>
    <cellStyle name="Normal 18 3 2 8" xfId="17892"/>
    <cellStyle name="Normal 18 3 2 9" xfId="17893"/>
    <cellStyle name="Normal 18 3 3" xfId="17894"/>
    <cellStyle name="Normal 18 3 3 2" xfId="17895"/>
    <cellStyle name="Normal 18 3 3 3" xfId="17896"/>
    <cellStyle name="Normal 18 3 3 4" xfId="17897"/>
    <cellStyle name="Normal 18 3 3 5" xfId="17898"/>
    <cellStyle name="Normal 18 3 3 6" xfId="17899"/>
    <cellStyle name="Normal 18 3 3 7" xfId="17900"/>
    <cellStyle name="Normal 18 3 3 8" xfId="17901"/>
    <cellStyle name="Normal 18 3 3 9" xfId="17902"/>
    <cellStyle name="Normal 18 3 4" xfId="17903"/>
    <cellStyle name="Normal 18 3 4 2" xfId="17904"/>
    <cellStyle name="Normal 18 3 4 3" xfId="17905"/>
    <cellStyle name="Normal 18 3 4 4" xfId="17906"/>
    <cellStyle name="Normal 18 3 4 5" xfId="17907"/>
    <cellStyle name="Normal 18 3 4 6" xfId="17908"/>
    <cellStyle name="Normal 18 3 5" xfId="17909"/>
    <cellStyle name="Normal 18 3 5 2" xfId="17910"/>
    <cellStyle name="Normal 18 3 5 3" xfId="17911"/>
    <cellStyle name="Normal 18 3 5 4" xfId="17912"/>
    <cellStyle name="Normal 18 3 5 5" xfId="17913"/>
    <cellStyle name="Normal 18 3 5 6" xfId="17914"/>
    <cellStyle name="Normal 18 3 6" xfId="17915"/>
    <cellStyle name="Normal 18 3 6 2" xfId="17916"/>
    <cellStyle name="Normal 18 3 6 3" xfId="17917"/>
    <cellStyle name="Normal 18 3 6 4" xfId="17918"/>
    <cellStyle name="Normal 18 3 6 5" xfId="17919"/>
    <cellStyle name="Normal 18 3 6 6" xfId="17920"/>
    <cellStyle name="Normal 18 3 7" xfId="17921"/>
    <cellStyle name="Normal 18 3 7 2" xfId="17922"/>
    <cellStyle name="Normal 18 3 8" xfId="17923"/>
    <cellStyle name="Normal 18 3 9" xfId="17924"/>
    <cellStyle name="Normal 18 4" xfId="17925"/>
    <cellStyle name="Normal 18 4 10" xfId="17926"/>
    <cellStyle name="Normal 18 4 11" xfId="17927"/>
    <cellStyle name="Normal 18 4 2" xfId="17928"/>
    <cellStyle name="Normal 18 4 2 2" xfId="17929"/>
    <cellStyle name="Normal 18 4 2 3" xfId="17930"/>
    <cellStyle name="Normal 18 4 2 4" xfId="17931"/>
    <cellStyle name="Normal 18 4 2 5" xfId="17932"/>
    <cellStyle name="Normal 18 4 2 6" xfId="17933"/>
    <cellStyle name="Normal 18 4 2 7" xfId="17934"/>
    <cellStyle name="Normal 18 4 2 8" xfId="17935"/>
    <cellStyle name="Normal 18 4 3" xfId="17936"/>
    <cellStyle name="Normal 18 4 3 2" xfId="17937"/>
    <cellStyle name="Normal 18 4 3 3" xfId="17938"/>
    <cellStyle name="Normal 18 4 3 4" xfId="17939"/>
    <cellStyle name="Normal 18 4 3 5" xfId="17940"/>
    <cellStyle name="Normal 18 4 3 6" xfId="17941"/>
    <cellStyle name="Normal 18 4 4" xfId="17942"/>
    <cellStyle name="Normal 18 4 4 2" xfId="17943"/>
    <cellStyle name="Normal 18 4 4 3" xfId="17944"/>
    <cellStyle name="Normal 18 4 4 4" xfId="17945"/>
    <cellStyle name="Normal 18 4 4 5" xfId="17946"/>
    <cellStyle name="Normal 18 4 4 6" xfId="17947"/>
    <cellStyle name="Normal 18 4 5" xfId="17948"/>
    <cellStyle name="Normal 18 4 5 2" xfId="17949"/>
    <cellStyle name="Normal 18 4 5 3" xfId="17950"/>
    <cellStyle name="Normal 18 4 5 4" xfId="17951"/>
    <cellStyle name="Normal 18 4 5 5" xfId="17952"/>
    <cellStyle name="Normal 18 4 5 6" xfId="17953"/>
    <cellStyle name="Normal 18 4 6" xfId="17954"/>
    <cellStyle name="Normal 18 4 7" xfId="17955"/>
    <cellStyle name="Normal 18 4 7 2" xfId="17956"/>
    <cellStyle name="Normal 18 4 8" xfId="17957"/>
    <cellStyle name="Normal 18 4 8 2" xfId="17958"/>
    <cellStyle name="Normal 18 4 9" xfId="17959"/>
    <cellStyle name="Normal 18 5" xfId="17960"/>
    <cellStyle name="Normal 18 5 2" xfId="17961"/>
    <cellStyle name="Normal 18 5 2 2" xfId="17962"/>
    <cellStyle name="Normal 18 5 2 3" xfId="17963"/>
    <cellStyle name="Normal 18 5 2 4" xfId="17964"/>
    <cellStyle name="Normal 18 5 2 5" xfId="17965"/>
    <cellStyle name="Normal 18 5 2 5 2" xfId="17966"/>
    <cellStyle name="Normal 18 5 2 6" xfId="17967"/>
    <cellStyle name="Normal 18 5 2 6 2" xfId="17968"/>
    <cellStyle name="Normal 18 5 2 7" xfId="17969"/>
    <cellStyle name="Normal 18 5 2 7 2" xfId="17970"/>
    <cellStyle name="Normal 18 5 2 8" xfId="17971"/>
    <cellStyle name="Normal 18 5 2 8 2" xfId="17972"/>
    <cellStyle name="Normal 18 5 2 9" xfId="17973"/>
    <cellStyle name="Normal 18 5 3" xfId="17974"/>
    <cellStyle name="Normal 18 5 3 2" xfId="17975"/>
    <cellStyle name="Normal 18 5 3 2 2" xfId="17976"/>
    <cellStyle name="Normal 18 5 3 3" xfId="17977"/>
    <cellStyle name="Normal 18 5 3 3 2" xfId="17978"/>
    <cellStyle name="Normal 18 5 3 4" xfId="17979"/>
    <cellStyle name="Normal 18 5 3 4 2" xfId="17980"/>
    <cellStyle name="Normal 18 5 3 5" xfId="17981"/>
    <cellStyle name="Normal 18 5 3 5 2" xfId="17982"/>
    <cellStyle name="Normal 18 5 3 6" xfId="17983"/>
    <cellStyle name="Normal 18 5 4" xfId="17984"/>
    <cellStyle name="Normal 18 5 5" xfId="17985"/>
    <cellStyle name="Normal 18 5 6" xfId="17986"/>
    <cellStyle name="Normal 18 5 6 2" xfId="17987"/>
    <cellStyle name="Normal 18 5 7" xfId="17988"/>
    <cellStyle name="Normal 18 5 7 2" xfId="17989"/>
    <cellStyle name="Normal 18 5 7 3" xfId="17990"/>
    <cellStyle name="Normal 18 5 8" xfId="17991"/>
    <cellStyle name="Normal 18 5 8 2" xfId="17992"/>
    <cellStyle name="Normal 18 5 8 3" xfId="17993"/>
    <cellStyle name="Normal 18 5 9" xfId="17994"/>
    <cellStyle name="Normal 18 5 9 2" xfId="17995"/>
    <cellStyle name="Normal 18 5 9 3" xfId="17996"/>
    <cellStyle name="Normal 18 6" xfId="17997"/>
    <cellStyle name="Normal 18 6 2" xfId="17998"/>
    <cellStyle name="Normal 18 6 2 2" xfId="17999"/>
    <cellStyle name="Normal 18 6 2 2 2" xfId="18000"/>
    <cellStyle name="Normal 18 6 2 3" xfId="18001"/>
    <cellStyle name="Normal 18 6 2 3 2" xfId="18002"/>
    <cellStyle name="Normal 18 6 2 3 3" xfId="18003"/>
    <cellStyle name="Normal 18 6 2 4" xfId="18004"/>
    <cellStyle name="Normal 18 6 2 4 2" xfId="18005"/>
    <cellStyle name="Normal 18 6 2 5" xfId="18006"/>
    <cellStyle name="Normal 18 6 2 5 2" xfId="18007"/>
    <cellStyle name="Normal 18 6 3" xfId="18008"/>
    <cellStyle name="Normal 18 6 3 2" xfId="18009"/>
    <cellStyle name="Normal 18 6 3 2 2" xfId="18010"/>
    <cellStyle name="Normal 18 6 3 2 3" xfId="18011"/>
    <cellStyle name="Normal 18 6 3 3" xfId="18012"/>
    <cellStyle name="Normal 18 6 3 3 2" xfId="18013"/>
    <cellStyle name="Normal 18 6 3 4" xfId="18014"/>
    <cellStyle name="Normal 18 6 3 4 2" xfId="18015"/>
    <cellStyle name="Normal 18 6 3 5" xfId="18016"/>
    <cellStyle name="Normal 18 6 3 5 2" xfId="18017"/>
    <cellStyle name="Normal 18 6 3 6" xfId="18018"/>
    <cellStyle name="Normal 18 6 4" xfId="18019"/>
    <cellStyle name="Normal 18 6 5" xfId="18020"/>
    <cellStyle name="Normal 18 6 5 2" xfId="18021"/>
    <cellStyle name="Normal 18 6 6" xfId="18022"/>
    <cellStyle name="Normal 18 6 6 2" xfId="18023"/>
    <cellStyle name="Normal 18 6 7" xfId="18024"/>
    <cellStyle name="Normal 18 6 7 2" xfId="18025"/>
    <cellStyle name="Normal 18 6 7 3" xfId="18026"/>
    <cellStyle name="Normal 18 6 8" xfId="18027"/>
    <cellStyle name="Normal 18 6 8 2" xfId="18028"/>
    <cellStyle name="Normal 18 6 8 3" xfId="18029"/>
    <cellStyle name="Normal 18 7" xfId="18030"/>
    <cellStyle name="Normal 18 7 2" xfId="18031"/>
    <cellStyle name="Normal 18 7 2 2" xfId="18032"/>
    <cellStyle name="Normal 18 7 2 2 2" xfId="18033"/>
    <cellStyle name="Normal 18 7 2 3" xfId="18034"/>
    <cellStyle name="Normal 18 7 2 3 2" xfId="18035"/>
    <cellStyle name="Normal 18 7 2 4" xfId="18036"/>
    <cellStyle name="Normal 18 7 2 4 2" xfId="18037"/>
    <cellStyle name="Normal 18 7 2 5" xfId="18038"/>
    <cellStyle name="Normal 18 7 2 5 2" xfId="18039"/>
    <cellStyle name="Normal 18 7 2 6" xfId="18040"/>
    <cellStyle name="Normal 18 7 3" xfId="18041"/>
    <cellStyle name="Normal 18 7 3 2" xfId="18042"/>
    <cellStyle name="Normal 18 7 3 2 2" xfId="18043"/>
    <cellStyle name="Normal 18 7 3 3" xfId="18044"/>
    <cellStyle name="Normal 18 7 3 3 2" xfId="18045"/>
    <cellStyle name="Normal 18 7 3 4" xfId="18046"/>
    <cellStyle name="Normal 18 7 3 4 2" xfId="18047"/>
    <cellStyle name="Normal 18 7 3 5" xfId="18048"/>
    <cellStyle name="Normal 18 7 3 5 2" xfId="18049"/>
    <cellStyle name="Normal 18 7 3 6" xfId="18050"/>
    <cellStyle name="Normal 18 7 4" xfId="18051"/>
    <cellStyle name="Normal 18 7 5" xfId="18052"/>
    <cellStyle name="Normal 18 7 5 2" xfId="18053"/>
    <cellStyle name="Normal 18 7 6" xfId="18054"/>
    <cellStyle name="Normal 18 7 6 2" xfId="18055"/>
    <cellStyle name="Normal 18 7 7" xfId="18056"/>
    <cellStyle name="Normal 18 7 7 2" xfId="18057"/>
    <cellStyle name="Normal 18 7 8" xfId="18058"/>
    <cellStyle name="Normal 18 7 8 2" xfId="18059"/>
    <cellStyle name="Normal 18 7 9" xfId="18060"/>
    <cellStyle name="Normal 18 8" xfId="18061"/>
    <cellStyle name="Normal 18 8 2" xfId="18062"/>
    <cellStyle name="Normal 18 8 3" xfId="18063"/>
    <cellStyle name="Normal 18 8 4" xfId="18064"/>
    <cellStyle name="Normal 18 8 5" xfId="18065"/>
    <cellStyle name="Normal 18 8 5 2" xfId="18066"/>
    <cellStyle name="Normal 18 8 6" xfId="18067"/>
    <cellStyle name="Normal 18 8 6 2" xfId="18068"/>
    <cellStyle name="Normal 18 8 7" xfId="18069"/>
    <cellStyle name="Normal 18 8 7 2" xfId="18070"/>
    <cellStyle name="Normal 18 8 8" xfId="18071"/>
    <cellStyle name="Normal 18 8 8 2" xfId="18072"/>
    <cellStyle name="Normal 18 8 9" xfId="18073"/>
    <cellStyle name="Normal 18 9" xfId="18074"/>
    <cellStyle name="Normal 18 9 2" xfId="18075"/>
    <cellStyle name="Normal 18 9 2 2" xfId="18076"/>
    <cellStyle name="Normal 18 9 3" xfId="18077"/>
    <cellStyle name="Normal 18 9 3 2" xfId="18078"/>
    <cellStyle name="Normal 18 9 4" xfId="18079"/>
    <cellStyle name="Normal 18 9 4 2" xfId="18080"/>
    <cellStyle name="Normal 18 9 5" xfId="18081"/>
    <cellStyle name="Normal 18 9 5 2" xfId="18082"/>
    <cellStyle name="Normal 18 9 6" xfId="18083"/>
    <cellStyle name="Normal 180" xfId="18084"/>
    <cellStyle name="Normal 181" xfId="18085"/>
    <cellStyle name="Normal 182" xfId="18086"/>
    <cellStyle name="Normal 183" xfId="18087"/>
    <cellStyle name="Normal 183 2" xfId="18088"/>
    <cellStyle name="Normal 183 2 2" xfId="18089"/>
    <cellStyle name="Normal 183 3" xfId="18090"/>
    <cellStyle name="Normal 184" xfId="18091"/>
    <cellStyle name="Normal 184 2" xfId="18092"/>
    <cellStyle name="Normal 185" xfId="18093"/>
    <cellStyle name="Normal 185 2" xfId="18094"/>
    <cellStyle name="Normal 186" xfId="18095"/>
    <cellStyle name="Normal 187" xfId="18096"/>
    <cellStyle name="Normal 187 2" xfId="18097"/>
    <cellStyle name="Normal 188" xfId="18098"/>
    <cellStyle name="Normal 188 2" xfId="18099"/>
    <cellStyle name="Normal 189" xfId="18100"/>
    <cellStyle name="Normal 189 2" xfId="18101"/>
    <cellStyle name="Normal 19" xfId="18102"/>
    <cellStyle name="Normal 19 10" xfId="18103"/>
    <cellStyle name="Normal 19 11" xfId="18104"/>
    <cellStyle name="Normal 19 12" xfId="18105"/>
    <cellStyle name="Normal 19 12 2" xfId="18106"/>
    <cellStyle name="Normal 19 13" xfId="18107"/>
    <cellStyle name="Normal 19 13 2" xfId="18108"/>
    <cellStyle name="Normal 19 14" xfId="18109"/>
    <cellStyle name="Normal 19 14 2" xfId="18110"/>
    <cellStyle name="Normal 19 15" xfId="18111"/>
    <cellStyle name="Normal 19 15 2" xfId="18112"/>
    <cellStyle name="Normal 19 2" xfId="18113"/>
    <cellStyle name="Normal 19 2 10" xfId="18114"/>
    <cellStyle name="Normal 19 2 10 2" xfId="18115"/>
    <cellStyle name="Normal 19 2 2" xfId="18116"/>
    <cellStyle name="Normal 19 2 2 2" xfId="18117"/>
    <cellStyle name="Normal 19 2 2 2 2" xfId="18118"/>
    <cellStyle name="Normal 19 2 2 2 3" xfId="18119"/>
    <cellStyle name="Normal 19 2 2 2 4" xfId="18120"/>
    <cellStyle name="Normal 19 2 2 3" xfId="18121"/>
    <cellStyle name="Normal 19 2 2 4" xfId="18122"/>
    <cellStyle name="Normal 19 2 2 5" xfId="18123"/>
    <cellStyle name="Normal 19 2 3" xfId="18124"/>
    <cellStyle name="Normal 19 2 3 2" xfId="18125"/>
    <cellStyle name="Normal 19 2 3 3" xfId="18126"/>
    <cellStyle name="Normal 19 2 3 4" xfId="18127"/>
    <cellStyle name="Normal 19 2 4" xfId="18128"/>
    <cellStyle name="Normal 19 2 5" xfId="18129"/>
    <cellStyle name="Normal 19 2 6" xfId="18130"/>
    <cellStyle name="Normal 19 2 7" xfId="18131"/>
    <cellStyle name="Normal 19 2 7 2" xfId="18132"/>
    <cellStyle name="Normal 19 2 8" xfId="18133"/>
    <cellStyle name="Normal 19 2 8 2" xfId="18134"/>
    <cellStyle name="Normal 19 2 9" xfId="18135"/>
    <cellStyle name="Normal 19 2 9 2" xfId="18136"/>
    <cellStyle name="Normal 19 3" xfId="18137"/>
    <cellStyle name="Normal 19 3 2" xfId="18138"/>
    <cellStyle name="Normal 19 3 2 2" xfId="18139"/>
    <cellStyle name="Normal 19 3 2 2 2" xfId="18140"/>
    <cellStyle name="Normal 19 3 2 2 3" xfId="18141"/>
    <cellStyle name="Normal 19 3 2 2 4" xfId="18142"/>
    <cellStyle name="Normal 19 3 2 3" xfId="18143"/>
    <cellStyle name="Normal 19 3 2 4" xfId="18144"/>
    <cellStyle name="Normal 19 3 2 5" xfId="18145"/>
    <cellStyle name="Normal 19 3 3" xfId="18146"/>
    <cellStyle name="Normal 19 3 3 2" xfId="18147"/>
    <cellStyle name="Normal 19 3 3 3" xfId="18148"/>
    <cellStyle name="Normal 19 3 3 4" xfId="18149"/>
    <cellStyle name="Normal 19 3 4" xfId="18150"/>
    <cellStyle name="Normal 19 3 5" xfId="18151"/>
    <cellStyle name="Normal 19 3 6" xfId="18152"/>
    <cellStyle name="Normal 19 4" xfId="18153"/>
    <cellStyle name="Normal 19 4 2" xfId="18154"/>
    <cellStyle name="Normal 19 4 2 2" xfId="18155"/>
    <cellStyle name="Normal 19 4 2 3" xfId="18156"/>
    <cellStyle name="Normal 19 4 2 4" xfId="18157"/>
    <cellStyle name="Normal 19 4 3" xfId="18158"/>
    <cellStyle name="Normal 19 4 4" xfId="18159"/>
    <cellStyle name="Normal 19 4 5" xfId="18160"/>
    <cellStyle name="Normal 19 5" xfId="18161"/>
    <cellStyle name="Normal 19 5 2" xfId="18162"/>
    <cellStyle name="Normal 19 5 2 2" xfId="18163"/>
    <cellStyle name="Normal 19 5 2 3" xfId="18164"/>
    <cellStyle name="Normal 19 5 2 4" xfId="18165"/>
    <cellStyle name="Normal 19 5 3" xfId="18166"/>
    <cellStyle name="Normal 19 5 4" xfId="18167"/>
    <cellStyle name="Normal 19 5 5" xfId="18168"/>
    <cellStyle name="Normal 19 6" xfId="18169"/>
    <cellStyle name="Normal 19 6 2" xfId="18170"/>
    <cellStyle name="Normal 19 6 3" xfId="18171"/>
    <cellStyle name="Normal 19 6 4" xfId="18172"/>
    <cellStyle name="Normal 19 7" xfId="18173"/>
    <cellStyle name="Normal 19 7 2" xfId="18174"/>
    <cellStyle name="Normal 19 7 3" xfId="18175"/>
    <cellStyle name="Normal 19 7 4" xfId="18176"/>
    <cellStyle name="Normal 19 8" xfId="18177"/>
    <cellStyle name="Normal 19 8 2" xfId="18178"/>
    <cellStyle name="Normal 19 8 3" xfId="18179"/>
    <cellStyle name="Normal 19 8 4" xfId="18180"/>
    <cellStyle name="Normal 19 9" xfId="18181"/>
    <cellStyle name="Normal 190" xfId="18182"/>
    <cellStyle name="Normal 190 2" xfId="18183"/>
    <cellStyle name="Normal 191" xfId="18184"/>
    <cellStyle name="Normal 192" xfId="18185"/>
    <cellStyle name="Normal 192 2" xfId="18186"/>
    <cellStyle name="Normal 192 2 2" xfId="18187"/>
    <cellStyle name="Normal 193" xfId="18188"/>
    <cellStyle name="Normal 194" xfId="18189"/>
    <cellStyle name="Normal 195" xfId="18190"/>
    <cellStyle name="Normal 196" xfId="18191"/>
    <cellStyle name="Normal 197" xfId="18192"/>
    <cellStyle name="Normal 198" xfId="18193"/>
    <cellStyle name="Normal 199" xfId="18194"/>
    <cellStyle name="Normal 2" xfId="18195"/>
    <cellStyle name="Normal 2 10" xfId="18196"/>
    <cellStyle name="Normal 2 10 10" xfId="18197"/>
    <cellStyle name="Normal 2 10 10 2" xfId="18198"/>
    <cellStyle name="Normal 2 10 10 3" xfId="18199"/>
    <cellStyle name="Normal 2 10 10 4" xfId="18200"/>
    <cellStyle name="Normal 2 10 10 5" xfId="18201"/>
    <cellStyle name="Normal 2 10 10 6" xfId="18202"/>
    <cellStyle name="Normal 2 10 11" xfId="18203"/>
    <cellStyle name="Normal 2 10 12" xfId="18204"/>
    <cellStyle name="Normal 2 10 13" xfId="18205"/>
    <cellStyle name="Normal 2 10 14" xfId="18206"/>
    <cellStyle name="Normal 2 10 15" xfId="18207"/>
    <cellStyle name="Normal 2 10 16" xfId="18208"/>
    <cellStyle name="Normal 2 10 2" xfId="18209"/>
    <cellStyle name="Normal 2 10 2 10" xfId="18210"/>
    <cellStyle name="Normal 2 10 2 11" xfId="18211"/>
    <cellStyle name="Normal 2 10 2 2" xfId="18212"/>
    <cellStyle name="Normal 2 10 2 2 2" xfId="18213"/>
    <cellStyle name="Normal 2 10 2 2 3" xfId="18214"/>
    <cellStyle name="Normal 2 10 2 2 4" xfId="18215"/>
    <cellStyle name="Normal 2 10 2 3" xfId="18216"/>
    <cellStyle name="Normal 2 10 2 4" xfId="18217"/>
    <cellStyle name="Normal 2 10 2 5" xfId="18218"/>
    <cellStyle name="Normal 2 10 2 6" xfId="18219"/>
    <cellStyle name="Normal 2 10 2 7" xfId="18220"/>
    <cellStyle name="Normal 2 10 2 8" xfId="18221"/>
    <cellStyle name="Normal 2 10 2 9" xfId="18222"/>
    <cellStyle name="Normal 2 10 3" xfId="18223"/>
    <cellStyle name="Normal 2 10 3 2" xfId="18224"/>
    <cellStyle name="Normal 2 10 3 3" xfId="18225"/>
    <cellStyle name="Normal 2 10 3 4" xfId="18226"/>
    <cellStyle name="Normal 2 10 3 5" xfId="18227"/>
    <cellStyle name="Normal 2 10 3 6" xfId="18228"/>
    <cellStyle name="Normal 2 10 3 7" xfId="18229"/>
    <cellStyle name="Normal 2 10 3 8" xfId="18230"/>
    <cellStyle name="Normal 2 10 4" xfId="18231"/>
    <cellStyle name="Normal 2 10 4 10" xfId="18232"/>
    <cellStyle name="Normal 2 10 4 2" xfId="18233"/>
    <cellStyle name="Normal 2 10 4 2 2" xfId="18234"/>
    <cellStyle name="Normal 2 10 4 2 2 2" xfId="18235"/>
    <cellStyle name="Normal 2 10 4 2 2 3" xfId="18236"/>
    <cellStyle name="Normal 2 10 4 2 2 4" xfId="18237"/>
    <cellStyle name="Normal 2 10 4 2 3" xfId="18238"/>
    <cellStyle name="Normal 2 10 4 2 4" xfId="18239"/>
    <cellStyle name="Normal 2 10 4 2 5" xfId="18240"/>
    <cellStyle name="Normal 2 10 4 3" xfId="18241"/>
    <cellStyle name="Normal 2 10 4 3 2" xfId="18242"/>
    <cellStyle name="Normal 2 10 4 3 3" xfId="18243"/>
    <cellStyle name="Normal 2 10 4 3 4" xfId="18244"/>
    <cellStyle name="Normal 2 10 4 4" xfId="18245"/>
    <cellStyle name="Normal 2 10 4 5" xfId="18246"/>
    <cellStyle name="Normal 2 10 4 6" xfId="18247"/>
    <cellStyle name="Normal 2 10 4 7" xfId="18248"/>
    <cellStyle name="Normal 2 10 4 8" xfId="18249"/>
    <cellStyle name="Normal 2 10 4 9" xfId="18250"/>
    <cellStyle name="Normal 2 10 5" xfId="18251"/>
    <cellStyle name="Normal 2 10 5 10" xfId="18252"/>
    <cellStyle name="Normal 2 10 5 11" xfId="18253"/>
    <cellStyle name="Normal 2 10 5 2" xfId="18254"/>
    <cellStyle name="Normal 2 10 5 2 2" xfId="18255"/>
    <cellStyle name="Normal 2 10 5 2 2 2" xfId="18256"/>
    <cellStyle name="Normal 2 10 5 2 2 3" xfId="18257"/>
    <cellStyle name="Normal 2 10 5 2 2 4" xfId="18258"/>
    <cellStyle name="Normal 2 10 5 2 3" xfId="18259"/>
    <cellStyle name="Normal 2 10 5 2 4" xfId="18260"/>
    <cellStyle name="Normal 2 10 5 2 5" xfId="18261"/>
    <cellStyle name="Normal 2 10 5 3" xfId="18262"/>
    <cellStyle name="Normal 2 10 5 3 2" xfId="18263"/>
    <cellStyle name="Normal 2 10 5 3 3" xfId="18264"/>
    <cellStyle name="Normal 2 10 5 3 4" xfId="18265"/>
    <cellStyle name="Normal 2 10 5 4" xfId="18266"/>
    <cellStyle name="Normal 2 10 5 5" xfId="18267"/>
    <cellStyle name="Normal 2 10 5 6" xfId="18268"/>
    <cellStyle name="Normal 2 10 5 7" xfId="18269"/>
    <cellStyle name="Normal 2 10 5 8" xfId="18270"/>
    <cellStyle name="Normal 2 10 5 9" xfId="18271"/>
    <cellStyle name="Normal 2 10 6" xfId="18272"/>
    <cellStyle name="Normal 2 10 6 10" xfId="18273"/>
    <cellStyle name="Normal 2 10 6 2" xfId="18274"/>
    <cellStyle name="Normal 2 10 6 2 2" xfId="18275"/>
    <cellStyle name="Normal 2 10 6 2 3" xfId="18276"/>
    <cellStyle name="Normal 2 10 6 2 4" xfId="18277"/>
    <cellStyle name="Normal 2 10 6 3" xfId="18278"/>
    <cellStyle name="Normal 2 10 6 4" xfId="18279"/>
    <cellStyle name="Normal 2 10 6 5" xfId="18280"/>
    <cellStyle name="Normal 2 10 6 6" xfId="18281"/>
    <cellStyle name="Normal 2 10 6 7" xfId="18282"/>
    <cellStyle name="Normal 2 10 6 8" xfId="18283"/>
    <cellStyle name="Normal 2 10 6 9" xfId="18284"/>
    <cellStyle name="Normal 2 10 7" xfId="18285"/>
    <cellStyle name="Normal 2 10 7 10" xfId="18286"/>
    <cellStyle name="Normal 2 10 7 2" xfId="18287"/>
    <cellStyle name="Normal 2 10 7 2 2" xfId="18288"/>
    <cellStyle name="Normal 2 10 7 2 3" xfId="18289"/>
    <cellStyle name="Normal 2 10 7 2 4" xfId="18290"/>
    <cellStyle name="Normal 2 10 7 3" xfId="18291"/>
    <cellStyle name="Normal 2 10 7 4" xfId="18292"/>
    <cellStyle name="Normal 2 10 7 5" xfId="18293"/>
    <cellStyle name="Normal 2 10 7 6" xfId="18294"/>
    <cellStyle name="Normal 2 10 7 7" xfId="18295"/>
    <cellStyle name="Normal 2 10 7 8" xfId="18296"/>
    <cellStyle name="Normal 2 10 7 9" xfId="18297"/>
    <cellStyle name="Normal 2 10 8" xfId="18298"/>
    <cellStyle name="Normal 2 10 8 2" xfId="18299"/>
    <cellStyle name="Normal 2 10 8 3" xfId="18300"/>
    <cellStyle name="Normal 2 10 8 4" xfId="18301"/>
    <cellStyle name="Normal 2 10 8 5" xfId="18302"/>
    <cellStyle name="Normal 2 10 8 6" xfId="18303"/>
    <cellStyle name="Normal 2 10 8 7" xfId="18304"/>
    <cellStyle name="Normal 2 10 8 8" xfId="18305"/>
    <cellStyle name="Normal 2 10 8 9" xfId="18306"/>
    <cellStyle name="Normal 2 10 9" xfId="18307"/>
    <cellStyle name="Normal 2 10 9 2" xfId="18308"/>
    <cellStyle name="Normal 2 10 9 3" xfId="18309"/>
    <cellStyle name="Normal 2 10 9 4" xfId="18310"/>
    <cellStyle name="Normal 2 10 9 5" xfId="18311"/>
    <cellStyle name="Normal 2 10 9 6" xfId="18312"/>
    <cellStyle name="Normal 2 10 9 7" xfId="18313"/>
    <cellStyle name="Normal 2 10 9 8" xfId="18314"/>
    <cellStyle name="Normal 2 10 9 9" xfId="18315"/>
    <cellStyle name="Normal 2 101" xfId="18316"/>
    <cellStyle name="Normal 2 101 2" xfId="18317"/>
    <cellStyle name="Normal 2 11" xfId="18318"/>
    <cellStyle name="Normal 2 11 10" xfId="18319"/>
    <cellStyle name="Normal 2 11 11" xfId="18320"/>
    <cellStyle name="Normal 2 11 12" xfId="18321"/>
    <cellStyle name="Normal 2 11 13" xfId="18322"/>
    <cellStyle name="Normal 2 11 14" xfId="18323"/>
    <cellStyle name="Normal 2 11 15" xfId="18324"/>
    <cellStyle name="Normal 2 11 2" xfId="18325"/>
    <cellStyle name="Normal 2 11 2 2" xfId="18326"/>
    <cellStyle name="Normal 2 11 2 3" xfId="18327"/>
    <cellStyle name="Normal 2 11 2 4" xfId="18328"/>
    <cellStyle name="Normal 2 11 2 5" xfId="18329"/>
    <cellStyle name="Normal 2 11 2 6" xfId="18330"/>
    <cellStyle name="Normal 2 11 3" xfId="18331"/>
    <cellStyle name="Normal 2 11 3 10" xfId="18332"/>
    <cellStyle name="Normal 2 11 3 11" xfId="18333"/>
    <cellStyle name="Normal 2 11 3 2" xfId="18334"/>
    <cellStyle name="Normal 2 11 3 2 2" xfId="18335"/>
    <cellStyle name="Normal 2 11 3 2 2 2" xfId="18336"/>
    <cellStyle name="Normal 2 11 3 2 2 3" xfId="18337"/>
    <cellStyle name="Normal 2 11 3 2 2 4" xfId="18338"/>
    <cellStyle name="Normal 2 11 3 2 3" xfId="18339"/>
    <cellStyle name="Normal 2 11 3 2 4" xfId="18340"/>
    <cellStyle name="Normal 2 11 3 2 5" xfId="18341"/>
    <cellStyle name="Normal 2 11 3 3" xfId="18342"/>
    <cellStyle name="Normal 2 11 3 3 2" xfId="18343"/>
    <cellStyle name="Normal 2 11 3 3 3" xfId="18344"/>
    <cellStyle name="Normal 2 11 3 3 4" xfId="18345"/>
    <cellStyle name="Normal 2 11 3 4" xfId="18346"/>
    <cellStyle name="Normal 2 11 3 5" xfId="18347"/>
    <cellStyle name="Normal 2 11 3 6" xfId="18348"/>
    <cellStyle name="Normal 2 11 3 7" xfId="18349"/>
    <cellStyle name="Normal 2 11 3 8" xfId="18350"/>
    <cellStyle name="Normal 2 11 3 9" xfId="18351"/>
    <cellStyle name="Normal 2 11 4" xfId="18352"/>
    <cellStyle name="Normal 2 11 4 10" xfId="18353"/>
    <cellStyle name="Normal 2 11 4 2" xfId="18354"/>
    <cellStyle name="Normal 2 11 4 2 2" xfId="18355"/>
    <cellStyle name="Normal 2 11 4 2 2 2" xfId="18356"/>
    <cellStyle name="Normal 2 11 4 2 2 3" xfId="18357"/>
    <cellStyle name="Normal 2 11 4 2 2 4" xfId="18358"/>
    <cellStyle name="Normal 2 11 4 2 3" xfId="18359"/>
    <cellStyle name="Normal 2 11 4 2 4" xfId="18360"/>
    <cellStyle name="Normal 2 11 4 2 5" xfId="18361"/>
    <cellStyle name="Normal 2 11 4 3" xfId="18362"/>
    <cellStyle name="Normal 2 11 4 3 2" xfId="18363"/>
    <cellStyle name="Normal 2 11 4 3 3" xfId="18364"/>
    <cellStyle name="Normal 2 11 4 3 4" xfId="18365"/>
    <cellStyle name="Normal 2 11 4 4" xfId="18366"/>
    <cellStyle name="Normal 2 11 4 5" xfId="18367"/>
    <cellStyle name="Normal 2 11 4 6" xfId="18368"/>
    <cellStyle name="Normal 2 11 4 7" xfId="18369"/>
    <cellStyle name="Normal 2 11 4 8" xfId="18370"/>
    <cellStyle name="Normal 2 11 4 9" xfId="18371"/>
    <cellStyle name="Normal 2 11 5" xfId="18372"/>
    <cellStyle name="Normal 2 11 5 10" xfId="18373"/>
    <cellStyle name="Normal 2 11 5 2" xfId="18374"/>
    <cellStyle name="Normal 2 11 5 2 2" xfId="18375"/>
    <cellStyle name="Normal 2 11 5 2 3" xfId="18376"/>
    <cellStyle name="Normal 2 11 5 2 4" xfId="18377"/>
    <cellStyle name="Normal 2 11 5 3" xfId="18378"/>
    <cellStyle name="Normal 2 11 5 4" xfId="18379"/>
    <cellStyle name="Normal 2 11 5 5" xfId="18380"/>
    <cellStyle name="Normal 2 11 5 6" xfId="18381"/>
    <cellStyle name="Normal 2 11 5 7" xfId="18382"/>
    <cellStyle name="Normal 2 11 5 8" xfId="18383"/>
    <cellStyle name="Normal 2 11 5 9" xfId="18384"/>
    <cellStyle name="Normal 2 11 6" xfId="18385"/>
    <cellStyle name="Normal 2 11 6 10" xfId="18386"/>
    <cellStyle name="Normal 2 11 6 2" xfId="18387"/>
    <cellStyle name="Normal 2 11 6 2 2" xfId="18388"/>
    <cellStyle name="Normal 2 11 6 2 3" xfId="18389"/>
    <cellStyle name="Normal 2 11 6 2 4" xfId="18390"/>
    <cellStyle name="Normal 2 11 6 3" xfId="18391"/>
    <cellStyle name="Normal 2 11 6 4" xfId="18392"/>
    <cellStyle name="Normal 2 11 6 5" xfId="18393"/>
    <cellStyle name="Normal 2 11 6 6" xfId="18394"/>
    <cellStyle name="Normal 2 11 6 7" xfId="18395"/>
    <cellStyle name="Normal 2 11 6 8" xfId="18396"/>
    <cellStyle name="Normal 2 11 6 9" xfId="18397"/>
    <cellStyle name="Normal 2 11 7" xfId="18398"/>
    <cellStyle name="Normal 2 11 7 2" xfId="18399"/>
    <cellStyle name="Normal 2 11 7 3" xfId="18400"/>
    <cellStyle name="Normal 2 11 7 4" xfId="18401"/>
    <cellStyle name="Normal 2 11 7 5" xfId="18402"/>
    <cellStyle name="Normal 2 11 7 6" xfId="18403"/>
    <cellStyle name="Normal 2 11 7 7" xfId="18404"/>
    <cellStyle name="Normal 2 11 7 8" xfId="18405"/>
    <cellStyle name="Normal 2 11 7 9" xfId="18406"/>
    <cellStyle name="Normal 2 11 8" xfId="18407"/>
    <cellStyle name="Normal 2 11 8 2" xfId="18408"/>
    <cellStyle name="Normal 2 11 8 3" xfId="18409"/>
    <cellStyle name="Normal 2 11 8 4" xfId="18410"/>
    <cellStyle name="Normal 2 11 8 5" xfId="18411"/>
    <cellStyle name="Normal 2 11 8 6" xfId="18412"/>
    <cellStyle name="Normal 2 11 8 7" xfId="18413"/>
    <cellStyle name="Normal 2 11 8 8" xfId="18414"/>
    <cellStyle name="Normal 2 11 8 9" xfId="18415"/>
    <cellStyle name="Normal 2 11 9" xfId="18416"/>
    <cellStyle name="Normal 2 12" xfId="18417"/>
    <cellStyle name="Normal 2 12 10" xfId="18418"/>
    <cellStyle name="Normal 2 12 11" xfId="18419"/>
    <cellStyle name="Normal 2 12 12" xfId="18420"/>
    <cellStyle name="Normal 2 12 13" xfId="18421"/>
    <cellStyle name="Normal 2 12 14" xfId="18422"/>
    <cellStyle name="Normal 2 12 15" xfId="18423"/>
    <cellStyle name="Normal 2 12 2" xfId="18424"/>
    <cellStyle name="Normal 2 12 2 10" xfId="18425"/>
    <cellStyle name="Normal 2 12 2 11" xfId="18426"/>
    <cellStyle name="Normal 2 12 2 2" xfId="18427"/>
    <cellStyle name="Normal 2 12 2 2 2" xfId="18428"/>
    <cellStyle name="Normal 2 12 2 2 2 2" xfId="18429"/>
    <cellStyle name="Normal 2 12 2 2 2 3" xfId="18430"/>
    <cellStyle name="Normal 2 12 2 2 2 4" xfId="18431"/>
    <cellStyle name="Normal 2 12 2 2 3" xfId="18432"/>
    <cellStyle name="Normal 2 12 2 2 4" xfId="18433"/>
    <cellStyle name="Normal 2 12 2 2 5" xfId="18434"/>
    <cellStyle name="Normal 2 12 2 3" xfId="18435"/>
    <cellStyle name="Normal 2 12 2 3 2" xfId="18436"/>
    <cellStyle name="Normal 2 12 2 3 3" xfId="18437"/>
    <cellStyle name="Normal 2 12 2 3 4" xfId="18438"/>
    <cellStyle name="Normal 2 12 2 4" xfId="18439"/>
    <cellStyle name="Normal 2 12 2 5" xfId="18440"/>
    <cellStyle name="Normal 2 12 2 6" xfId="18441"/>
    <cellStyle name="Normal 2 12 2 7" xfId="18442"/>
    <cellStyle name="Normal 2 12 2 8" xfId="18443"/>
    <cellStyle name="Normal 2 12 2 9" xfId="18444"/>
    <cellStyle name="Normal 2 12 3" xfId="18445"/>
    <cellStyle name="Normal 2 12 3 10" xfId="18446"/>
    <cellStyle name="Normal 2 12 3 11" xfId="18447"/>
    <cellStyle name="Normal 2 12 3 2" xfId="18448"/>
    <cellStyle name="Normal 2 12 3 2 2" xfId="18449"/>
    <cellStyle name="Normal 2 12 3 2 2 2" xfId="18450"/>
    <cellStyle name="Normal 2 12 3 2 2 3" xfId="18451"/>
    <cellStyle name="Normal 2 12 3 2 2 4" xfId="18452"/>
    <cellStyle name="Normal 2 12 3 2 3" xfId="18453"/>
    <cellStyle name="Normal 2 12 3 2 4" xfId="18454"/>
    <cellStyle name="Normal 2 12 3 2 5" xfId="18455"/>
    <cellStyle name="Normal 2 12 3 3" xfId="18456"/>
    <cellStyle name="Normal 2 12 3 3 2" xfId="18457"/>
    <cellStyle name="Normal 2 12 3 3 3" xfId="18458"/>
    <cellStyle name="Normal 2 12 3 3 4" xfId="18459"/>
    <cellStyle name="Normal 2 12 3 4" xfId="18460"/>
    <cellStyle name="Normal 2 12 3 5" xfId="18461"/>
    <cellStyle name="Normal 2 12 3 6" xfId="18462"/>
    <cellStyle name="Normal 2 12 3 7" xfId="18463"/>
    <cellStyle name="Normal 2 12 3 8" xfId="18464"/>
    <cellStyle name="Normal 2 12 3 9" xfId="18465"/>
    <cellStyle name="Normal 2 12 4" xfId="18466"/>
    <cellStyle name="Normal 2 12 4 10" xfId="18467"/>
    <cellStyle name="Normal 2 12 4 2" xfId="18468"/>
    <cellStyle name="Normal 2 12 4 2 2" xfId="18469"/>
    <cellStyle name="Normal 2 12 4 2 3" xfId="18470"/>
    <cellStyle name="Normal 2 12 4 2 4" xfId="18471"/>
    <cellStyle name="Normal 2 12 4 3" xfId="18472"/>
    <cellStyle name="Normal 2 12 4 4" xfId="18473"/>
    <cellStyle name="Normal 2 12 4 5" xfId="18474"/>
    <cellStyle name="Normal 2 12 4 6" xfId="18475"/>
    <cellStyle name="Normal 2 12 4 7" xfId="18476"/>
    <cellStyle name="Normal 2 12 4 8" xfId="18477"/>
    <cellStyle name="Normal 2 12 4 9" xfId="18478"/>
    <cellStyle name="Normal 2 12 5" xfId="18479"/>
    <cellStyle name="Normal 2 12 5 10" xfId="18480"/>
    <cellStyle name="Normal 2 12 5 2" xfId="18481"/>
    <cellStyle name="Normal 2 12 5 2 2" xfId="18482"/>
    <cellStyle name="Normal 2 12 5 2 3" xfId="18483"/>
    <cellStyle name="Normal 2 12 5 2 4" xfId="18484"/>
    <cellStyle name="Normal 2 12 5 3" xfId="18485"/>
    <cellStyle name="Normal 2 12 5 4" xfId="18486"/>
    <cellStyle name="Normal 2 12 5 5" xfId="18487"/>
    <cellStyle name="Normal 2 12 5 6" xfId="18488"/>
    <cellStyle name="Normal 2 12 5 7" xfId="18489"/>
    <cellStyle name="Normal 2 12 5 8" xfId="18490"/>
    <cellStyle name="Normal 2 12 5 9" xfId="18491"/>
    <cellStyle name="Normal 2 12 6" xfId="18492"/>
    <cellStyle name="Normal 2 12 6 2" xfId="18493"/>
    <cellStyle name="Normal 2 12 6 3" xfId="18494"/>
    <cellStyle name="Normal 2 12 6 4" xfId="18495"/>
    <cellStyle name="Normal 2 12 6 5" xfId="18496"/>
    <cellStyle name="Normal 2 12 6 6" xfId="18497"/>
    <cellStyle name="Normal 2 12 6 7" xfId="18498"/>
    <cellStyle name="Normal 2 12 6 8" xfId="18499"/>
    <cellStyle name="Normal 2 12 6 9" xfId="18500"/>
    <cellStyle name="Normal 2 12 7" xfId="18501"/>
    <cellStyle name="Normal 2 12 7 2" xfId="18502"/>
    <cellStyle name="Normal 2 12 7 3" xfId="18503"/>
    <cellStyle name="Normal 2 12 7 4" xfId="18504"/>
    <cellStyle name="Normal 2 12 7 5" xfId="18505"/>
    <cellStyle name="Normal 2 12 7 6" xfId="18506"/>
    <cellStyle name="Normal 2 12 7 7" xfId="18507"/>
    <cellStyle name="Normal 2 12 7 8" xfId="18508"/>
    <cellStyle name="Normal 2 12 7 9" xfId="18509"/>
    <cellStyle name="Normal 2 12 8" xfId="18510"/>
    <cellStyle name="Normal 2 12 8 2" xfId="18511"/>
    <cellStyle name="Normal 2 12 8 3" xfId="18512"/>
    <cellStyle name="Normal 2 12 8 4" xfId="18513"/>
    <cellStyle name="Normal 2 12 8 5" xfId="18514"/>
    <cellStyle name="Normal 2 12 8 6" xfId="18515"/>
    <cellStyle name="Normal 2 12 9" xfId="18516"/>
    <cellStyle name="Normal 2 13" xfId="18517"/>
    <cellStyle name="Normal 2 13 10" xfId="18518"/>
    <cellStyle name="Normal 2 13 11" xfId="18519"/>
    <cellStyle name="Normal 2 13 12" xfId="18520"/>
    <cellStyle name="Normal 2 13 13" xfId="18521"/>
    <cellStyle name="Normal 2 13 14" xfId="18522"/>
    <cellStyle name="Normal 2 13 15" xfId="18523"/>
    <cellStyle name="Normal 2 13 16" xfId="18524"/>
    <cellStyle name="Normal 2 13 17" xfId="18525"/>
    <cellStyle name="Normal 2 13 18" xfId="18526"/>
    <cellStyle name="Normal 2 13 2" xfId="18527"/>
    <cellStyle name="Normal 2 13 2 10" xfId="18528"/>
    <cellStyle name="Normal 2 13 2 10 2" xfId="18529"/>
    <cellStyle name="Normal 2 13 2 10 2 2" xfId="18530"/>
    <cellStyle name="Normal 2 13 2 10 3" xfId="18531"/>
    <cellStyle name="Normal 2 13 2 11" xfId="18532"/>
    <cellStyle name="Normal 2 13 2 11 2" xfId="18533"/>
    <cellStyle name="Normal 2 13 2 12" xfId="18534"/>
    <cellStyle name="Normal 2 13 2 12 2" xfId="18535"/>
    <cellStyle name="Normal 2 13 2 13" xfId="18536"/>
    <cellStyle name="Normal 2 13 2 13 2" xfId="18537"/>
    <cellStyle name="Normal 2 13 2 14" xfId="18538"/>
    <cellStyle name="Normal 2 13 2 15" xfId="18539"/>
    <cellStyle name="Normal 2 13 2 2" xfId="18540"/>
    <cellStyle name="Normal 2 13 2 2 2" xfId="18541"/>
    <cellStyle name="Normal 2 13 2 2 2 2" xfId="18542"/>
    <cellStyle name="Normal 2 13 2 2 2 2 2" xfId="18543"/>
    <cellStyle name="Normal 2 13 2 2 2 3" xfId="18544"/>
    <cellStyle name="Normal 2 13 2 2 3" xfId="18545"/>
    <cellStyle name="Normal 2 13 2 2 3 2" xfId="18546"/>
    <cellStyle name="Normal 2 13 2 2 3 2 2" xfId="18547"/>
    <cellStyle name="Normal 2 13 2 2 3 3" xfId="18548"/>
    <cellStyle name="Normal 2 13 2 2 4" xfId="18549"/>
    <cellStyle name="Normal 2 13 2 2 4 2" xfId="18550"/>
    <cellStyle name="Normal 2 13 2 2 5" xfId="18551"/>
    <cellStyle name="Normal 2 13 2 2 5 2" xfId="18552"/>
    <cellStyle name="Normal 2 13 2 2 6" xfId="18553"/>
    <cellStyle name="Normal 2 13 2 2 6 2" xfId="18554"/>
    <cellStyle name="Normal 2 13 2 2 7" xfId="18555"/>
    <cellStyle name="Normal 2 13 2 3" xfId="18556"/>
    <cellStyle name="Normal 2 13 2 3 2" xfId="18557"/>
    <cellStyle name="Normal 2 13 2 3 2 2" xfId="18558"/>
    <cellStyle name="Normal 2 13 2 3 2 2 2" xfId="18559"/>
    <cellStyle name="Normal 2 13 2 3 2 3" xfId="18560"/>
    <cellStyle name="Normal 2 13 2 3 3" xfId="18561"/>
    <cellStyle name="Normal 2 13 2 3 3 2" xfId="18562"/>
    <cellStyle name="Normal 2 13 2 3 3 2 2" xfId="18563"/>
    <cellStyle name="Normal 2 13 2 3 3 3" xfId="18564"/>
    <cellStyle name="Normal 2 13 2 3 4" xfId="18565"/>
    <cellStyle name="Normal 2 13 2 3 4 2" xfId="18566"/>
    <cellStyle name="Normal 2 13 2 3 5" xfId="18567"/>
    <cellStyle name="Normal 2 13 2 3 5 2" xfId="18568"/>
    <cellStyle name="Normal 2 13 2 3 6" xfId="18569"/>
    <cellStyle name="Normal 2 13 2 3 6 2" xfId="18570"/>
    <cellStyle name="Normal 2 13 2 3 7" xfId="18571"/>
    <cellStyle name="Normal 2 13 2 4" xfId="18572"/>
    <cellStyle name="Normal 2 13 2 4 2" xfId="18573"/>
    <cellStyle name="Normal 2 13 2 4 2 2" xfId="18574"/>
    <cellStyle name="Normal 2 13 2 4 2 2 2" xfId="18575"/>
    <cellStyle name="Normal 2 13 2 4 2 3" xfId="18576"/>
    <cellStyle name="Normal 2 13 2 4 3" xfId="18577"/>
    <cellStyle name="Normal 2 13 2 4 3 2" xfId="18578"/>
    <cellStyle name="Normal 2 13 2 4 3 2 2" xfId="18579"/>
    <cellStyle name="Normal 2 13 2 4 3 3" xfId="18580"/>
    <cellStyle name="Normal 2 13 2 4 4" xfId="18581"/>
    <cellStyle name="Normal 2 13 2 4 4 2" xfId="18582"/>
    <cellStyle name="Normal 2 13 2 4 5" xfId="18583"/>
    <cellStyle name="Normal 2 13 2 5" xfId="18584"/>
    <cellStyle name="Normal 2 13 2 5 2" xfId="18585"/>
    <cellStyle name="Normal 2 13 2 5 2 2" xfId="18586"/>
    <cellStyle name="Normal 2 13 2 5 3" xfId="18587"/>
    <cellStyle name="Normal 2 13 2 5 4" xfId="18588"/>
    <cellStyle name="Normal 2 13 2 6" xfId="18589"/>
    <cellStyle name="Normal 2 13 2 6 2" xfId="18590"/>
    <cellStyle name="Normal 2 13 2 6 2 2" xfId="18591"/>
    <cellStyle name="Normal 2 13 2 6 3" xfId="18592"/>
    <cellStyle name="Normal 2 13 2 7" xfId="18593"/>
    <cellStyle name="Normal 2 13 2 7 2" xfId="18594"/>
    <cellStyle name="Normal 2 13 2 7 2 2" xfId="18595"/>
    <cellStyle name="Normal 2 13 2 7 3" xfId="18596"/>
    <cellStyle name="Normal 2 13 2 8" xfId="18597"/>
    <cellStyle name="Normal 2 13 2 8 2" xfId="18598"/>
    <cellStyle name="Normal 2 13 2 8 2 2" xfId="18599"/>
    <cellStyle name="Normal 2 13 2 8 3" xfId="18600"/>
    <cellStyle name="Normal 2 13 2 9" xfId="18601"/>
    <cellStyle name="Normal 2 13 2 9 2" xfId="18602"/>
    <cellStyle name="Normal 2 13 2 9 2 2" xfId="18603"/>
    <cellStyle name="Normal 2 13 2 9 3" xfId="18604"/>
    <cellStyle name="Normal 2 13 3" xfId="18605"/>
    <cellStyle name="Normal 2 13 3 10" xfId="18606"/>
    <cellStyle name="Normal 2 13 3 2" xfId="18607"/>
    <cellStyle name="Normal 2 13 3 2 2" xfId="18608"/>
    <cellStyle name="Normal 2 13 3 2 2 2" xfId="18609"/>
    <cellStyle name="Normal 2 13 3 2 2 3" xfId="18610"/>
    <cellStyle name="Normal 2 13 3 2 2 4" xfId="18611"/>
    <cellStyle name="Normal 2 13 3 2 3" xfId="18612"/>
    <cellStyle name="Normal 2 13 3 2 4" xfId="18613"/>
    <cellStyle name="Normal 2 13 3 2 5" xfId="18614"/>
    <cellStyle name="Normal 2 13 3 3" xfId="18615"/>
    <cellStyle name="Normal 2 13 3 3 2" xfId="18616"/>
    <cellStyle name="Normal 2 13 3 3 3" xfId="18617"/>
    <cellStyle name="Normal 2 13 3 3 4" xfId="18618"/>
    <cellStyle name="Normal 2 13 3 4" xfId="18619"/>
    <cellStyle name="Normal 2 13 3 5" xfId="18620"/>
    <cellStyle name="Normal 2 13 3 6" xfId="18621"/>
    <cellStyle name="Normal 2 13 3 7" xfId="18622"/>
    <cellStyle name="Normal 2 13 3 8" xfId="18623"/>
    <cellStyle name="Normal 2 13 3 9" xfId="18624"/>
    <cellStyle name="Normal 2 13 4" xfId="18625"/>
    <cellStyle name="Normal 2 13 4 10" xfId="18626"/>
    <cellStyle name="Normal 2 13 4 11" xfId="18627"/>
    <cellStyle name="Normal 2 13 4 2" xfId="18628"/>
    <cellStyle name="Normal 2 13 4 2 2" xfId="18629"/>
    <cellStyle name="Normal 2 13 4 2 2 2" xfId="18630"/>
    <cellStyle name="Normal 2 13 4 2 2 3" xfId="18631"/>
    <cellStyle name="Normal 2 13 4 2 2 4" xfId="18632"/>
    <cellStyle name="Normal 2 13 4 2 3" xfId="18633"/>
    <cellStyle name="Normal 2 13 4 2 4" xfId="18634"/>
    <cellStyle name="Normal 2 13 4 2 5" xfId="18635"/>
    <cellStyle name="Normal 2 13 4 3" xfId="18636"/>
    <cellStyle name="Normal 2 13 4 3 2" xfId="18637"/>
    <cellStyle name="Normal 2 13 4 3 3" xfId="18638"/>
    <cellStyle name="Normal 2 13 4 3 4" xfId="18639"/>
    <cellStyle name="Normal 2 13 4 4" xfId="18640"/>
    <cellStyle name="Normal 2 13 4 5" xfId="18641"/>
    <cellStyle name="Normal 2 13 4 6" xfId="18642"/>
    <cellStyle name="Normal 2 13 4 7" xfId="18643"/>
    <cellStyle name="Normal 2 13 4 8" xfId="18644"/>
    <cellStyle name="Normal 2 13 4 9" xfId="18645"/>
    <cellStyle name="Normal 2 13 5" xfId="18646"/>
    <cellStyle name="Normal 2 13 5 10" xfId="18647"/>
    <cellStyle name="Normal 2 13 5 2" xfId="18648"/>
    <cellStyle name="Normal 2 13 5 2 2" xfId="18649"/>
    <cellStyle name="Normal 2 13 5 2 3" xfId="18650"/>
    <cellStyle name="Normal 2 13 5 2 4" xfId="18651"/>
    <cellStyle name="Normal 2 13 5 3" xfId="18652"/>
    <cellStyle name="Normal 2 13 5 4" xfId="18653"/>
    <cellStyle name="Normal 2 13 5 5" xfId="18654"/>
    <cellStyle name="Normal 2 13 5 6" xfId="18655"/>
    <cellStyle name="Normal 2 13 5 7" xfId="18656"/>
    <cellStyle name="Normal 2 13 5 8" xfId="18657"/>
    <cellStyle name="Normal 2 13 5 9" xfId="18658"/>
    <cellStyle name="Normal 2 13 6" xfId="18659"/>
    <cellStyle name="Normal 2 13 6 10" xfId="18660"/>
    <cellStyle name="Normal 2 13 6 2" xfId="18661"/>
    <cellStyle name="Normal 2 13 6 2 2" xfId="18662"/>
    <cellStyle name="Normal 2 13 6 2 3" xfId="18663"/>
    <cellStyle name="Normal 2 13 6 2 4" xfId="18664"/>
    <cellStyle name="Normal 2 13 6 3" xfId="18665"/>
    <cellStyle name="Normal 2 13 6 4" xfId="18666"/>
    <cellStyle name="Normal 2 13 6 5" xfId="18667"/>
    <cellStyle name="Normal 2 13 6 6" xfId="18668"/>
    <cellStyle name="Normal 2 13 6 7" xfId="18669"/>
    <cellStyle name="Normal 2 13 6 8" xfId="18670"/>
    <cellStyle name="Normal 2 13 6 9" xfId="18671"/>
    <cellStyle name="Normal 2 13 7" xfId="18672"/>
    <cellStyle name="Normal 2 13 7 2" xfId="18673"/>
    <cellStyle name="Normal 2 13 7 3" xfId="18674"/>
    <cellStyle name="Normal 2 13 7 4" xfId="18675"/>
    <cellStyle name="Normal 2 13 7 5" xfId="18676"/>
    <cellStyle name="Normal 2 13 7 6" xfId="18677"/>
    <cellStyle name="Normal 2 13 7 7" xfId="18678"/>
    <cellStyle name="Normal 2 13 7 8" xfId="18679"/>
    <cellStyle name="Normal 2 13 7 9" xfId="18680"/>
    <cellStyle name="Normal 2 13 8" xfId="18681"/>
    <cellStyle name="Normal 2 13 8 2" xfId="18682"/>
    <cellStyle name="Normal 2 13 8 3" xfId="18683"/>
    <cellStyle name="Normal 2 13 8 4" xfId="18684"/>
    <cellStyle name="Normal 2 13 8 5" xfId="18685"/>
    <cellStyle name="Normal 2 13 8 6" xfId="18686"/>
    <cellStyle name="Normal 2 13 8 7" xfId="18687"/>
    <cellStyle name="Normal 2 13 8 8" xfId="18688"/>
    <cellStyle name="Normal 2 13 8 9" xfId="18689"/>
    <cellStyle name="Normal 2 13 9" xfId="18690"/>
    <cellStyle name="Normal 2 13 9 2" xfId="18691"/>
    <cellStyle name="Normal 2 13 9 3" xfId="18692"/>
    <cellStyle name="Normal 2 13 9 4" xfId="18693"/>
    <cellStyle name="Normal 2 13 9 5" xfId="18694"/>
    <cellStyle name="Normal 2 13 9 6" xfId="18695"/>
    <cellStyle name="Normal 2 13 9 7" xfId="18696"/>
    <cellStyle name="Normal 2 13 9 8" xfId="18697"/>
    <cellStyle name="Normal 2 14" xfId="18698"/>
    <cellStyle name="Normal 2 14 10" xfId="18699"/>
    <cellStyle name="Normal 2 14 11" xfId="18700"/>
    <cellStyle name="Normal 2 14 12" xfId="18701"/>
    <cellStyle name="Normal 2 14 2" xfId="18702"/>
    <cellStyle name="Normal 2 14 3" xfId="18703"/>
    <cellStyle name="Normal 2 14 4" xfId="18704"/>
    <cellStyle name="Normal 2 14 5" xfId="18705"/>
    <cellStyle name="Normal 2 14 6" xfId="18706"/>
    <cellStyle name="Normal 2 14 7" xfId="18707"/>
    <cellStyle name="Normal 2 14 8" xfId="18708"/>
    <cellStyle name="Normal 2 14 9" xfId="18709"/>
    <cellStyle name="Normal 2 15" xfId="18710"/>
    <cellStyle name="Normal 2 15 10" xfId="18711"/>
    <cellStyle name="Normal 2 15 11" xfId="18712"/>
    <cellStyle name="Normal 2 15 2" xfId="18713"/>
    <cellStyle name="Normal 2 15 2 10" xfId="18714"/>
    <cellStyle name="Normal 2 15 2 2" xfId="18715"/>
    <cellStyle name="Normal 2 15 2 2 2" xfId="18716"/>
    <cellStyle name="Normal 2 15 2 2 3" xfId="18717"/>
    <cellStyle name="Normal 2 15 2 2 4" xfId="18718"/>
    <cellStyle name="Normal 2 15 2 3" xfId="18719"/>
    <cellStyle name="Normal 2 15 2 4" xfId="18720"/>
    <cellStyle name="Normal 2 15 2 5" xfId="18721"/>
    <cellStyle name="Normal 2 15 2 6" xfId="18722"/>
    <cellStyle name="Normal 2 15 2 7" xfId="18723"/>
    <cellStyle name="Normal 2 15 2 8" xfId="18724"/>
    <cellStyle name="Normal 2 15 2 9" xfId="18725"/>
    <cellStyle name="Normal 2 15 3" xfId="18726"/>
    <cellStyle name="Normal 2 15 3 2" xfId="18727"/>
    <cellStyle name="Normal 2 15 3 3" xfId="18728"/>
    <cellStyle name="Normal 2 15 3 4" xfId="18729"/>
    <cellStyle name="Normal 2 15 3 5" xfId="18730"/>
    <cellStyle name="Normal 2 15 3 6" xfId="18731"/>
    <cellStyle name="Normal 2 15 3 7" xfId="18732"/>
    <cellStyle name="Normal 2 15 3 8" xfId="18733"/>
    <cellStyle name="Normal 2 15 4" xfId="18734"/>
    <cellStyle name="Normal 2 15 4 2" xfId="18735"/>
    <cellStyle name="Normal 2 15 4 3" xfId="18736"/>
    <cellStyle name="Normal 2 15 4 4" xfId="18737"/>
    <cellStyle name="Normal 2 15 4 5" xfId="18738"/>
    <cellStyle name="Normal 2 15 4 6" xfId="18739"/>
    <cellStyle name="Normal 2 15 5" xfId="18740"/>
    <cellStyle name="Normal 2 15 5 2" xfId="18741"/>
    <cellStyle name="Normal 2 15 5 3" xfId="18742"/>
    <cellStyle name="Normal 2 15 5 4" xfId="18743"/>
    <cellStyle name="Normal 2 15 5 5" xfId="18744"/>
    <cellStyle name="Normal 2 15 5 6" xfId="18745"/>
    <cellStyle name="Normal 2 15 6" xfId="18746"/>
    <cellStyle name="Normal 2 15 6 2" xfId="18747"/>
    <cellStyle name="Normal 2 15 6 3" xfId="18748"/>
    <cellStyle name="Normal 2 15 6 4" xfId="18749"/>
    <cellStyle name="Normal 2 15 6 5" xfId="18750"/>
    <cellStyle name="Normal 2 15 6 6" xfId="18751"/>
    <cellStyle name="Normal 2 15 7" xfId="18752"/>
    <cellStyle name="Normal 2 15 8" xfId="18753"/>
    <cellStyle name="Normal 2 15 9" xfId="18754"/>
    <cellStyle name="Normal 2 16" xfId="18755"/>
    <cellStyle name="Normal 2 16 10" xfId="18756"/>
    <cellStyle name="Normal 2 16 11" xfId="18757"/>
    <cellStyle name="Normal 2 16 12" xfId="18758"/>
    <cellStyle name="Normal 2 16 2" xfId="18759"/>
    <cellStyle name="Normal 2 16 2 10" xfId="18760"/>
    <cellStyle name="Normal 2 16 2 2" xfId="18761"/>
    <cellStyle name="Normal 2 16 2 2 2" xfId="18762"/>
    <cellStyle name="Normal 2 16 2 2 3" xfId="18763"/>
    <cellStyle name="Normal 2 16 2 2 4" xfId="18764"/>
    <cellStyle name="Normal 2 16 2 3" xfId="18765"/>
    <cellStyle name="Normal 2 16 2 4" xfId="18766"/>
    <cellStyle name="Normal 2 16 2 5" xfId="18767"/>
    <cellStyle name="Normal 2 16 2 6" xfId="18768"/>
    <cellStyle name="Normal 2 16 2 7" xfId="18769"/>
    <cellStyle name="Normal 2 16 2 8" xfId="18770"/>
    <cellStyle name="Normal 2 16 2 9" xfId="18771"/>
    <cellStyle name="Normal 2 16 3" xfId="18772"/>
    <cellStyle name="Normal 2 16 3 2" xfId="18773"/>
    <cellStyle name="Normal 2 16 3 3" xfId="18774"/>
    <cellStyle name="Normal 2 16 3 4" xfId="18775"/>
    <cellStyle name="Normal 2 16 3 5" xfId="18776"/>
    <cellStyle name="Normal 2 16 3 6" xfId="18777"/>
    <cellStyle name="Normal 2 16 3 7" xfId="18778"/>
    <cellStyle name="Normal 2 16 3 8" xfId="18779"/>
    <cellStyle name="Normal 2 16 3 9" xfId="18780"/>
    <cellStyle name="Normal 2 16 4" xfId="18781"/>
    <cellStyle name="Normal 2 16 4 2" xfId="18782"/>
    <cellStyle name="Normal 2 16 4 3" xfId="18783"/>
    <cellStyle name="Normal 2 16 4 4" xfId="18784"/>
    <cellStyle name="Normal 2 16 4 5" xfId="18785"/>
    <cellStyle name="Normal 2 16 4 6" xfId="18786"/>
    <cellStyle name="Normal 2 16 5" xfId="18787"/>
    <cellStyle name="Normal 2 16 5 2" xfId="18788"/>
    <cellStyle name="Normal 2 16 5 3" xfId="18789"/>
    <cellStyle name="Normal 2 16 5 4" xfId="18790"/>
    <cellStyle name="Normal 2 16 5 5" xfId="18791"/>
    <cellStyle name="Normal 2 16 5 6" xfId="18792"/>
    <cellStyle name="Normal 2 16 6" xfId="18793"/>
    <cellStyle name="Normal 2 16 6 2" xfId="18794"/>
    <cellStyle name="Normal 2 16 6 3" xfId="18795"/>
    <cellStyle name="Normal 2 16 6 4" xfId="18796"/>
    <cellStyle name="Normal 2 16 6 5" xfId="18797"/>
    <cellStyle name="Normal 2 16 6 6" xfId="18798"/>
    <cellStyle name="Normal 2 16 7" xfId="18799"/>
    <cellStyle name="Normal 2 16 8" xfId="18800"/>
    <cellStyle name="Normal 2 16 9" xfId="18801"/>
    <cellStyle name="Normal 2 17" xfId="18802"/>
    <cellStyle name="Normal 2 17 10" xfId="18803"/>
    <cellStyle name="Normal 2 17 11" xfId="18804"/>
    <cellStyle name="Normal 2 17 2" xfId="18805"/>
    <cellStyle name="Normal 2 17 2 2" xfId="18806"/>
    <cellStyle name="Normal 2 17 2 2 2" xfId="18807"/>
    <cellStyle name="Normal 2 17 2 2 3" xfId="18808"/>
    <cellStyle name="Normal 2 17 2 2 4" xfId="18809"/>
    <cellStyle name="Normal 2 17 2 3" xfId="18810"/>
    <cellStyle name="Normal 2 17 2 4" xfId="18811"/>
    <cellStyle name="Normal 2 17 2 5" xfId="18812"/>
    <cellStyle name="Normal 2 17 2 6" xfId="18813"/>
    <cellStyle name="Normal 2 17 2 7" xfId="18814"/>
    <cellStyle name="Normal 2 17 2 8" xfId="18815"/>
    <cellStyle name="Normal 2 17 2 9" xfId="18816"/>
    <cellStyle name="Normal 2 17 3" xfId="18817"/>
    <cellStyle name="Normal 2 17 3 2" xfId="18818"/>
    <cellStyle name="Normal 2 17 3 3" xfId="18819"/>
    <cellStyle name="Normal 2 17 3 4" xfId="18820"/>
    <cellStyle name="Normal 2 17 3 5" xfId="18821"/>
    <cellStyle name="Normal 2 17 3 6" xfId="18822"/>
    <cellStyle name="Normal 2 17 3 7" xfId="18823"/>
    <cellStyle name="Normal 2 17 3 8" xfId="18824"/>
    <cellStyle name="Normal 2 17 3 9" xfId="18825"/>
    <cellStyle name="Normal 2 17 4" xfId="18826"/>
    <cellStyle name="Normal 2 17 4 2" xfId="18827"/>
    <cellStyle name="Normal 2 17 4 3" xfId="18828"/>
    <cellStyle name="Normal 2 17 4 4" xfId="18829"/>
    <cellStyle name="Normal 2 17 4 5" xfId="18830"/>
    <cellStyle name="Normal 2 17 4 6" xfId="18831"/>
    <cellStyle name="Normal 2 17 5" xfId="18832"/>
    <cellStyle name="Normal 2 17 5 2" xfId="18833"/>
    <cellStyle name="Normal 2 17 5 3" xfId="18834"/>
    <cellStyle name="Normal 2 17 5 4" xfId="18835"/>
    <cellStyle name="Normal 2 17 5 5" xfId="18836"/>
    <cellStyle name="Normal 2 17 5 6" xfId="18837"/>
    <cellStyle name="Normal 2 17 6" xfId="18838"/>
    <cellStyle name="Normal 2 17 6 2" xfId="18839"/>
    <cellStyle name="Normal 2 17 6 3" xfId="18840"/>
    <cellStyle name="Normal 2 17 6 4" xfId="18841"/>
    <cellStyle name="Normal 2 17 6 5" xfId="18842"/>
    <cellStyle name="Normal 2 17 6 6" xfId="18843"/>
    <cellStyle name="Normal 2 17 7" xfId="18844"/>
    <cellStyle name="Normal 2 17 8" xfId="18845"/>
    <cellStyle name="Normal 2 17 9" xfId="18846"/>
    <cellStyle name="Normal 2 18" xfId="18847"/>
    <cellStyle name="Normal 2 18 10" xfId="18848"/>
    <cellStyle name="Normal 2 18 11" xfId="18849"/>
    <cellStyle name="Normal 2 18 12" xfId="18850"/>
    <cellStyle name="Normal 2 18 2" xfId="18851"/>
    <cellStyle name="Normal 2 18 2 2" xfId="18852"/>
    <cellStyle name="Normal 2 18 2 3" xfId="18853"/>
    <cellStyle name="Normal 2 18 2 4" xfId="18854"/>
    <cellStyle name="Normal 2 18 2 5" xfId="18855"/>
    <cellStyle name="Normal 2 18 2 6" xfId="18856"/>
    <cellStyle name="Normal 2 18 2 7" xfId="18857"/>
    <cellStyle name="Normal 2 18 2 8" xfId="18858"/>
    <cellStyle name="Normal 2 18 2 9" xfId="18859"/>
    <cellStyle name="Normal 2 18 3" xfId="18860"/>
    <cellStyle name="Normal 2 18 3 2" xfId="18861"/>
    <cellStyle name="Normal 2 18 3 3" xfId="18862"/>
    <cellStyle name="Normal 2 18 3 4" xfId="18863"/>
    <cellStyle name="Normal 2 18 3 5" xfId="18864"/>
    <cellStyle name="Normal 2 18 3 6" xfId="18865"/>
    <cellStyle name="Normal 2 18 4" xfId="18866"/>
    <cellStyle name="Normal 2 18 4 2" xfId="18867"/>
    <cellStyle name="Normal 2 18 4 3" xfId="18868"/>
    <cellStyle name="Normal 2 18 4 4" xfId="18869"/>
    <cellStyle name="Normal 2 18 4 5" xfId="18870"/>
    <cellStyle name="Normal 2 18 4 6" xfId="18871"/>
    <cellStyle name="Normal 2 18 5" xfId="18872"/>
    <cellStyle name="Normal 2 18 5 2" xfId="18873"/>
    <cellStyle name="Normal 2 18 5 3" xfId="18874"/>
    <cellStyle name="Normal 2 18 5 4" xfId="18875"/>
    <cellStyle name="Normal 2 18 5 5" xfId="18876"/>
    <cellStyle name="Normal 2 18 6" xfId="18877"/>
    <cellStyle name="Normal 2 18 7" xfId="18878"/>
    <cellStyle name="Normal 2 18 8" xfId="18879"/>
    <cellStyle name="Normal 2 18 9" xfId="18880"/>
    <cellStyle name="Normal 2 19" xfId="18881"/>
    <cellStyle name="Normal 2 19 10" xfId="18882"/>
    <cellStyle name="Normal 2 19 11" xfId="18883"/>
    <cellStyle name="Normal 2 19 12" xfId="18884"/>
    <cellStyle name="Normal 2 19 2" xfId="18885"/>
    <cellStyle name="Normal 2 19 2 2" xfId="18886"/>
    <cellStyle name="Normal 2 19 2 3" xfId="18887"/>
    <cellStyle name="Normal 2 19 2 4" xfId="18888"/>
    <cellStyle name="Normal 2 19 2 5" xfId="18889"/>
    <cellStyle name="Normal 2 19 2 6" xfId="18890"/>
    <cellStyle name="Normal 2 19 2 7" xfId="18891"/>
    <cellStyle name="Normal 2 19 2 8" xfId="18892"/>
    <cellStyle name="Normal 2 19 2 9" xfId="18893"/>
    <cellStyle name="Normal 2 19 3" xfId="18894"/>
    <cellStyle name="Normal 2 19 3 2" xfId="18895"/>
    <cellStyle name="Normal 2 19 3 3" xfId="18896"/>
    <cellStyle name="Normal 2 19 3 4" xfId="18897"/>
    <cellStyle name="Normal 2 19 3 5" xfId="18898"/>
    <cellStyle name="Normal 2 19 3 6" xfId="18899"/>
    <cellStyle name="Normal 2 19 4" xfId="18900"/>
    <cellStyle name="Normal 2 19 4 2" xfId="18901"/>
    <cellStyle name="Normal 2 19 4 3" xfId="18902"/>
    <cellStyle name="Normal 2 19 4 4" xfId="18903"/>
    <cellStyle name="Normal 2 19 4 5" xfId="18904"/>
    <cellStyle name="Normal 2 19 4 6" xfId="18905"/>
    <cellStyle name="Normal 2 19 5" xfId="18906"/>
    <cellStyle name="Normal 2 19 5 2" xfId="18907"/>
    <cellStyle name="Normal 2 19 5 3" xfId="18908"/>
    <cellStyle name="Normal 2 19 5 4" xfId="18909"/>
    <cellStyle name="Normal 2 19 5 5" xfId="18910"/>
    <cellStyle name="Normal 2 19 5 6" xfId="18911"/>
    <cellStyle name="Normal 2 19 6" xfId="18912"/>
    <cellStyle name="Normal 2 19 7" xfId="18913"/>
    <cellStyle name="Normal 2 19 8" xfId="18914"/>
    <cellStyle name="Normal 2 19 9" xfId="18915"/>
    <cellStyle name="Normal 2 2" xfId="18916"/>
    <cellStyle name="Normal 2 2 10" xfId="18917"/>
    <cellStyle name="Normal 2 2 11" xfId="18918"/>
    <cellStyle name="Normal 2 2 12" xfId="18919"/>
    <cellStyle name="Normal 2 2 13" xfId="18920"/>
    <cellStyle name="Normal 2 2 14" xfId="18921"/>
    <cellStyle name="Normal 2 2 15" xfId="18922"/>
    <cellStyle name="Normal 2 2 16" xfId="18923"/>
    <cellStyle name="Normal 2 2 17" xfId="18924"/>
    <cellStyle name="Normal 2 2 18" xfId="18925"/>
    <cellStyle name="Normal 2 2 19" xfId="18926"/>
    <cellStyle name="Normal 2 2 2" xfId="18927"/>
    <cellStyle name="Normal 2 2 2 10" xfId="18928"/>
    <cellStyle name="Normal 2 2 2 10 2" xfId="18929"/>
    <cellStyle name="Normal 2 2 2 10 3" xfId="18930"/>
    <cellStyle name="Normal 2 2 2 10 4" xfId="18931"/>
    <cellStyle name="Normal 2 2 2 10 5" xfId="18932"/>
    <cellStyle name="Normal 2 2 2 10 6" xfId="18933"/>
    <cellStyle name="Normal 2 2 2 11" xfId="18934"/>
    <cellStyle name="Normal 2 2 2 11 2" xfId="18935"/>
    <cellStyle name="Normal 2 2 2 11 3" xfId="18936"/>
    <cellStyle name="Normal 2 2 2 11 4" xfId="18937"/>
    <cellStyle name="Normal 2 2 2 11 5" xfId="18938"/>
    <cellStyle name="Normal 2 2 2 11 6" xfId="18939"/>
    <cellStyle name="Normal 2 2 2 12" xfId="18940"/>
    <cellStyle name="Normal 2 2 2 12 2" xfId="18941"/>
    <cellStyle name="Normal 2 2 2 12 3" xfId="18942"/>
    <cellStyle name="Normal 2 2 2 12 4" xfId="18943"/>
    <cellStyle name="Normal 2 2 2 12 5" xfId="18944"/>
    <cellStyle name="Normal 2 2 2 12 6" xfId="18945"/>
    <cellStyle name="Normal 2 2 2 13" xfId="18946"/>
    <cellStyle name="Normal 2 2 2 14" xfId="18947"/>
    <cellStyle name="Normal 2 2 2 15" xfId="18948"/>
    <cellStyle name="Normal 2 2 2 16" xfId="18949"/>
    <cellStyle name="Normal 2 2 2 2" xfId="18950"/>
    <cellStyle name="Normal 2 2 2 2 2" xfId="18951"/>
    <cellStyle name="Normal 2 2 2 2 3" xfId="18952"/>
    <cellStyle name="Normal 2 2 2 2 4" xfId="18953"/>
    <cellStyle name="Normal 2 2 2 2 5" xfId="18954"/>
    <cellStyle name="Normal 2 2 2 2 6" xfId="18955"/>
    <cellStyle name="Normal 2 2 2 2 7" xfId="18956"/>
    <cellStyle name="Normal 2 2 2 2 8" xfId="18957"/>
    <cellStyle name="Normal 2 2 2 2 9" xfId="18958"/>
    <cellStyle name="Normal 2 2 2 3" xfId="18959"/>
    <cellStyle name="Normal 2 2 2 3 2" xfId="18960"/>
    <cellStyle name="Normal 2 2 2 3 2 2" xfId="18961"/>
    <cellStyle name="Normal 2 2 2 3 3" xfId="18962"/>
    <cellStyle name="Normal 2 2 2 3 3 2" xfId="18963"/>
    <cellStyle name="Normal 2 2 2 3 4" xfId="18964"/>
    <cellStyle name="Normal 2 2 2 3 4 2" xfId="18965"/>
    <cellStyle name="Normal 2 2 2 3 5" xfId="18966"/>
    <cellStyle name="Normal 2 2 2 3 5 2" xfId="18967"/>
    <cellStyle name="Normal 2 2 2 3 6" xfId="18968"/>
    <cellStyle name="Normal 2 2 2 3 7" xfId="18969"/>
    <cellStyle name="Normal 2 2 2 4" xfId="18970"/>
    <cellStyle name="Normal 2 2 2 4 2" xfId="18971"/>
    <cellStyle name="Normal 2 2 2 4 2 2" xfId="18972"/>
    <cellStyle name="Normal 2 2 2 4 3" xfId="18973"/>
    <cellStyle name="Normal 2 2 2 4 3 2" xfId="18974"/>
    <cellStyle name="Normal 2 2 2 4 4" xfId="18975"/>
    <cellStyle name="Normal 2 2 2 4 4 2" xfId="18976"/>
    <cellStyle name="Normal 2 2 2 4 5" xfId="18977"/>
    <cellStyle name="Normal 2 2 2 4 5 2" xfId="18978"/>
    <cellStyle name="Normal 2 2 2 4 6" xfId="18979"/>
    <cellStyle name="Normal 2 2 2 4 7" xfId="18980"/>
    <cellStyle name="Normal 2 2 2 5" xfId="18981"/>
    <cellStyle name="Normal 2 2 2 5 2" xfId="18982"/>
    <cellStyle name="Normal 2 2 2 5 2 2" xfId="18983"/>
    <cellStyle name="Normal 2 2 2 5 3" xfId="18984"/>
    <cellStyle name="Normal 2 2 2 5 3 2" xfId="18985"/>
    <cellStyle name="Normal 2 2 2 5 4" xfId="18986"/>
    <cellStyle name="Normal 2 2 2 5 4 2" xfId="18987"/>
    <cellStyle name="Normal 2 2 2 5 5" xfId="18988"/>
    <cellStyle name="Normal 2 2 2 5 5 2" xfId="18989"/>
    <cellStyle name="Normal 2 2 2 5 6" xfId="18990"/>
    <cellStyle name="Normal 2 2 2 5 7" xfId="18991"/>
    <cellStyle name="Normal 2 2 2 6" xfId="18992"/>
    <cellStyle name="Normal 2 2 2 6 2" xfId="18993"/>
    <cellStyle name="Normal 2 2 2 6 2 2" xfId="18994"/>
    <cellStyle name="Normal 2 2 2 6 3" xfId="18995"/>
    <cellStyle name="Normal 2 2 2 6 3 2" xfId="18996"/>
    <cellStyle name="Normal 2 2 2 6 4" xfId="18997"/>
    <cellStyle name="Normal 2 2 2 6 4 2" xfId="18998"/>
    <cellStyle name="Normal 2 2 2 6 5" xfId="18999"/>
    <cellStyle name="Normal 2 2 2 6 5 2" xfId="19000"/>
    <cellStyle name="Normal 2 2 2 6 6" xfId="19001"/>
    <cellStyle name="Normal 2 2 2 6 7" xfId="19002"/>
    <cellStyle name="Normal 2 2 2 7" xfId="19003"/>
    <cellStyle name="Normal 2 2 2 7 2" xfId="19004"/>
    <cellStyle name="Normal 2 2 2 7 2 2" xfId="19005"/>
    <cellStyle name="Normal 2 2 2 7 3" xfId="19006"/>
    <cellStyle name="Normal 2 2 2 7 3 2" xfId="19007"/>
    <cellStyle name="Normal 2 2 2 7 4" xfId="19008"/>
    <cellStyle name="Normal 2 2 2 7 4 2" xfId="19009"/>
    <cellStyle name="Normal 2 2 2 7 5" xfId="19010"/>
    <cellStyle name="Normal 2 2 2 7 5 2" xfId="19011"/>
    <cellStyle name="Normal 2 2 2 7 6" xfId="19012"/>
    <cellStyle name="Normal 2 2 2 7 7" xfId="19013"/>
    <cellStyle name="Normal 2 2 2 8" xfId="19014"/>
    <cellStyle name="Normal 2 2 2 8 2" xfId="19015"/>
    <cellStyle name="Normal 2 2 2 8 3" xfId="19016"/>
    <cellStyle name="Normal 2 2 2 8 4" xfId="19017"/>
    <cellStyle name="Normal 2 2 2 8 5" xfId="19018"/>
    <cellStyle name="Normal 2 2 2 8 6" xfId="19019"/>
    <cellStyle name="Normal 2 2 2 9" xfId="19020"/>
    <cellStyle name="Normal 2 2 2 9 2" xfId="19021"/>
    <cellStyle name="Normal 2 2 2 9 3" xfId="19022"/>
    <cellStyle name="Normal 2 2 2 9 4" xfId="19023"/>
    <cellStyle name="Normal 2 2 2 9 5" xfId="19024"/>
    <cellStyle name="Normal 2 2 2 9 6" xfId="19025"/>
    <cellStyle name="Normal 2 2 2_PL Oktober" xfId="19026"/>
    <cellStyle name="Normal 2 2 20" xfId="19027"/>
    <cellStyle name="Normal 2 2 21" xfId="19028"/>
    <cellStyle name="Normal 2 2 22" xfId="19029"/>
    <cellStyle name="Normal 2 2 23" xfId="19030"/>
    <cellStyle name="Normal 2 2 24" xfId="19031"/>
    <cellStyle name="Normal 2 2 25" xfId="19032"/>
    <cellStyle name="Normal 2 2 26" xfId="19033"/>
    <cellStyle name="Normal 2 2 27" xfId="19034"/>
    <cellStyle name="Normal 2 2 28" xfId="19035"/>
    <cellStyle name="Normal 2 2 29" xfId="19036"/>
    <cellStyle name="Normal 2 2 3" xfId="19037"/>
    <cellStyle name="Normal 2 2 3 2" xfId="19038"/>
    <cellStyle name="Normal 2 2 3 3" xfId="19039"/>
    <cellStyle name="Normal 2 2 3 4" xfId="19040"/>
    <cellStyle name="Normal 2 2 3 5" xfId="19041"/>
    <cellStyle name="Normal 2 2 3 6" xfId="19042"/>
    <cellStyle name="Normal 2 2 3 7" xfId="19043"/>
    <cellStyle name="Normal 2 2 3 8" xfId="19044"/>
    <cellStyle name="Normal 2 2 30" xfId="19045"/>
    <cellStyle name="Normal 2 2 31" xfId="19046"/>
    <cellStyle name="Normal 2 2 32" xfId="19047"/>
    <cellStyle name="Normal 2 2 33" xfId="19048"/>
    <cellStyle name="Normal 2 2 34" xfId="19049"/>
    <cellStyle name="Normal 2 2 34 2" xfId="19050"/>
    <cellStyle name="Normal 2 2 35" xfId="19051"/>
    <cellStyle name="Normal 2 2 36" xfId="19052"/>
    <cellStyle name="Normal 2 2 37" xfId="19053"/>
    <cellStyle name="Normal 2 2 38" xfId="19054"/>
    <cellStyle name="Normal 2 2 39" xfId="19055"/>
    <cellStyle name="Normal 2 2 4" xfId="19056"/>
    <cellStyle name="Normal 2 2 4 2" xfId="19057"/>
    <cellStyle name="Normal 2 2 4 3" xfId="19058"/>
    <cellStyle name="Normal 2 2 4 4" xfId="19059"/>
    <cellStyle name="Normal 2 2 4 5" xfId="19060"/>
    <cellStyle name="Normal 2 2 4 6" xfId="19061"/>
    <cellStyle name="Normal 2 2 40" xfId="19062"/>
    <cellStyle name="Normal 2 2 41" xfId="19063"/>
    <cellStyle name="Normal 2 2 42" xfId="19064"/>
    <cellStyle name="Normal 2 2 43" xfId="19065"/>
    <cellStyle name="Normal 2 2 44" xfId="19066"/>
    <cellStyle name="Normal 2 2 45" xfId="19067"/>
    <cellStyle name="Normal 2 2 46" xfId="19068"/>
    <cellStyle name="Normal 2 2 47" xfId="19069"/>
    <cellStyle name="Normal 2 2 48" xfId="19070"/>
    <cellStyle name="Normal 2 2 5" xfId="19071"/>
    <cellStyle name="Normal 2 2 5 2" xfId="19072"/>
    <cellStyle name="Normal 2 2 5 3" xfId="19073"/>
    <cellStyle name="Normal 2 2 5 4" xfId="19074"/>
    <cellStyle name="Normal 2 2 5 5" xfId="19075"/>
    <cellStyle name="Normal 2 2 5 6" xfId="19076"/>
    <cellStyle name="Normal 2 2 6" xfId="19077"/>
    <cellStyle name="Normal 2 2 6 2" xfId="19078"/>
    <cellStyle name="Normal 2 2 6 3" xfId="19079"/>
    <cellStyle name="Normal 2 2 6 4" xfId="19080"/>
    <cellStyle name="Normal 2 2 6 5" xfId="19081"/>
    <cellStyle name="Normal 2 2 6 6" xfId="19082"/>
    <cellStyle name="Normal 2 2 7" xfId="19083"/>
    <cellStyle name="Normal 2 2 7 2" xfId="19084"/>
    <cellStyle name="Normal 2 2 7 3" xfId="19085"/>
    <cellStyle name="Normal 2 2 7 4" xfId="19086"/>
    <cellStyle name="Normal 2 2 7 5" xfId="19087"/>
    <cellStyle name="Normal 2 2 7 6" xfId="19088"/>
    <cellStyle name="Normal 2 2 8" xfId="19089"/>
    <cellStyle name="Normal 2 2 8 2" xfId="19090"/>
    <cellStyle name="Normal 2 2 9" xfId="19091"/>
    <cellStyle name="Normal 2 2 9 2" xfId="19092"/>
    <cellStyle name="Normal 2 2_9_Compare DtBASE_Sept'10 Nasional" xfId="19093"/>
    <cellStyle name="Normal 2 20" xfId="19094"/>
    <cellStyle name="Normal 2 20 10" xfId="19095"/>
    <cellStyle name="Normal 2 20 11" xfId="19096"/>
    <cellStyle name="Normal 2 20 12" xfId="19097"/>
    <cellStyle name="Normal 2 20 2" xfId="19098"/>
    <cellStyle name="Normal 2 20 2 2" xfId="19099"/>
    <cellStyle name="Normal 2 20 2 3" xfId="19100"/>
    <cellStyle name="Normal 2 20 2 4" xfId="19101"/>
    <cellStyle name="Normal 2 20 2 5" xfId="19102"/>
    <cellStyle name="Normal 2 20 2 6" xfId="19103"/>
    <cellStyle name="Normal 2 20 2 7" xfId="19104"/>
    <cellStyle name="Normal 2 20 2 8" xfId="19105"/>
    <cellStyle name="Normal 2 20 2 9" xfId="19106"/>
    <cellStyle name="Normal 2 20 3" xfId="19107"/>
    <cellStyle name="Normal 2 20 3 2" xfId="19108"/>
    <cellStyle name="Normal 2 20 3 3" xfId="19109"/>
    <cellStyle name="Normal 2 20 3 4" xfId="19110"/>
    <cellStyle name="Normal 2 20 3 5" xfId="19111"/>
    <cellStyle name="Normal 2 20 3 6" xfId="19112"/>
    <cellStyle name="Normal 2 20 4" xfId="19113"/>
    <cellStyle name="Normal 2 20 4 2" xfId="19114"/>
    <cellStyle name="Normal 2 20 4 3" xfId="19115"/>
    <cellStyle name="Normal 2 20 4 4" xfId="19116"/>
    <cellStyle name="Normal 2 20 4 5" xfId="19117"/>
    <cellStyle name="Normal 2 20 4 6" xfId="19118"/>
    <cellStyle name="Normal 2 20 5" xfId="19119"/>
    <cellStyle name="Normal 2 20 5 2" xfId="19120"/>
    <cellStyle name="Normal 2 20 5 3" xfId="19121"/>
    <cellStyle name="Normal 2 20 5 4" xfId="19122"/>
    <cellStyle name="Normal 2 20 5 5" xfId="19123"/>
    <cellStyle name="Normal 2 20 5 6" xfId="19124"/>
    <cellStyle name="Normal 2 20 6" xfId="19125"/>
    <cellStyle name="Normal 2 20 7" xfId="19126"/>
    <cellStyle name="Normal 2 20 8" xfId="19127"/>
    <cellStyle name="Normal 2 20 9" xfId="19128"/>
    <cellStyle name="Normal 2 21" xfId="19129"/>
    <cellStyle name="Normal 2 21 10" xfId="19130"/>
    <cellStyle name="Normal 2 21 11" xfId="19131"/>
    <cellStyle name="Normal 2 21 12" xfId="19132"/>
    <cellStyle name="Normal 2 21 2" xfId="19133"/>
    <cellStyle name="Normal 2 21 2 2" xfId="19134"/>
    <cellStyle name="Normal 2 21 2 3" xfId="19135"/>
    <cellStyle name="Normal 2 21 2 4" xfId="19136"/>
    <cellStyle name="Normal 2 21 2 5" xfId="19137"/>
    <cellStyle name="Normal 2 21 2 6" xfId="19138"/>
    <cellStyle name="Normal 2 21 2 7" xfId="19139"/>
    <cellStyle name="Normal 2 21 2 8" xfId="19140"/>
    <cellStyle name="Normal 2 21 2 9" xfId="19141"/>
    <cellStyle name="Normal 2 21 3" xfId="19142"/>
    <cellStyle name="Normal 2 21 3 2" xfId="19143"/>
    <cellStyle name="Normal 2 21 3 3" xfId="19144"/>
    <cellStyle name="Normal 2 21 3 4" xfId="19145"/>
    <cellStyle name="Normal 2 21 3 5" xfId="19146"/>
    <cellStyle name="Normal 2 21 3 6" xfId="19147"/>
    <cellStyle name="Normal 2 21 4" xfId="19148"/>
    <cellStyle name="Normal 2 21 4 2" xfId="19149"/>
    <cellStyle name="Normal 2 21 4 3" xfId="19150"/>
    <cellStyle name="Normal 2 21 4 4" xfId="19151"/>
    <cellStyle name="Normal 2 21 4 5" xfId="19152"/>
    <cellStyle name="Normal 2 21 4 6" xfId="19153"/>
    <cellStyle name="Normal 2 21 5" xfId="19154"/>
    <cellStyle name="Normal 2 21 5 2" xfId="19155"/>
    <cellStyle name="Normal 2 21 5 3" xfId="19156"/>
    <cellStyle name="Normal 2 21 5 4" xfId="19157"/>
    <cellStyle name="Normal 2 21 5 5" xfId="19158"/>
    <cellStyle name="Normal 2 21 5 6" xfId="19159"/>
    <cellStyle name="Normal 2 21 6" xfId="19160"/>
    <cellStyle name="Normal 2 21 7" xfId="19161"/>
    <cellStyle name="Normal 2 21 8" xfId="19162"/>
    <cellStyle name="Normal 2 21 9" xfId="19163"/>
    <cellStyle name="Normal 2 22" xfId="19164"/>
    <cellStyle name="Normal 2 22 10" xfId="19165"/>
    <cellStyle name="Normal 2 22 11" xfId="19166"/>
    <cellStyle name="Normal 2 22 12" xfId="19167"/>
    <cellStyle name="Normal 2 22 2" xfId="19168"/>
    <cellStyle name="Normal 2 22 2 2" xfId="19169"/>
    <cellStyle name="Normal 2 22 2 3" xfId="19170"/>
    <cellStyle name="Normal 2 22 2 4" xfId="19171"/>
    <cellStyle name="Normal 2 22 2 5" xfId="19172"/>
    <cellStyle name="Normal 2 22 2 6" xfId="19173"/>
    <cellStyle name="Normal 2 22 3" xfId="19174"/>
    <cellStyle name="Normal 2 22 3 2" xfId="19175"/>
    <cellStyle name="Normal 2 22 3 3" xfId="19176"/>
    <cellStyle name="Normal 2 22 3 4" xfId="19177"/>
    <cellStyle name="Normal 2 22 3 5" xfId="19178"/>
    <cellStyle name="Normal 2 22 3 6" xfId="19179"/>
    <cellStyle name="Normal 2 22 4" xfId="19180"/>
    <cellStyle name="Normal 2 22 4 2" xfId="19181"/>
    <cellStyle name="Normal 2 22 4 3" xfId="19182"/>
    <cellStyle name="Normal 2 22 4 4" xfId="19183"/>
    <cellStyle name="Normal 2 22 4 5" xfId="19184"/>
    <cellStyle name="Normal 2 22 4 6" xfId="19185"/>
    <cellStyle name="Normal 2 22 5" xfId="19186"/>
    <cellStyle name="Normal 2 22 6" xfId="19187"/>
    <cellStyle name="Normal 2 22 7" xfId="19188"/>
    <cellStyle name="Normal 2 22 8" xfId="19189"/>
    <cellStyle name="Normal 2 22 9" xfId="19190"/>
    <cellStyle name="Normal 2 23" xfId="19191"/>
    <cellStyle name="Normal 2 23 10" xfId="19192"/>
    <cellStyle name="Normal 2 23 11" xfId="19193"/>
    <cellStyle name="Normal 2 23 12" xfId="19194"/>
    <cellStyle name="Normal 2 23 2" xfId="19195"/>
    <cellStyle name="Normal 2 23 2 2" xfId="19196"/>
    <cellStyle name="Normal 2 23 2 3" xfId="19197"/>
    <cellStyle name="Normal 2 23 2 4" xfId="19198"/>
    <cellStyle name="Normal 2 23 2 5" xfId="19199"/>
    <cellStyle name="Normal 2 23 2 6" xfId="19200"/>
    <cellStyle name="Normal 2 23 3" xfId="19201"/>
    <cellStyle name="Normal 2 23 3 2" xfId="19202"/>
    <cellStyle name="Normal 2 23 3 3" xfId="19203"/>
    <cellStyle name="Normal 2 23 3 4" xfId="19204"/>
    <cellStyle name="Normal 2 23 3 5" xfId="19205"/>
    <cellStyle name="Normal 2 23 3 6" xfId="19206"/>
    <cellStyle name="Normal 2 23 4" xfId="19207"/>
    <cellStyle name="Normal 2 23 4 2" xfId="19208"/>
    <cellStyle name="Normal 2 23 4 3" xfId="19209"/>
    <cellStyle name="Normal 2 23 4 4" xfId="19210"/>
    <cellStyle name="Normal 2 23 4 5" xfId="19211"/>
    <cellStyle name="Normal 2 23 4 6" xfId="19212"/>
    <cellStyle name="Normal 2 23 5" xfId="19213"/>
    <cellStyle name="Normal 2 23 6" xfId="19214"/>
    <cellStyle name="Normal 2 23 7" xfId="19215"/>
    <cellStyle name="Normal 2 23 8" xfId="19216"/>
    <cellStyle name="Normal 2 23 9" xfId="19217"/>
    <cellStyle name="Normal 2 24" xfId="19218"/>
    <cellStyle name="Normal 2 24 10" xfId="19219"/>
    <cellStyle name="Normal 2 24 11" xfId="19220"/>
    <cellStyle name="Normal 2 24 12" xfId="19221"/>
    <cellStyle name="Normal 2 24 2" xfId="19222"/>
    <cellStyle name="Normal 2 24 2 2" xfId="19223"/>
    <cellStyle name="Normal 2 24 2 3" xfId="19224"/>
    <cellStyle name="Normal 2 24 2 4" xfId="19225"/>
    <cellStyle name="Normal 2 24 2 5" xfId="19226"/>
    <cellStyle name="Normal 2 24 2 6" xfId="19227"/>
    <cellStyle name="Normal 2 24 3" xfId="19228"/>
    <cellStyle name="Normal 2 24 3 2" xfId="19229"/>
    <cellStyle name="Normal 2 24 3 3" xfId="19230"/>
    <cellStyle name="Normal 2 24 3 4" xfId="19231"/>
    <cellStyle name="Normal 2 24 3 5" xfId="19232"/>
    <cellStyle name="Normal 2 24 3 6" xfId="19233"/>
    <cellStyle name="Normal 2 24 4" xfId="19234"/>
    <cellStyle name="Normal 2 24 4 2" xfId="19235"/>
    <cellStyle name="Normal 2 24 4 3" xfId="19236"/>
    <cellStyle name="Normal 2 24 4 4" xfId="19237"/>
    <cellStyle name="Normal 2 24 4 5" xfId="19238"/>
    <cellStyle name="Normal 2 24 4 6" xfId="19239"/>
    <cellStyle name="Normal 2 24 5" xfId="19240"/>
    <cellStyle name="Normal 2 24 6" xfId="19241"/>
    <cellStyle name="Normal 2 24 7" xfId="19242"/>
    <cellStyle name="Normal 2 24 8" xfId="19243"/>
    <cellStyle name="Normal 2 24 9" xfId="19244"/>
    <cellStyle name="Normal 2 25" xfId="19245"/>
    <cellStyle name="Normal 2 25 10" xfId="19246"/>
    <cellStyle name="Normal 2 25 11" xfId="19247"/>
    <cellStyle name="Normal 2 25 12" xfId="19248"/>
    <cellStyle name="Normal 2 25 2" xfId="19249"/>
    <cellStyle name="Normal 2 25 2 2" xfId="19250"/>
    <cellStyle name="Normal 2 25 2 3" xfId="19251"/>
    <cellStyle name="Normal 2 25 2 4" xfId="19252"/>
    <cellStyle name="Normal 2 25 2 5" xfId="19253"/>
    <cellStyle name="Normal 2 25 2 6" xfId="19254"/>
    <cellStyle name="Normal 2 25 3" xfId="19255"/>
    <cellStyle name="Normal 2 25 3 2" xfId="19256"/>
    <cellStyle name="Normal 2 25 3 3" xfId="19257"/>
    <cellStyle name="Normal 2 25 3 4" xfId="19258"/>
    <cellStyle name="Normal 2 25 3 5" xfId="19259"/>
    <cellStyle name="Normal 2 25 3 6" xfId="19260"/>
    <cellStyle name="Normal 2 25 4" xfId="19261"/>
    <cellStyle name="Normal 2 25 4 2" xfId="19262"/>
    <cellStyle name="Normal 2 25 4 3" xfId="19263"/>
    <cellStyle name="Normal 2 25 4 4" xfId="19264"/>
    <cellStyle name="Normal 2 25 4 5" xfId="19265"/>
    <cellStyle name="Normal 2 25 4 6" xfId="19266"/>
    <cellStyle name="Normal 2 25 5" xfId="19267"/>
    <cellStyle name="Normal 2 25 6" xfId="19268"/>
    <cellStyle name="Normal 2 25 7" xfId="19269"/>
    <cellStyle name="Normal 2 25 8" xfId="19270"/>
    <cellStyle name="Normal 2 25 9" xfId="19271"/>
    <cellStyle name="Normal 2 26" xfId="19272"/>
    <cellStyle name="Normal 2 26 10" xfId="19273"/>
    <cellStyle name="Normal 2 26 11" xfId="19274"/>
    <cellStyle name="Normal 2 26 12" xfId="19275"/>
    <cellStyle name="Normal 2 26 2" xfId="19276"/>
    <cellStyle name="Normal 2 26 2 2" xfId="19277"/>
    <cellStyle name="Normal 2 26 2 3" xfId="19278"/>
    <cellStyle name="Normal 2 26 2 4" xfId="19279"/>
    <cellStyle name="Normal 2 26 2 5" xfId="19280"/>
    <cellStyle name="Normal 2 26 2 6" xfId="19281"/>
    <cellStyle name="Normal 2 26 3" xfId="19282"/>
    <cellStyle name="Normal 2 26 3 2" xfId="19283"/>
    <cellStyle name="Normal 2 26 3 3" xfId="19284"/>
    <cellStyle name="Normal 2 26 3 4" xfId="19285"/>
    <cellStyle name="Normal 2 26 3 5" xfId="19286"/>
    <cellStyle name="Normal 2 26 3 6" xfId="19287"/>
    <cellStyle name="Normal 2 26 4" xfId="19288"/>
    <cellStyle name="Normal 2 26 4 2" xfId="19289"/>
    <cellStyle name="Normal 2 26 4 3" xfId="19290"/>
    <cellStyle name="Normal 2 26 4 4" xfId="19291"/>
    <cellStyle name="Normal 2 26 4 5" xfId="19292"/>
    <cellStyle name="Normal 2 26 4 6" xfId="19293"/>
    <cellStyle name="Normal 2 26 5" xfId="19294"/>
    <cellStyle name="Normal 2 26 6" xfId="19295"/>
    <cellStyle name="Normal 2 26 7" xfId="19296"/>
    <cellStyle name="Normal 2 26 8" xfId="19297"/>
    <cellStyle name="Normal 2 26 9" xfId="19298"/>
    <cellStyle name="Normal 2 27" xfId="19299"/>
    <cellStyle name="Normal 2 27 10" xfId="19300"/>
    <cellStyle name="Normal 2 27 11" xfId="19301"/>
    <cellStyle name="Normal 2 27 12" xfId="19302"/>
    <cellStyle name="Normal 2 27 2" xfId="19303"/>
    <cellStyle name="Normal 2 27 2 2" xfId="19304"/>
    <cellStyle name="Normal 2 27 3" xfId="19305"/>
    <cellStyle name="Normal 2 27 3 2" xfId="19306"/>
    <cellStyle name="Normal 2 27 4" xfId="19307"/>
    <cellStyle name="Normal 2 27 4 2" xfId="19308"/>
    <cellStyle name="Normal 2 27 5" xfId="19309"/>
    <cellStyle name="Normal 2 27 6" xfId="19310"/>
    <cellStyle name="Normal 2 27 7" xfId="19311"/>
    <cellStyle name="Normal 2 27 8" xfId="19312"/>
    <cellStyle name="Normal 2 27 9" xfId="19313"/>
    <cellStyle name="Normal 2 28" xfId="19314"/>
    <cellStyle name="Normal 2 28 10" xfId="19315"/>
    <cellStyle name="Normal 2 28 11" xfId="19316"/>
    <cellStyle name="Normal 2 28 12" xfId="19317"/>
    <cellStyle name="Normal 2 28 2" xfId="19318"/>
    <cellStyle name="Normal 2 28 3" xfId="19319"/>
    <cellStyle name="Normal 2 28 3 2" xfId="19320"/>
    <cellStyle name="Normal 2 28 4" xfId="19321"/>
    <cellStyle name="Normal 2 28 4 2" xfId="19322"/>
    <cellStyle name="Normal 2 28 5" xfId="19323"/>
    <cellStyle name="Normal 2 28 6" xfId="19324"/>
    <cellStyle name="Normal 2 28 7" xfId="19325"/>
    <cellStyle name="Normal 2 28 8" xfId="19326"/>
    <cellStyle name="Normal 2 28 9" xfId="19327"/>
    <cellStyle name="Normal 2 29" xfId="19328"/>
    <cellStyle name="Normal 2 29 10" xfId="19329"/>
    <cellStyle name="Normal 2 29 11" xfId="19330"/>
    <cellStyle name="Normal 2 29 12" xfId="19331"/>
    <cellStyle name="Normal 2 29 2" xfId="19332"/>
    <cellStyle name="Normal 2 29 2 2" xfId="19333"/>
    <cellStyle name="Normal 2 29 3" xfId="19334"/>
    <cellStyle name="Normal 2 29 3 2" xfId="19335"/>
    <cellStyle name="Normal 2 29 4" xfId="19336"/>
    <cellStyle name="Normal 2 29 5" xfId="19337"/>
    <cellStyle name="Normal 2 29 6" xfId="19338"/>
    <cellStyle name="Normal 2 29 7" xfId="19339"/>
    <cellStyle name="Normal 2 29 8" xfId="19340"/>
    <cellStyle name="Normal 2 29 9" xfId="19341"/>
    <cellStyle name="Normal 2 3" xfId="19342"/>
    <cellStyle name="Normal 2 3 10" xfId="19343"/>
    <cellStyle name="Normal 2 3 11" xfId="19344"/>
    <cellStyle name="Normal 2 3 12" xfId="19345"/>
    <cellStyle name="Normal 2 3 13" xfId="19346"/>
    <cellStyle name="Normal 2 3 14" xfId="19347"/>
    <cellStyle name="Normal 2 3 2" xfId="19348"/>
    <cellStyle name="Normal 2 3 2 2" xfId="19349"/>
    <cellStyle name="Normal 2 3 2 2 2" xfId="19350"/>
    <cellStyle name="Normal 2 3 2 2 3" xfId="19351"/>
    <cellStyle name="Normal 2 3 2 2 4" xfId="19352"/>
    <cellStyle name="Normal 2 3 2 3" xfId="19353"/>
    <cellStyle name="Normal 2 3 2 4" xfId="19354"/>
    <cellStyle name="Normal 2 3 2 5" xfId="19355"/>
    <cellStyle name="Normal 2 3 2 6" xfId="19356"/>
    <cellStyle name="Normal 2 3 3" xfId="19357"/>
    <cellStyle name="Normal 2 3 3 2" xfId="19358"/>
    <cellStyle name="Normal 2 3 3 3" xfId="19359"/>
    <cellStyle name="Normal 2 3 3 4" xfId="19360"/>
    <cellStyle name="Normal 2 3 4" xfId="19361"/>
    <cellStyle name="Normal 2 3 4 2" xfId="19362"/>
    <cellStyle name="Normal 2 3 4 3" xfId="19363"/>
    <cellStyle name="Normal 2 3 4 4" xfId="19364"/>
    <cellStyle name="Normal 2 3 4 5" xfId="19365"/>
    <cellStyle name="Normal 2 3 4 6" xfId="19366"/>
    <cellStyle name="Normal 2 3 4 7" xfId="19367"/>
    <cellStyle name="Normal 2 3 4 8" xfId="19368"/>
    <cellStyle name="Normal 2 3 4 9" xfId="19369"/>
    <cellStyle name="Normal 2 3 5" xfId="19370"/>
    <cellStyle name="Normal 2 3 6" xfId="19371"/>
    <cellStyle name="Normal 2 3 6 2" xfId="19372"/>
    <cellStyle name="Normal 2 3 6 3" xfId="19373"/>
    <cellStyle name="Normal 2 3 6 4" xfId="19374"/>
    <cellStyle name="Normal 2 3 6 5" xfId="19375"/>
    <cellStyle name="Normal 2 3 6 6" xfId="19376"/>
    <cellStyle name="Normal 2 3 7" xfId="19377"/>
    <cellStyle name="Normal 2 3 7 2" xfId="19378"/>
    <cellStyle name="Normal 2 3 7 3" xfId="19379"/>
    <cellStyle name="Normal 2 3 7 4" xfId="19380"/>
    <cellStyle name="Normal 2 3 7 5" xfId="19381"/>
    <cellStyle name="Normal 2 3 7 6" xfId="19382"/>
    <cellStyle name="Normal 2 3 8" xfId="19383"/>
    <cellStyle name="Normal 2 3 9" xfId="19384"/>
    <cellStyle name="Normal 2 30" xfId="19385"/>
    <cellStyle name="Normal 2 30 10" xfId="19386"/>
    <cellStyle name="Normal 2 30 11" xfId="19387"/>
    <cellStyle name="Normal 2 30 12" xfId="19388"/>
    <cellStyle name="Normal 2 30 2" xfId="19389"/>
    <cellStyle name="Normal 2 30 3" xfId="19390"/>
    <cellStyle name="Normal 2 30 4" xfId="19391"/>
    <cellStyle name="Normal 2 30 5" xfId="19392"/>
    <cellStyle name="Normal 2 30 6" xfId="19393"/>
    <cellStyle name="Normal 2 30 7" xfId="19394"/>
    <cellStyle name="Normal 2 30 8" xfId="19395"/>
    <cellStyle name="Normal 2 30 9" xfId="19396"/>
    <cellStyle name="Normal 2 31" xfId="19397"/>
    <cellStyle name="Normal 2 31 10" xfId="19398"/>
    <cellStyle name="Normal 2 31 11" xfId="19399"/>
    <cellStyle name="Normal 2 31 12" xfId="19400"/>
    <cellStyle name="Normal 2 31 2" xfId="19401"/>
    <cellStyle name="Normal 2 31 3" xfId="19402"/>
    <cellStyle name="Normal 2 31 4" xfId="19403"/>
    <cellStyle name="Normal 2 31 5" xfId="19404"/>
    <cellStyle name="Normal 2 31 6" xfId="19405"/>
    <cellStyle name="Normal 2 31 7" xfId="19406"/>
    <cellStyle name="Normal 2 31 8" xfId="19407"/>
    <cellStyle name="Normal 2 31 9" xfId="19408"/>
    <cellStyle name="Normal 2 32" xfId="19409"/>
    <cellStyle name="Normal 2 32 10" xfId="19410"/>
    <cellStyle name="Normal 2 32 11" xfId="19411"/>
    <cellStyle name="Normal 2 32 12" xfId="19412"/>
    <cellStyle name="Normal 2 32 2" xfId="19413"/>
    <cellStyle name="Normal 2 32 2 2" xfId="19414"/>
    <cellStyle name="Normal 2 32 3" xfId="19415"/>
    <cellStyle name="Normal 2 32 3 2" xfId="19416"/>
    <cellStyle name="Normal 2 32 4" xfId="19417"/>
    <cellStyle name="Normal 2 32 4 2" xfId="19418"/>
    <cellStyle name="Normal 2 32 5" xfId="19419"/>
    <cellStyle name="Normal 2 32 6" xfId="19420"/>
    <cellStyle name="Normal 2 32 7" xfId="19421"/>
    <cellStyle name="Normal 2 32 8" xfId="19422"/>
    <cellStyle name="Normal 2 32 9" xfId="19423"/>
    <cellStyle name="Normal 2 33" xfId="19424"/>
    <cellStyle name="Normal 2 33 10" xfId="19425"/>
    <cellStyle name="Normal 2 33 11" xfId="19426"/>
    <cellStyle name="Normal 2 33 12" xfId="19427"/>
    <cellStyle name="Normal 2 33 2" xfId="19428"/>
    <cellStyle name="Normal 2 33 3" xfId="19429"/>
    <cellStyle name="Normal 2 33 3 2" xfId="19430"/>
    <cellStyle name="Normal 2 33 4" xfId="19431"/>
    <cellStyle name="Normal 2 33 4 2" xfId="19432"/>
    <cellStyle name="Normal 2 33 5" xfId="19433"/>
    <cellStyle name="Normal 2 33 6" xfId="19434"/>
    <cellStyle name="Normal 2 33 7" xfId="19435"/>
    <cellStyle name="Normal 2 33 8" xfId="19436"/>
    <cellStyle name="Normal 2 33 9" xfId="19437"/>
    <cellStyle name="Normal 2 34" xfId="19438"/>
    <cellStyle name="Normal 2 34 2" xfId="19439"/>
    <cellStyle name="Normal 2 34 2 2" xfId="19440"/>
    <cellStyle name="Normal 2 34 3" xfId="19441"/>
    <cellStyle name="Normal 2 34 3 2" xfId="19442"/>
    <cellStyle name="Normal 2 34 4" xfId="19443"/>
    <cellStyle name="Normal 2 34 4 2" xfId="19444"/>
    <cellStyle name="Normal 2 34 5" xfId="19445"/>
    <cellStyle name="Normal 2 34 6" xfId="19446"/>
    <cellStyle name="Normal 2 34 7" xfId="19447"/>
    <cellStyle name="Normal 2 35" xfId="19448"/>
    <cellStyle name="Normal 2 35 10" xfId="19449"/>
    <cellStyle name="Normal 2 35 10 2" xfId="19450"/>
    <cellStyle name="Normal 2 35 10 2 2" xfId="19451"/>
    <cellStyle name="Normal 2 35 10 3" xfId="19452"/>
    <cellStyle name="Normal 2 35 11" xfId="19453"/>
    <cellStyle name="Normal 2 35 11 2" xfId="19454"/>
    <cellStyle name="Normal 2 35 12" xfId="19455"/>
    <cellStyle name="Normal 2 35 2" xfId="19456"/>
    <cellStyle name="Normal 2 35 2 2" xfId="19457"/>
    <cellStyle name="Normal 2 35 2 2 2" xfId="19458"/>
    <cellStyle name="Normal 2 35 2 2 2 2" xfId="19459"/>
    <cellStyle name="Normal 2 35 2 2 3" xfId="19460"/>
    <cellStyle name="Normal 2 35 2 2 4" xfId="19461"/>
    <cellStyle name="Normal 2 35 2 3" xfId="19462"/>
    <cellStyle name="Normal 2 35 2 3 2" xfId="19463"/>
    <cellStyle name="Normal 2 35 2 3 2 2" xfId="19464"/>
    <cellStyle name="Normal 2 35 2 3 3" xfId="19465"/>
    <cellStyle name="Normal 2 35 2 3 4" xfId="19466"/>
    <cellStyle name="Normal 2 35 2 4" xfId="19467"/>
    <cellStyle name="Normal 2 35 2 4 2" xfId="19468"/>
    <cellStyle name="Normal 2 35 2 5" xfId="19469"/>
    <cellStyle name="Normal 2 35 2 6" xfId="19470"/>
    <cellStyle name="Normal 2 35 3" xfId="19471"/>
    <cellStyle name="Normal 2 35 3 2" xfId="19472"/>
    <cellStyle name="Normal 2 35 3 2 2" xfId="19473"/>
    <cellStyle name="Normal 2 35 3 2 2 2" xfId="19474"/>
    <cellStyle name="Normal 2 35 3 2 3" xfId="19475"/>
    <cellStyle name="Normal 2 35 3 2 4" xfId="19476"/>
    <cellStyle name="Normal 2 35 3 3" xfId="19477"/>
    <cellStyle name="Normal 2 35 3 3 2" xfId="19478"/>
    <cellStyle name="Normal 2 35 3 3 2 2" xfId="19479"/>
    <cellStyle name="Normal 2 35 3 3 3" xfId="19480"/>
    <cellStyle name="Normal 2 35 3 3 4" xfId="19481"/>
    <cellStyle name="Normal 2 35 3 4" xfId="19482"/>
    <cellStyle name="Normal 2 35 3 4 2" xfId="19483"/>
    <cellStyle name="Normal 2 35 3 5" xfId="19484"/>
    <cellStyle name="Normal 2 35 3 6" xfId="19485"/>
    <cellStyle name="Normal 2 35 4" xfId="19486"/>
    <cellStyle name="Normal 2 35 4 2" xfId="19487"/>
    <cellStyle name="Normal 2 35 4 2 2" xfId="19488"/>
    <cellStyle name="Normal 2 35 4 2 2 2" xfId="19489"/>
    <cellStyle name="Normal 2 35 4 2 3" xfId="19490"/>
    <cellStyle name="Normal 2 35 4 2 4" xfId="19491"/>
    <cellStyle name="Normal 2 35 4 3" xfId="19492"/>
    <cellStyle name="Normal 2 35 4 3 2" xfId="19493"/>
    <cellStyle name="Normal 2 35 4 3 2 2" xfId="19494"/>
    <cellStyle name="Normal 2 35 4 3 3" xfId="19495"/>
    <cellStyle name="Normal 2 35 4 3 4" xfId="19496"/>
    <cellStyle name="Normal 2 35 4 4" xfId="19497"/>
    <cellStyle name="Normal 2 35 4 4 2" xfId="19498"/>
    <cellStyle name="Normal 2 35 4 5" xfId="19499"/>
    <cellStyle name="Normal 2 35 4 6" xfId="19500"/>
    <cellStyle name="Normal 2 35 5" xfId="19501"/>
    <cellStyle name="Normal 2 35 5 2" xfId="19502"/>
    <cellStyle name="Normal 2 35 5 2 2" xfId="19503"/>
    <cellStyle name="Normal 2 35 5 3" xfId="19504"/>
    <cellStyle name="Normal 2 35 6" xfId="19505"/>
    <cellStyle name="Normal 2 35 6 2" xfId="19506"/>
    <cellStyle name="Normal 2 35 6 2 2" xfId="19507"/>
    <cellStyle name="Normal 2 35 6 3" xfId="19508"/>
    <cellStyle name="Normal 2 35 7" xfId="19509"/>
    <cellStyle name="Normal 2 35 7 2" xfId="19510"/>
    <cellStyle name="Normal 2 35 7 2 2" xfId="19511"/>
    <cellStyle name="Normal 2 35 7 3" xfId="19512"/>
    <cellStyle name="Normal 2 35 8" xfId="19513"/>
    <cellStyle name="Normal 2 35 8 2" xfId="19514"/>
    <cellStyle name="Normal 2 35 8 2 2" xfId="19515"/>
    <cellStyle name="Normal 2 35 8 3" xfId="19516"/>
    <cellStyle name="Normal 2 35 9" xfId="19517"/>
    <cellStyle name="Normal 2 35 9 2" xfId="19518"/>
    <cellStyle name="Normal 2 35 9 2 2" xfId="19519"/>
    <cellStyle name="Normal 2 35 9 2 3" xfId="19520"/>
    <cellStyle name="Normal 2 35 9 3" xfId="19521"/>
    <cellStyle name="Normal 2 35 9 4" xfId="19522"/>
    <cellStyle name="Normal 2 36" xfId="19523"/>
    <cellStyle name="Normal 2 37" xfId="19524"/>
    <cellStyle name="Normal 2 38" xfId="19525"/>
    <cellStyle name="Normal 2 39" xfId="19526"/>
    <cellStyle name="Normal 2 4" xfId="19527"/>
    <cellStyle name="Normal 2 4 10" xfId="19528"/>
    <cellStyle name="Normal 2 4 11" xfId="19529"/>
    <cellStyle name="Normal 2 4 12" xfId="19530"/>
    <cellStyle name="Normal 2 4 2" xfId="19531"/>
    <cellStyle name="Normal 2 4 2 2" xfId="19532"/>
    <cellStyle name="Normal 2 4 2 3" xfId="19533"/>
    <cellStyle name="Normal 2 4 2 4" xfId="19534"/>
    <cellStyle name="Normal 2 4 2 5" xfId="19535"/>
    <cellStyle name="Normal 2 4 2 6" xfId="19536"/>
    <cellStyle name="Normal 2 4 3" xfId="19537"/>
    <cellStyle name="Normal 2 4 3 2" xfId="19538"/>
    <cellStyle name="Normal 2 4 3 2 2" xfId="19539"/>
    <cellStyle name="Normal 2 4 3 3" xfId="19540"/>
    <cellStyle name="Normal 2 4 3 4" xfId="19541"/>
    <cellStyle name="Normal 2 4 4" xfId="19542"/>
    <cellStyle name="Normal 2 4 5" xfId="19543"/>
    <cellStyle name="Normal 2 4 5 2" xfId="19544"/>
    <cellStyle name="Normal 2 4 5 3" xfId="19545"/>
    <cellStyle name="Normal 2 4 5 4" xfId="19546"/>
    <cellStyle name="Normal 2 4 5 5" xfId="19547"/>
    <cellStyle name="Normal 2 4 5 6" xfId="19548"/>
    <cellStyle name="Normal 2 4 6" xfId="19549"/>
    <cellStyle name="Normal 2 4 6 2" xfId="19550"/>
    <cellStyle name="Normal 2 4 6 3" xfId="19551"/>
    <cellStyle name="Normal 2 4 6 4" xfId="19552"/>
    <cellStyle name="Normal 2 4 6 5" xfId="19553"/>
    <cellStyle name="Normal 2 4 7" xfId="19554"/>
    <cellStyle name="Normal 2 4 8" xfId="19555"/>
    <cellStyle name="Normal 2 4 9" xfId="19556"/>
    <cellStyle name="Normal 2 40" xfId="19557"/>
    <cellStyle name="Normal 2 41" xfId="19558"/>
    <cellStyle name="Normal 2 42" xfId="19559"/>
    <cellStyle name="Normal 2 43" xfId="19560"/>
    <cellStyle name="Normal 2 44" xfId="19561"/>
    <cellStyle name="Normal 2 45" xfId="19562"/>
    <cellStyle name="Normal 2 46" xfId="19563"/>
    <cellStyle name="Normal 2 47" xfId="19564"/>
    <cellStyle name="Normal 2 48" xfId="19565"/>
    <cellStyle name="Normal 2 49" xfId="19566"/>
    <cellStyle name="Normal 2 49 2" xfId="19567"/>
    <cellStyle name="Normal 2 49 3" xfId="19568"/>
    <cellStyle name="Normal 2 5" xfId="19569"/>
    <cellStyle name="Normal 2 5 10" xfId="19570"/>
    <cellStyle name="Normal 2 5 11" xfId="19571"/>
    <cellStyle name="Normal 2 5 12" xfId="19572"/>
    <cellStyle name="Normal 2 5 14 5" xfId="19573"/>
    <cellStyle name="Normal 2 5 14 5 2" xfId="19574"/>
    <cellStyle name="Normal 2 5 2" xfId="19575"/>
    <cellStyle name="Normal 2 5 2 2" xfId="19576"/>
    <cellStyle name="Normal 2 5 2 3" xfId="19577"/>
    <cellStyle name="Normal 2 5 2 4" xfId="19578"/>
    <cellStyle name="Normal 2 5 3" xfId="19579"/>
    <cellStyle name="Normal 2 5 4" xfId="19580"/>
    <cellStyle name="Normal 2 5 5" xfId="19581"/>
    <cellStyle name="Normal 2 5 5 2" xfId="19582"/>
    <cellStyle name="Normal 2 5 5 3" xfId="19583"/>
    <cellStyle name="Normal 2 5 5 4" xfId="19584"/>
    <cellStyle name="Normal 2 5 5 5" xfId="19585"/>
    <cellStyle name="Normal 2 5 5 6" xfId="19586"/>
    <cellStyle name="Normal 2 5 6" xfId="19587"/>
    <cellStyle name="Normal 2 5 6 2" xfId="19588"/>
    <cellStyle name="Normal 2 5 6 3" xfId="19589"/>
    <cellStyle name="Normal 2 5 6 4" xfId="19590"/>
    <cellStyle name="Normal 2 5 6 5" xfId="19591"/>
    <cellStyle name="Normal 2 5 6 6" xfId="19592"/>
    <cellStyle name="Normal 2 5 7" xfId="19593"/>
    <cellStyle name="Normal 2 5 8" xfId="19594"/>
    <cellStyle name="Normal 2 5 9" xfId="19595"/>
    <cellStyle name="Normal 2 50" xfId="19596"/>
    <cellStyle name="Normal 2 50 2" xfId="19597"/>
    <cellStyle name="Normal 2 51" xfId="19598"/>
    <cellStyle name="Normal 2 51 2" xfId="19599"/>
    <cellStyle name="Normal 2 52" xfId="19600"/>
    <cellStyle name="Normal 2 52 2" xfId="19601"/>
    <cellStyle name="Normal 2 53" xfId="19602"/>
    <cellStyle name="Normal 2 53 2" xfId="19603"/>
    <cellStyle name="Normal 2 54" xfId="19604"/>
    <cellStyle name="Normal 2 54 2" xfId="19605"/>
    <cellStyle name="Normal 2 55" xfId="19606"/>
    <cellStyle name="Normal 2 56" xfId="19607"/>
    <cellStyle name="Normal 2 57" xfId="19608"/>
    <cellStyle name="Normal 2 58" xfId="19609"/>
    <cellStyle name="Normal 2 59" xfId="19610"/>
    <cellStyle name="Normal 2 6" xfId="19611"/>
    <cellStyle name="Normal 2 6 2" xfId="19612"/>
    <cellStyle name="Normal 2 6 2 2" xfId="19613"/>
    <cellStyle name="Normal 2 6 2 3" xfId="19614"/>
    <cellStyle name="Normal 2 6 2 4" xfId="19615"/>
    <cellStyle name="Normal 2 6 2 5" xfId="19616"/>
    <cellStyle name="Normal 2 6 2 6" xfId="19617"/>
    <cellStyle name="Normal 2 6 3" xfId="19618"/>
    <cellStyle name="Normal 2 6 3 2" xfId="19619"/>
    <cellStyle name="Normal 2 6 3 3" xfId="19620"/>
    <cellStyle name="Normal 2 6 3 4" xfId="19621"/>
    <cellStyle name="Normal 2 6 3 5" xfId="19622"/>
    <cellStyle name="Normal 2 6 3 6" xfId="19623"/>
    <cellStyle name="Normal 2 6 4" xfId="19624"/>
    <cellStyle name="Normal 2 6 4 2" xfId="19625"/>
    <cellStyle name="Normal 2 6 4 3" xfId="19626"/>
    <cellStyle name="Normal 2 6 4 4" xfId="19627"/>
    <cellStyle name="Normal 2 6 4 5" xfId="19628"/>
    <cellStyle name="Normal 2 6 4 6" xfId="19629"/>
    <cellStyle name="Normal 2 6 5" xfId="19630"/>
    <cellStyle name="Normal 2 6 6" xfId="19631"/>
    <cellStyle name="Normal 2 6 7" xfId="19632"/>
    <cellStyle name="Normal 2 6 8" xfId="19633"/>
    <cellStyle name="Normal 2 60" xfId="19634"/>
    <cellStyle name="Normal 2 61" xfId="19635"/>
    <cellStyle name="Normal 2 62" xfId="19636"/>
    <cellStyle name="Normal 2 63" xfId="19637"/>
    <cellStyle name="Normal 2 64" xfId="19638"/>
    <cellStyle name="Normal 2 65" xfId="19639"/>
    <cellStyle name="Normal 2 66" xfId="19640"/>
    <cellStyle name="Normal 2 67" xfId="19641"/>
    <cellStyle name="Normal 2 68" xfId="19642"/>
    <cellStyle name="Normal 2 7" xfId="19643"/>
    <cellStyle name="Normal 2 7 10" xfId="19644"/>
    <cellStyle name="Normal 2 7 10 10" xfId="19645"/>
    <cellStyle name="Normal 2 7 10 2" xfId="19646"/>
    <cellStyle name="Normal 2 7 10 2 2" xfId="19647"/>
    <cellStyle name="Normal 2 7 10 2 3" xfId="19648"/>
    <cellStyle name="Normal 2 7 10 2 4" xfId="19649"/>
    <cellStyle name="Normal 2 7 10 3" xfId="19650"/>
    <cellStyle name="Normal 2 7 10 4" xfId="19651"/>
    <cellStyle name="Normal 2 7 10 5" xfId="19652"/>
    <cellStyle name="Normal 2 7 10 6" xfId="19653"/>
    <cellStyle name="Normal 2 7 10 7" xfId="19654"/>
    <cellStyle name="Normal 2 7 10 8" xfId="19655"/>
    <cellStyle name="Normal 2 7 10 9" xfId="19656"/>
    <cellStyle name="Normal 2 7 11" xfId="19657"/>
    <cellStyle name="Normal 2 7 11 2" xfId="19658"/>
    <cellStyle name="Normal 2 7 11 3" xfId="19659"/>
    <cellStyle name="Normal 2 7 11 4" xfId="19660"/>
    <cellStyle name="Normal 2 7 12" xfId="19661"/>
    <cellStyle name="Normal 2 7 12 2" xfId="19662"/>
    <cellStyle name="Normal 2 7 12 3" xfId="19663"/>
    <cellStyle name="Normal 2 7 13" xfId="19664"/>
    <cellStyle name="Normal 2 7 13 2" xfId="19665"/>
    <cellStyle name="Normal 2 7 13 3" xfId="19666"/>
    <cellStyle name="Normal 2 7 13 4" xfId="19667"/>
    <cellStyle name="Normal 2 7 14" xfId="19668"/>
    <cellStyle name="Normal 2 7 15" xfId="19669"/>
    <cellStyle name="Normal 2 7 16" xfId="19670"/>
    <cellStyle name="Normal 2 7 16 6" xfId="19671"/>
    <cellStyle name="Normal 2 7 16 6 2" xfId="19672"/>
    <cellStyle name="Normal 2 7 17" xfId="19673"/>
    <cellStyle name="Normal 2 7 2" xfId="19674"/>
    <cellStyle name="Normal 2 7 2 10" xfId="19675"/>
    <cellStyle name="Normal 2 7 2 11" xfId="19676"/>
    <cellStyle name="Normal 2 7 2 12" xfId="19677"/>
    <cellStyle name="Normal 2 7 2 13" xfId="19678"/>
    <cellStyle name="Normal 2 7 2 14" xfId="19679"/>
    <cellStyle name="Normal 2 7 2 2" xfId="19680"/>
    <cellStyle name="Normal 2 7 2 2 2" xfId="19681"/>
    <cellStyle name="Normal 2 7 2 2 3" xfId="19682"/>
    <cellStyle name="Normal 2 7 2 2 4" xfId="19683"/>
    <cellStyle name="Normal 2 7 2 2 5" xfId="19684"/>
    <cellStyle name="Normal 2 7 2 2 6" xfId="19685"/>
    <cellStyle name="Normal 2 7 2 2 7" xfId="19686"/>
    <cellStyle name="Normal 2 7 2 2 8" xfId="19687"/>
    <cellStyle name="Normal 2 7 2 2 9" xfId="19688"/>
    <cellStyle name="Normal 2 7 2 3" xfId="19689"/>
    <cellStyle name="Normal 2 7 2 3 2" xfId="19690"/>
    <cellStyle name="Normal 2 7 2 3 3" xfId="19691"/>
    <cellStyle name="Normal 2 7 2 3 4" xfId="19692"/>
    <cellStyle name="Normal 2 7 2 3 5" xfId="19693"/>
    <cellStyle name="Normal 2 7 2 3 6" xfId="19694"/>
    <cellStyle name="Normal 2 7 2 4" xfId="19695"/>
    <cellStyle name="Normal 2 7 2 4 10" xfId="19696"/>
    <cellStyle name="Normal 2 7 2 4 11" xfId="19697"/>
    <cellStyle name="Normal 2 7 2 4 2" xfId="19698"/>
    <cellStyle name="Normal 2 7 2 4 2 10" xfId="19699"/>
    <cellStyle name="Normal 2 7 2 4 2 2" xfId="19700"/>
    <cellStyle name="Normal 2 7 2 4 2 2 2" xfId="19701"/>
    <cellStyle name="Normal 2 7 2 4 2 2 3" xfId="19702"/>
    <cellStyle name="Normal 2 7 2 4 2 2 4" xfId="19703"/>
    <cellStyle name="Normal 2 7 2 4 2 2 5" xfId="19704"/>
    <cellStyle name="Normal 2 7 2 4 2 3" xfId="19705"/>
    <cellStyle name="Normal 2 7 2 4 2 3 2" xfId="19706"/>
    <cellStyle name="Normal 2 7 2 4 2 4" xfId="19707"/>
    <cellStyle name="Normal 2 7 2 4 2 4 2" xfId="19708"/>
    <cellStyle name="Normal 2 7 2 4 2 5" xfId="19709"/>
    <cellStyle name="Normal 2 7 2 4 2 5 2" xfId="19710"/>
    <cellStyle name="Normal 2 7 2 4 2 6" xfId="19711"/>
    <cellStyle name="Normal 2 7 2 4 2 6 2" xfId="19712"/>
    <cellStyle name="Normal 2 7 2 4 2 7" xfId="19713"/>
    <cellStyle name="Normal 2 7 2 4 2 7 2" xfId="19714"/>
    <cellStyle name="Normal 2 7 2 4 2 8" xfId="19715"/>
    <cellStyle name="Normal 2 7 2 4 2 8 2" xfId="19716"/>
    <cellStyle name="Normal 2 7 2 4 2 9" xfId="19717"/>
    <cellStyle name="Normal 2 7 2 4 2 9 2" xfId="19718"/>
    <cellStyle name="Normal 2 7 2 4 3" xfId="19719"/>
    <cellStyle name="Normal 2 7 2 4 3 2" xfId="19720"/>
    <cellStyle name="Normal 2 7 2 4 3 3" xfId="19721"/>
    <cellStyle name="Normal 2 7 2 4 3 4" xfId="19722"/>
    <cellStyle name="Normal 2 7 2 4 4" xfId="19723"/>
    <cellStyle name="Normal 2 7 2 4 5" xfId="19724"/>
    <cellStyle name="Normal 2 7 2 4 6" xfId="19725"/>
    <cellStyle name="Normal 2 7 2 4 7" xfId="19726"/>
    <cellStyle name="Normal 2 7 2 4 8" xfId="19727"/>
    <cellStyle name="Normal 2 7 2 4 9" xfId="19728"/>
    <cellStyle name="Normal 2 7 2 5" xfId="19729"/>
    <cellStyle name="Normal 2 7 2 5 2" xfId="19730"/>
    <cellStyle name="Normal 2 7 2 5 2 2" xfId="19731"/>
    <cellStyle name="Normal 2 7 2 5 2 2 2" xfId="19732"/>
    <cellStyle name="Normal 2 7 2 5 2 2 3" xfId="19733"/>
    <cellStyle name="Normal 2 7 2 5 2 2 4" xfId="19734"/>
    <cellStyle name="Normal 2 7 2 5 2 3" xfId="19735"/>
    <cellStyle name="Normal 2 7 2 5 2 4" xfId="19736"/>
    <cellStyle name="Normal 2 7 2 5 2 5" xfId="19737"/>
    <cellStyle name="Normal 2 7 2 5 3" xfId="19738"/>
    <cellStyle name="Normal 2 7 2 5 3 2" xfId="19739"/>
    <cellStyle name="Normal 2 7 2 5 3 3" xfId="19740"/>
    <cellStyle name="Normal 2 7 2 5 3 4" xfId="19741"/>
    <cellStyle name="Normal 2 7 2 5 4" xfId="19742"/>
    <cellStyle name="Normal 2 7 2 5 5" xfId="19743"/>
    <cellStyle name="Normal 2 7 2 5 6" xfId="19744"/>
    <cellStyle name="Normal 2 7 2 6" xfId="19745"/>
    <cellStyle name="Normal 2 7 2 6 2" xfId="19746"/>
    <cellStyle name="Normal 2 7 2 6 2 2" xfId="19747"/>
    <cellStyle name="Normal 2 7 2 6 2 3" xfId="19748"/>
    <cellStyle name="Normal 2 7 2 6 2 4" xfId="19749"/>
    <cellStyle name="Normal 2 7 2 6 3" xfId="19750"/>
    <cellStyle name="Normal 2 7 2 6 4" xfId="19751"/>
    <cellStyle name="Normal 2 7 2 6 5" xfId="19752"/>
    <cellStyle name="Normal 2 7 2 7" xfId="19753"/>
    <cellStyle name="Normal 2 7 2 7 2" xfId="19754"/>
    <cellStyle name="Normal 2 7 2 7 2 2" xfId="19755"/>
    <cellStyle name="Normal 2 7 2 7 2 3" xfId="19756"/>
    <cellStyle name="Normal 2 7 2 7 2 4" xfId="19757"/>
    <cellStyle name="Normal 2 7 2 7 3" xfId="19758"/>
    <cellStyle name="Normal 2 7 2 7 4" xfId="19759"/>
    <cellStyle name="Normal 2 7 2 7 5" xfId="19760"/>
    <cellStyle name="Normal 2 7 2 8" xfId="19761"/>
    <cellStyle name="Normal 2 7 2 8 2" xfId="19762"/>
    <cellStyle name="Normal 2 7 2 8 3" xfId="19763"/>
    <cellStyle name="Normal 2 7 2 8 4" xfId="19764"/>
    <cellStyle name="Normal 2 7 2 9" xfId="19765"/>
    <cellStyle name="Normal 2 7 2 9 2" xfId="19766"/>
    <cellStyle name="Normal 2 7 2 9 3" xfId="19767"/>
    <cellStyle name="Normal 2 7 2 9 4" xfId="19768"/>
    <cellStyle name="Normal 2 7 3" xfId="19769"/>
    <cellStyle name="Normal 2 7 3 10" xfId="19770"/>
    <cellStyle name="Normal 2 7 3 10 2" xfId="19771"/>
    <cellStyle name="Normal 2 7 3 10 3" xfId="19772"/>
    <cellStyle name="Normal 2 7 3 10 4" xfId="19773"/>
    <cellStyle name="Normal 2 7 3 10 5" xfId="19774"/>
    <cellStyle name="Normal 2 7 3 10 5 2" xfId="19775"/>
    <cellStyle name="Normal 2 7 3 10 6" xfId="19776"/>
    <cellStyle name="Normal 2 7 3 10 6 2" xfId="19777"/>
    <cellStyle name="Normal 2 7 3 10 7" xfId="19778"/>
    <cellStyle name="Normal 2 7 3 10 7 2" xfId="19779"/>
    <cellStyle name="Normal 2 7 3 10 8" xfId="19780"/>
    <cellStyle name="Normal 2 7 3 10 8 2" xfId="19781"/>
    <cellStyle name="Normal 2 7 3 11" xfId="19782"/>
    <cellStyle name="Normal 2 7 3 12" xfId="19783"/>
    <cellStyle name="Normal 2 7 3 13" xfId="19784"/>
    <cellStyle name="Normal 2 7 3 14" xfId="19785"/>
    <cellStyle name="Normal 2 7 3 14 2" xfId="19786"/>
    <cellStyle name="Normal 2 7 3 15" xfId="19787"/>
    <cellStyle name="Normal 2 7 3 15 2" xfId="19788"/>
    <cellStyle name="Normal 2 7 3 16" xfId="19789"/>
    <cellStyle name="Normal 2 7 3 16 2" xfId="19790"/>
    <cellStyle name="Normal 2 7 3 17" xfId="19791"/>
    <cellStyle name="Normal 2 7 3 17 2" xfId="19792"/>
    <cellStyle name="Normal 2 7 3 18" xfId="19793"/>
    <cellStyle name="Normal 2 7 3 19" xfId="19794"/>
    <cellStyle name="Normal 2 7 3 2" xfId="19795"/>
    <cellStyle name="Normal 2 7 3 2 10" xfId="19796"/>
    <cellStyle name="Normal 2 7 3 2 11" xfId="19797"/>
    <cellStyle name="Normal 2 7 3 2 11 2" xfId="19798"/>
    <cellStyle name="Normal 2 7 3 2 12" xfId="19799"/>
    <cellStyle name="Normal 2 7 3 2 12 2" xfId="19800"/>
    <cellStyle name="Normal 2 7 3 2 13" xfId="19801"/>
    <cellStyle name="Normal 2 7 3 2 13 2" xfId="19802"/>
    <cellStyle name="Normal 2 7 3 2 14" xfId="19803"/>
    <cellStyle name="Normal 2 7 3 2 14 2" xfId="19804"/>
    <cellStyle name="Normal 2 7 3 2 15" xfId="19805"/>
    <cellStyle name="Normal 2 7 3 2 2" xfId="19806"/>
    <cellStyle name="Normal 2 7 3 2 2 10" xfId="19807"/>
    <cellStyle name="Normal 2 7 3 2 2 10 2" xfId="19808"/>
    <cellStyle name="Normal 2 7 3 2 2 2" xfId="19809"/>
    <cellStyle name="Normal 2 7 3 2 2 2 2" xfId="19810"/>
    <cellStyle name="Normal 2 7 3 2 2 2 2 2" xfId="19811"/>
    <cellStyle name="Normal 2 7 3 2 2 2 2 3" xfId="19812"/>
    <cellStyle name="Normal 2 7 3 2 2 2 2 4" xfId="19813"/>
    <cellStyle name="Normal 2 7 3 2 2 2 3" xfId="19814"/>
    <cellStyle name="Normal 2 7 3 2 2 2 4" xfId="19815"/>
    <cellStyle name="Normal 2 7 3 2 2 2 5" xfId="19816"/>
    <cellStyle name="Normal 2 7 3 2 2 3" xfId="19817"/>
    <cellStyle name="Normal 2 7 3 2 2 3 2" xfId="19818"/>
    <cellStyle name="Normal 2 7 3 2 2 3 3" xfId="19819"/>
    <cellStyle name="Normal 2 7 3 2 2 3 4" xfId="19820"/>
    <cellStyle name="Normal 2 7 3 2 2 4" xfId="19821"/>
    <cellStyle name="Normal 2 7 3 2 2 5" xfId="19822"/>
    <cellStyle name="Normal 2 7 3 2 2 6" xfId="19823"/>
    <cellStyle name="Normal 2 7 3 2 2 7" xfId="19824"/>
    <cellStyle name="Normal 2 7 3 2 2 7 2" xfId="19825"/>
    <cellStyle name="Normal 2 7 3 2 2 8" xfId="19826"/>
    <cellStyle name="Normal 2 7 3 2 2 8 2" xfId="19827"/>
    <cellStyle name="Normal 2 7 3 2 2 8 3" xfId="19828"/>
    <cellStyle name="Normal 2 7 3 2 2 9" xfId="19829"/>
    <cellStyle name="Normal 2 7 3 2 2 9 2" xfId="19830"/>
    <cellStyle name="Normal 2 7 3 2 3" xfId="19831"/>
    <cellStyle name="Normal 2 7 3 2 3 10" xfId="19832"/>
    <cellStyle name="Normal 2 7 3 2 3 10 2" xfId="19833"/>
    <cellStyle name="Normal 2 7 3 2 3 2" xfId="19834"/>
    <cellStyle name="Normal 2 7 3 2 3 2 2" xfId="19835"/>
    <cellStyle name="Normal 2 7 3 2 3 2 2 2" xfId="19836"/>
    <cellStyle name="Normal 2 7 3 2 3 2 2 3" xfId="19837"/>
    <cellStyle name="Normal 2 7 3 2 3 2 2 4" xfId="19838"/>
    <cellStyle name="Normal 2 7 3 2 3 2 3" xfId="19839"/>
    <cellStyle name="Normal 2 7 3 2 3 2 4" xfId="19840"/>
    <cellStyle name="Normal 2 7 3 2 3 2 5" xfId="19841"/>
    <cellStyle name="Normal 2 7 3 2 3 3" xfId="19842"/>
    <cellStyle name="Normal 2 7 3 2 3 3 2" xfId="19843"/>
    <cellStyle name="Normal 2 7 3 2 3 3 3" xfId="19844"/>
    <cellStyle name="Normal 2 7 3 2 3 3 4" xfId="19845"/>
    <cellStyle name="Normal 2 7 3 2 3 4" xfId="19846"/>
    <cellStyle name="Normal 2 7 3 2 3 5" xfId="19847"/>
    <cellStyle name="Normal 2 7 3 2 3 6" xfId="19848"/>
    <cellStyle name="Normal 2 7 3 2 3 7" xfId="19849"/>
    <cellStyle name="Normal 2 7 3 2 3 7 2" xfId="19850"/>
    <cellStyle name="Normal 2 7 3 2 3 8" xfId="19851"/>
    <cellStyle name="Normal 2 7 3 2 3 8 2" xfId="19852"/>
    <cellStyle name="Normal 2 7 3 2 3 9" xfId="19853"/>
    <cellStyle name="Normal 2 7 3 2 3 9 2" xfId="19854"/>
    <cellStyle name="Normal 2 7 3 2 4" xfId="19855"/>
    <cellStyle name="Normal 2 7 3 2 4 2" xfId="19856"/>
    <cellStyle name="Normal 2 7 3 2 4 2 2" xfId="19857"/>
    <cellStyle name="Normal 2 7 3 2 4 2 3" xfId="19858"/>
    <cellStyle name="Normal 2 7 3 2 4 2 4" xfId="19859"/>
    <cellStyle name="Normal 2 7 3 2 4 3" xfId="19860"/>
    <cellStyle name="Normal 2 7 3 2 4 4" xfId="19861"/>
    <cellStyle name="Normal 2 7 3 2 4 5" xfId="19862"/>
    <cellStyle name="Normal 2 7 3 2 5" xfId="19863"/>
    <cellStyle name="Normal 2 7 3 2 5 2" xfId="19864"/>
    <cellStyle name="Normal 2 7 3 2 5 2 2" xfId="19865"/>
    <cellStyle name="Normal 2 7 3 2 5 2 3" xfId="19866"/>
    <cellStyle name="Normal 2 7 3 2 5 2 4" xfId="19867"/>
    <cellStyle name="Normal 2 7 3 2 5 3" xfId="19868"/>
    <cellStyle name="Normal 2 7 3 2 5 4" xfId="19869"/>
    <cellStyle name="Normal 2 7 3 2 5 4 2" xfId="19870"/>
    <cellStyle name="Normal 2 7 3 2 5 4 3" xfId="19871"/>
    <cellStyle name="Normal 2 7 3 2 5 5" xfId="19872"/>
    <cellStyle name="Normal 2 7 3 2 6" xfId="19873"/>
    <cellStyle name="Normal 2 7 3 2 6 2" xfId="19874"/>
    <cellStyle name="Normal 2 7 3 2 6 3" xfId="19875"/>
    <cellStyle name="Normal 2 7 3 2 6 4" xfId="19876"/>
    <cellStyle name="Normal 2 7 3 2 7" xfId="19877"/>
    <cellStyle name="Normal 2 7 3 2 7 2" xfId="19878"/>
    <cellStyle name="Normal 2 7 3 2 7 3" xfId="19879"/>
    <cellStyle name="Normal 2 7 3 2 7 4" xfId="19880"/>
    <cellStyle name="Normal 2 7 3 2 8" xfId="19881"/>
    <cellStyle name="Normal 2 7 3 2 9" xfId="19882"/>
    <cellStyle name="Normal 2 7 3 3" xfId="19883"/>
    <cellStyle name="Normal 2 7 3 3 2" xfId="19884"/>
    <cellStyle name="Normal 2 7 3 3 2 2" xfId="19885"/>
    <cellStyle name="Normal 2 7 3 3 2 2 2" xfId="19886"/>
    <cellStyle name="Normal 2 7 3 3 2 2 3" xfId="19887"/>
    <cellStyle name="Normal 2 7 3 3 2 3" xfId="19888"/>
    <cellStyle name="Normal 2 7 3 3 3" xfId="19889"/>
    <cellStyle name="Normal 2 7 3 3 3 2" xfId="19890"/>
    <cellStyle name="Normal 2 7 3 3 3 2 2" xfId="19891"/>
    <cellStyle name="Normal 2 7 3 3 3 3" xfId="19892"/>
    <cellStyle name="Normal 2 7 3 3 4" xfId="19893"/>
    <cellStyle name="Normal 2 7 3 3 4 2" xfId="19894"/>
    <cellStyle name="Normal 2 7 3 3 5" xfId="19895"/>
    <cellStyle name="Normal 2 7 3 3 5 2" xfId="19896"/>
    <cellStyle name="Normal 2 7 3 3 6" xfId="19897"/>
    <cellStyle name="Normal 2 7 3 3 6 2" xfId="19898"/>
    <cellStyle name="Normal 2 7 3 4" xfId="19899"/>
    <cellStyle name="Normal 2 7 3 4 10" xfId="19900"/>
    <cellStyle name="Normal 2 7 3 4 10 2" xfId="19901"/>
    <cellStyle name="Normal 2 7 3 4 2" xfId="19902"/>
    <cellStyle name="Normal 2 7 3 4 2 2" xfId="19903"/>
    <cellStyle name="Normal 2 7 3 4 2 2 2" xfId="19904"/>
    <cellStyle name="Normal 2 7 3 4 2 2 3" xfId="19905"/>
    <cellStyle name="Normal 2 7 3 4 2 2 4" xfId="19906"/>
    <cellStyle name="Normal 2 7 3 4 2 3" xfId="19907"/>
    <cellStyle name="Normal 2 7 3 4 2 4" xfId="19908"/>
    <cellStyle name="Normal 2 7 3 4 2 5" xfId="19909"/>
    <cellStyle name="Normal 2 7 3 4 2 6" xfId="19910"/>
    <cellStyle name="Normal 2 7 3 4 2 6 2" xfId="19911"/>
    <cellStyle name="Normal 2 7 3 4 2 7" xfId="19912"/>
    <cellStyle name="Normal 2 7 3 4 2 7 2" xfId="19913"/>
    <cellStyle name="Normal 2 7 3 4 2 8" xfId="19914"/>
    <cellStyle name="Normal 2 7 3 4 2 8 2" xfId="19915"/>
    <cellStyle name="Normal 2 7 3 4 2 9" xfId="19916"/>
    <cellStyle name="Normal 2 7 3 4 2 9 2" xfId="19917"/>
    <cellStyle name="Normal 2 7 3 4 3" xfId="19918"/>
    <cellStyle name="Normal 2 7 3 4 3 2" xfId="19919"/>
    <cellStyle name="Normal 2 7 3 4 3 3" xfId="19920"/>
    <cellStyle name="Normal 2 7 3 4 3 4" xfId="19921"/>
    <cellStyle name="Normal 2 7 3 4 3 5" xfId="19922"/>
    <cellStyle name="Normal 2 7 3 4 3 5 2" xfId="19923"/>
    <cellStyle name="Normal 2 7 3 4 3 6" xfId="19924"/>
    <cellStyle name="Normal 2 7 3 4 3 6 2" xfId="19925"/>
    <cellStyle name="Normal 2 7 3 4 3 7" xfId="19926"/>
    <cellStyle name="Normal 2 7 3 4 3 7 2" xfId="19927"/>
    <cellStyle name="Normal 2 7 3 4 3 8" xfId="19928"/>
    <cellStyle name="Normal 2 7 3 4 3 8 2" xfId="19929"/>
    <cellStyle name="Normal 2 7 3 4 4" xfId="19930"/>
    <cellStyle name="Normal 2 7 3 4 5" xfId="19931"/>
    <cellStyle name="Normal 2 7 3 4 6" xfId="19932"/>
    <cellStyle name="Normal 2 7 3 4 7" xfId="19933"/>
    <cellStyle name="Normal 2 7 3 4 7 2" xfId="19934"/>
    <cellStyle name="Normal 2 7 3 4 8" xfId="19935"/>
    <cellStyle name="Normal 2 7 3 4 8 2" xfId="19936"/>
    <cellStyle name="Normal 2 7 3 4 9" xfId="19937"/>
    <cellStyle name="Normal 2 7 3 4 9 2" xfId="19938"/>
    <cellStyle name="Normal 2 7 3 5" xfId="19939"/>
    <cellStyle name="Normal 2 7 3 5 10" xfId="19940"/>
    <cellStyle name="Normal 2 7 3 5 10 2" xfId="19941"/>
    <cellStyle name="Normal 2 7 3 5 2" xfId="19942"/>
    <cellStyle name="Normal 2 7 3 5 2 2" xfId="19943"/>
    <cellStyle name="Normal 2 7 3 5 2 2 2" xfId="19944"/>
    <cellStyle name="Normal 2 7 3 5 2 2 3" xfId="19945"/>
    <cellStyle name="Normal 2 7 3 5 2 2 4" xfId="19946"/>
    <cellStyle name="Normal 2 7 3 5 2 3" xfId="19947"/>
    <cellStyle name="Normal 2 7 3 5 2 4" xfId="19948"/>
    <cellStyle name="Normal 2 7 3 5 2 5" xfId="19949"/>
    <cellStyle name="Normal 2 7 3 5 3" xfId="19950"/>
    <cellStyle name="Normal 2 7 3 5 3 2" xfId="19951"/>
    <cellStyle name="Normal 2 7 3 5 3 3" xfId="19952"/>
    <cellStyle name="Normal 2 7 3 5 3 4" xfId="19953"/>
    <cellStyle name="Normal 2 7 3 5 4" xfId="19954"/>
    <cellStyle name="Normal 2 7 3 5 5" xfId="19955"/>
    <cellStyle name="Normal 2 7 3 5 6" xfId="19956"/>
    <cellStyle name="Normal 2 7 3 5 7" xfId="19957"/>
    <cellStyle name="Normal 2 7 3 5 7 2" xfId="19958"/>
    <cellStyle name="Normal 2 7 3 5 8" xfId="19959"/>
    <cellStyle name="Normal 2 7 3 5 8 2" xfId="19960"/>
    <cellStyle name="Normal 2 7 3 5 9" xfId="19961"/>
    <cellStyle name="Normal 2 7 3 5 9 2" xfId="19962"/>
    <cellStyle name="Normal 2 7 3 6" xfId="19963"/>
    <cellStyle name="Normal 2 7 3 6 2" xfId="19964"/>
    <cellStyle name="Normal 2 7 3 6 2 2" xfId="19965"/>
    <cellStyle name="Normal 2 7 3 6 2 3" xfId="19966"/>
    <cellStyle name="Normal 2 7 3 6 2 4" xfId="19967"/>
    <cellStyle name="Normal 2 7 3 6 3" xfId="19968"/>
    <cellStyle name="Normal 2 7 3 6 4" xfId="19969"/>
    <cellStyle name="Normal 2 7 3 6 5" xfId="19970"/>
    <cellStyle name="Normal 2 7 3 6 6" xfId="19971"/>
    <cellStyle name="Normal 2 7 3 6 6 2" xfId="19972"/>
    <cellStyle name="Normal 2 7 3 6 7" xfId="19973"/>
    <cellStyle name="Normal 2 7 3 6 7 2" xfId="19974"/>
    <cellStyle name="Normal 2 7 3 6 8" xfId="19975"/>
    <cellStyle name="Normal 2 7 3 6 8 2" xfId="19976"/>
    <cellStyle name="Normal 2 7 3 6 9" xfId="19977"/>
    <cellStyle name="Normal 2 7 3 6 9 2" xfId="19978"/>
    <cellStyle name="Normal 2 7 3 7" xfId="19979"/>
    <cellStyle name="Normal 2 7 3 7 2" xfId="19980"/>
    <cellStyle name="Normal 2 7 3 7 2 2" xfId="19981"/>
    <cellStyle name="Normal 2 7 3 7 2 3" xfId="19982"/>
    <cellStyle name="Normal 2 7 3 7 2 4" xfId="19983"/>
    <cellStyle name="Normal 2 7 3 7 3" xfId="19984"/>
    <cellStyle name="Normal 2 7 3 7 4" xfId="19985"/>
    <cellStyle name="Normal 2 7 3 7 5" xfId="19986"/>
    <cellStyle name="Normal 2 7 3 7 6" xfId="19987"/>
    <cellStyle name="Normal 2 7 3 7 6 2" xfId="19988"/>
    <cellStyle name="Normal 2 7 3 7 7" xfId="19989"/>
    <cellStyle name="Normal 2 7 3 7 7 2" xfId="19990"/>
    <cellStyle name="Normal 2 7 3 7 8" xfId="19991"/>
    <cellStyle name="Normal 2 7 3 7 8 2" xfId="19992"/>
    <cellStyle name="Normal 2 7 3 7 8 3" xfId="19993"/>
    <cellStyle name="Normal 2 7 3 7 9" xfId="19994"/>
    <cellStyle name="Normal 2 7 3 7 9 2" xfId="19995"/>
    <cellStyle name="Normal 2 7 3 8" xfId="19996"/>
    <cellStyle name="Normal 2 7 3 8 2" xfId="19997"/>
    <cellStyle name="Normal 2 7 3 8 3" xfId="19998"/>
    <cellStyle name="Normal 2 7 3 8 4" xfId="19999"/>
    <cellStyle name="Normal 2 7 3 8 5" xfId="20000"/>
    <cellStyle name="Normal 2 7 3 8 5 2" xfId="20001"/>
    <cellStyle name="Normal 2 7 3 8 6" xfId="20002"/>
    <cellStyle name="Normal 2 7 3 8 6 2" xfId="20003"/>
    <cellStyle name="Normal 2 7 3 8 6 3" xfId="20004"/>
    <cellStyle name="Normal 2 7 3 8 7" xfId="20005"/>
    <cellStyle name="Normal 2 7 3 8 7 2" xfId="20006"/>
    <cellStyle name="Normal 2 7 3 8 7 3" xfId="20007"/>
    <cellStyle name="Normal 2 7 3 8 8" xfId="20008"/>
    <cellStyle name="Normal 2 7 3 8 8 2" xfId="20009"/>
    <cellStyle name="Normal 2 7 3 8 8 3" xfId="20010"/>
    <cellStyle name="Normal 2 7 3 9" xfId="20011"/>
    <cellStyle name="Normal 2 7 3 9 2" xfId="20012"/>
    <cellStyle name="Normal 2 7 3 9 2 2" xfId="20013"/>
    <cellStyle name="Normal 2 7 3 9 3" xfId="20014"/>
    <cellStyle name="Normal 2 7 3 9 4" xfId="20015"/>
    <cellStyle name="Normal 2 7 3 9 5" xfId="20016"/>
    <cellStyle name="Normal 2 7 3 9 5 2" xfId="20017"/>
    <cellStyle name="Normal 2 7 3 9 6" xfId="20018"/>
    <cellStyle name="Normal 2 7 3 9 6 2" xfId="20019"/>
    <cellStyle name="Normal 2 7 3 9 7" xfId="20020"/>
    <cellStyle name="Normal 2 7 3 9 7 2" xfId="20021"/>
    <cellStyle name="Normal 2 7 3 9 7 3" xfId="20022"/>
    <cellStyle name="Normal 2 7 3 9 8" xfId="20023"/>
    <cellStyle name="Normal 2 7 3 9 8 2" xfId="20024"/>
    <cellStyle name="Normal 2 7 3 9 9" xfId="20025"/>
    <cellStyle name="Normal 2 7 4" xfId="20026"/>
    <cellStyle name="Normal 2 7 4 10" xfId="20027"/>
    <cellStyle name="Normal 2 7 4 11" xfId="20028"/>
    <cellStyle name="Normal 2 7 4 12" xfId="20029"/>
    <cellStyle name="Normal 2 7 4 13" xfId="20030"/>
    <cellStyle name="Normal 2 7 4 14" xfId="20031"/>
    <cellStyle name="Normal 2 7 4 2" xfId="20032"/>
    <cellStyle name="Normal 2 7 4 2 2" xfId="20033"/>
    <cellStyle name="Normal 2 7 4 2 2 2" xfId="20034"/>
    <cellStyle name="Normal 2 7 4 2 2 2 2" xfId="20035"/>
    <cellStyle name="Normal 2 7 4 2 2 2 3" xfId="20036"/>
    <cellStyle name="Normal 2 7 4 2 2 2 4" xfId="20037"/>
    <cellStyle name="Normal 2 7 4 2 2 3" xfId="20038"/>
    <cellStyle name="Normal 2 7 4 2 2 4" xfId="20039"/>
    <cellStyle name="Normal 2 7 4 2 2 5" xfId="20040"/>
    <cellStyle name="Normal 2 7 4 2 3" xfId="20041"/>
    <cellStyle name="Normal 2 7 4 2 3 2" xfId="20042"/>
    <cellStyle name="Normal 2 7 4 2 3 3" xfId="20043"/>
    <cellStyle name="Normal 2 7 4 2 3 4" xfId="20044"/>
    <cellStyle name="Normal 2 7 4 2 4" xfId="20045"/>
    <cellStyle name="Normal 2 7 4 2 5" xfId="20046"/>
    <cellStyle name="Normal 2 7 4 2 6" xfId="20047"/>
    <cellStyle name="Normal 2 7 4 3" xfId="20048"/>
    <cellStyle name="Normal 2 7 4 3 2" xfId="20049"/>
    <cellStyle name="Normal 2 7 4 3 2 2" xfId="20050"/>
    <cellStyle name="Normal 2 7 4 3 2 2 2" xfId="20051"/>
    <cellStyle name="Normal 2 7 4 3 2 2 3" xfId="20052"/>
    <cellStyle name="Normal 2 7 4 3 2 2 4" xfId="20053"/>
    <cellStyle name="Normal 2 7 4 3 2 3" xfId="20054"/>
    <cellStyle name="Normal 2 7 4 3 2 4" xfId="20055"/>
    <cellStyle name="Normal 2 7 4 3 2 5" xfId="20056"/>
    <cellStyle name="Normal 2 7 4 3 3" xfId="20057"/>
    <cellStyle name="Normal 2 7 4 3 3 2" xfId="20058"/>
    <cellStyle name="Normal 2 7 4 3 3 3" xfId="20059"/>
    <cellStyle name="Normal 2 7 4 3 3 4" xfId="20060"/>
    <cellStyle name="Normal 2 7 4 3 4" xfId="20061"/>
    <cellStyle name="Normal 2 7 4 3 5" xfId="20062"/>
    <cellStyle name="Normal 2 7 4 3 6" xfId="20063"/>
    <cellStyle name="Normal 2 7 4 4" xfId="20064"/>
    <cellStyle name="Normal 2 7 4 4 2" xfId="20065"/>
    <cellStyle name="Normal 2 7 4 4 2 2" xfId="20066"/>
    <cellStyle name="Normal 2 7 4 4 2 3" xfId="20067"/>
    <cellStyle name="Normal 2 7 4 4 2 4" xfId="20068"/>
    <cellStyle name="Normal 2 7 4 4 3" xfId="20069"/>
    <cellStyle name="Normal 2 7 4 4 4" xfId="20070"/>
    <cellStyle name="Normal 2 7 4 4 5" xfId="20071"/>
    <cellStyle name="Normal 2 7 4 5" xfId="20072"/>
    <cellStyle name="Normal 2 7 4 5 2" xfId="20073"/>
    <cellStyle name="Normal 2 7 4 5 2 2" xfId="20074"/>
    <cellStyle name="Normal 2 7 4 5 2 3" xfId="20075"/>
    <cellStyle name="Normal 2 7 4 5 2 4" xfId="20076"/>
    <cellStyle name="Normal 2 7 4 5 3" xfId="20077"/>
    <cellStyle name="Normal 2 7 4 5 4" xfId="20078"/>
    <cellStyle name="Normal 2 7 4 5 5" xfId="20079"/>
    <cellStyle name="Normal 2 7 4 6" xfId="20080"/>
    <cellStyle name="Normal 2 7 4 6 2" xfId="20081"/>
    <cellStyle name="Normal 2 7 4 6 3" xfId="20082"/>
    <cellStyle name="Normal 2 7 4 6 4" xfId="20083"/>
    <cellStyle name="Normal 2 7 4 7" xfId="20084"/>
    <cellStyle name="Normal 2 7 4 7 2" xfId="20085"/>
    <cellStyle name="Normal 2 7 4 7 3" xfId="20086"/>
    <cellStyle name="Normal 2 7 4 7 4" xfId="20087"/>
    <cellStyle name="Normal 2 7 4 8" xfId="20088"/>
    <cellStyle name="Normal 2 7 4 9" xfId="20089"/>
    <cellStyle name="Normal 2 7 5" xfId="20090"/>
    <cellStyle name="Normal 2 7 5 10" xfId="20091"/>
    <cellStyle name="Normal 2 7 5 11" xfId="20092"/>
    <cellStyle name="Normal 2 7 5 12" xfId="20093"/>
    <cellStyle name="Normal 2 7 5 13" xfId="20094"/>
    <cellStyle name="Normal 2 7 5 14" xfId="20095"/>
    <cellStyle name="Normal 2 7 5 2" xfId="20096"/>
    <cellStyle name="Normal 2 7 5 2 2" xfId="20097"/>
    <cellStyle name="Normal 2 7 5 2 2 2" xfId="20098"/>
    <cellStyle name="Normal 2 7 5 2 2 2 2" xfId="20099"/>
    <cellStyle name="Normal 2 7 5 2 2 2 3" xfId="20100"/>
    <cellStyle name="Normal 2 7 5 2 2 2 4" xfId="20101"/>
    <cellStyle name="Normal 2 7 5 2 2 3" xfId="20102"/>
    <cellStyle name="Normal 2 7 5 2 2 4" xfId="20103"/>
    <cellStyle name="Normal 2 7 5 2 2 5" xfId="20104"/>
    <cellStyle name="Normal 2 7 5 2 3" xfId="20105"/>
    <cellStyle name="Normal 2 7 5 2 3 2" xfId="20106"/>
    <cellStyle name="Normal 2 7 5 2 3 2 2" xfId="20107"/>
    <cellStyle name="Normal 2 7 5 2 3 3" xfId="20108"/>
    <cellStyle name="Normal 2 7 5 2 3 4" xfId="20109"/>
    <cellStyle name="Normal 2 7 5 2 4" xfId="20110"/>
    <cellStyle name="Normal 2 7 5 2 5" xfId="20111"/>
    <cellStyle name="Normal 2 7 5 2 6" xfId="20112"/>
    <cellStyle name="Normal 2 7 5 3" xfId="20113"/>
    <cellStyle name="Normal 2 7 5 3 2" xfId="20114"/>
    <cellStyle name="Normal 2 7 5 3 2 2" xfId="20115"/>
    <cellStyle name="Normal 2 7 5 3 2 2 2" xfId="20116"/>
    <cellStyle name="Normal 2 7 5 3 2 2 3" xfId="20117"/>
    <cellStyle name="Normal 2 7 5 3 2 2 4" xfId="20118"/>
    <cellStyle name="Normal 2 7 5 3 2 3" xfId="20119"/>
    <cellStyle name="Normal 2 7 5 3 2 4" xfId="20120"/>
    <cellStyle name="Normal 2 7 5 3 2 5" xfId="20121"/>
    <cellStyle name="Normal 2 7 5 3 3" xfId="20122"/>
    <cellStyle name="Normal 2 7 5 3 3 2" xfId="20123"/>
    <cellStyle name="Normal 2 7 5 3 3 3" xfId="20124"/>
    <cellStyle name="Normal 2 7 5 3 3 4" xfId="20125"/>
    <cellStyle name="Normal 2 7 5 3 4" xfId="20126"/>
    <cellStyle name="Normal 2 7 5 3 5" xfId="20127"/>
    <cellStyle name="Normal 2 7 5 3 6" xfId="20128"/>
    <cellStyle name="Normal 2 7 5 4" xfId="20129"/>
    <cellStyle name="Normal 2 7 5 4 2" xfId="20130"/>
    <cellStyle name="Normal 2 7 5 4 2 2" xfId="20131"/>
    <cellStyle name="Normal 2 7 5 4 2 3" xfId="20132"/>
    <cellStyle name="Normal 2 7 5 4 2 4" xfId="20133"/>
    <cellStyle name="Normal 2 7 5 4 3" xfId="20134"/>
    <cellStyle name="Normal 2 7 5 4 4" xfId="20135"/>
    <cellStyle name="Normal 2 7 5 4 5" xfId="20136"/>
    <cellStyle name="Normal 2 7 5 5" xfId="20137"/>
    <cellStyle name="Normal 2 7 5 5 2" xfId="20138"/>
    <cellStyle name="Normal 2 7 5 5 2 2" xfId="20139"/>
    <cellStyle name="Normal 2 7 5 5 2 3" xfId="20140"/>
    <cellStyle name="Normal 2 7 5 5 2 4" xfId="20141"/>
    <cellStyle name="Normal 2 7 5 5 3" xfId="20142"/>
    <cellStyle name="Normal 2 7 5 5 4" xfId="20143"/>
    <cellStyle name="Normal 2 7 5 5 5" xfId="20144"/>
    <cellStyle name="Normal 2 7 5 6" xfId="20145"/>
    <cellStyle name="Normal 2 7 5 6 2" xfId="20146"/>
    <cellStyle name="Normal 2 7 5 6 3" xfId="20147"/>
    <cellStyle name="Normal 2 7 5 6 4" xfId="20148"/>
    <cellStyle name="Normal 2 7 5 7" xfId="20149"/>
    <cellStyle name="Normal 2 7 5 7 2" xfId="20150"/>
    <cellStyle name="Normal 2 7 5 7 3" xfId="20151"/>
    <cellStyle name="Normal 2 7 5 7 4" xfId="20152"/>
    <cellStyle name="Normal 2 7 5 8" xfId="20153"/>
    <cellStyle name="Normal 2 7 5 9" xfId="20154"/>
    <cellStyle name="Normal 2 7 6" xfId="20155"/>
    <cellStyle name="Normal 2 7 6 2" xfId="20156"/>
    <cellStyle name="Normal 2 7 6 3" xfId="20157"/>
    <cellStyle name="Normal 2 7 6 4" xfId="20158"/>
    <cellStyle name="Normal 2 7 6 5" xfId="20159"/>
    <cellStyle name="Normal 2 7 6 6" xfId="20160"/>
    <cellStyle name="Normal 2 7 7" xfId="20161"/>
    <cellStyle name="Normal 2 7 7 10" xfId="20162"/>
    <cellStyle name="Normal 2 7 7 2" xfId="20163"/>
    <cellStyle name="Normal 2 7 7 2 2" xfId="20164"/>
    <cellStyle name="Normal 2 7 7 2 2 2" xfId="20165"/>
    <cellStyle name="Normal 2 7 7 2 2 3" xfId="20166"/>
    <cellStyle name="Normal 2 7 7 2 2 4" xfId="20167"/>
    <cellStyle name="Normal 2 7 7 2 3" xfId="20168"/>
    <cellStyle name="Normal 2 7 7 2 4" xfId="20169"/>
    <cellStyle name="Normal 2 7 7 2 5" xfId="20170"/>
    <cellStyle name="Normal 2 7 7 3" xfId="20171"/>
    <cellStyle name="Normal 2 7 7 3 2" xfId="20172"/>
    <cellStyle name="Normal 2 7 7 3 3" xfId="20173"/>
    <cellStyle name="Normal 2 7 7 3 4" xfId="20174"/>
    <cellStyle name="Normal 2 7 7 4" xfId="20175"/>
    <cellStyle name="Normal 2 7 7 5" xfId="20176"/>
    <cellStyle name="Normal 2 7 7 6" xfId="20177"/>
    <cellStyle name="Normal 2 7 7 7" xfId="20178"/>
    <cellStyle name="Normal 2 7 7 8" xfId="20179"/>
    <cellStyle name="Normal 2 7 7 9" xfId="20180"/>
    <cellStyle name="Normal 2 7 8" xfId="20181"/>
    <cellStyle name="Normal 2 7 8 10" xfId="20182"/>
    <cellStyle name="Normal 2 7 8 2" xfId="20183"/>
    <cellStyle name="Normal 2 7 8 2 2" xfId="20184"/>
    <cellStyle name="Normal 2 7 8 2 2 2" xfId="20185"/>
    <cellStyle name="Normal 2 7 8 2 2 3" xfId="20186"/>
    <cellStyle name="Normal 2 7 8 2 2 4" xfId="20187"/>
    <cellStyle name="Normal 2 7 8 2 3" xfId="20188"/>
    <cellStyle name="Normal 2 7 8 2 4" xfId="20189"/>
    <cellStyle name="Normal 2 7 8 2 5" xfId="20190"/>
    <cellStyle name="Normal 2 7 8 3" xfId="20191"/>
    <cellStyle name="Normal 2 7 8 3 2" xfId="20192"/>
    <cellStyle name="Normal 2 7 8 3 3" xfId="20193"/>
    <cellStyle name="Normal 2 7 8 3 4" xfId="20194"/>
    <cellStyle name="Normal 2 7 8 4" xfId="20195"/>
    <cellStyle name="Normal 2 7 8 5" xfId="20196"/>
    <cellStyle name="Normal 2 7 8 6" xfId="20197"/>
    <cellStyle name="Normal 2 7 8 7" xfId="20198"/>
    <cellStyle name="Normal 2 7 8 8" xfId="20199"/>
    <cellStyle name="Normal 2 7 8 9" xfId="20200"/>
    <cellStyle name="Normal 2 7 9" xfId="20201"/>
    <cellStyle name="Normal 2 7 9 2" xfId="20202"/>
    <cellStyle name="Normal 2 7 9 2 2" xfId="20203"/>
    <cellStyle name="Normal 2 7 9 2 3" xfId="20204"/>
    <cellStyle name="Normal 2 7 9 2 4" xfId="20205"/>
    <cellStyle name="Normal 2 7 9 3" xfId="20206"/>
    <cellStyle name="Normal 2 7 9 4" xfId="20207"/>
    <cellStyle name="Normal 2 7 9 5" xfId="20208"/>
    <cellStyle name="Normal 2 7 9 6" xfId="20209"/>
    <cellStyle name="Normal 2 7 9 7" xfId="20210"/>
    <cellStyle name="Normal 2 7 9 8" xfId="20211"/>
    <cellStyle name="Normal 2 7 9 9" xfId="20212"/>
    <cellStyle name="Normal 2 8" xfId="20213"/>
    <cellStyle name="Normal 2 8 10" xfId="20214"/>
    <cellStyle name="Normal 2 8 10 2" xfId="20215"/>
    <cellStyle name="Normal 2 8 10 2 2" xfId="20216"/>
    <cellStyle name="Normal 2 8 10 2 3" xfId="20217"/>
    <cellStyle name="Normal 2 8 10 2 4" xfId="20218"/>
    <cellStyle name="Normal 2 8 10 3" xfId="20219"/>
    <cellStyle name="Normal 2 8 10 4" xfId="20220"/>
    <cellStyle name="Normal 2 8 10 5" xfId="20221"/>
    <cellStyle name="Normal 2 8 11" xfId="20222"/>
    <cellStyle name="Normal 2 8 11 2" xfId="20223"/>
    <cellStyle name="Normal 2 8 11 3" xfId="20224"/>
    <cellStyle name="Normal 2 8 11 4" xfId="20225"/>
    <cellStyle name="Normal 2 8 12" xfId="20226"/>
    <cellStyle name="Normal 2 8 12 2" xfId="20227"/>
    <cellStyle name="Normal 2 8 12 3" xfId="20228"/>
    <cellStyle name="Normal 2 8 12 4" xfId="20229"/>
    <cellStyle name="Normal 2 8 13" xfId="20230"/>
    <cellStyle name="Normal 2 8 14" xfId="20231"/>
    <cellStyle name="Normal 2 8 15" xfId="20232"/>
    <cellStyle name="Normal 2 8 16" xfId="20233"/>
    <cellStyle name="Normal 2 8 17" xfId="20234"/>
    <cellStyle name="Normal 2 8 18" xfId="20235"/>
    <cellStyle name="Normal 2 8 19" xfId="20236"/>
    <cellStyle name="Normal 2 8 2" xfId="20237"/>
    <cellStyle name="Normal 2 8 2 10" xfId="20238"/>
    <cellStyle name="Normal 2 8 2 11" xfId="20239"/>
    <cellStyle name="Normal 2 8 2 12" xfId="20240"/>
    <cellStyle name="Normal 2 8 2 13" xfId="20241"/>
    <cellStyle name="Normal 2 8 2 14" xfId="20242"/>
    <cellStyle name="Normal 2 8 2 15" xfId="20243"/>
    <cellStyle name="Normal 2 8 2 2" xfId="20244"/>
    <cellStyle name="Normal 2 8 2 3" xfId="20245"/>
    <cellStyle name="Normal 2 8 2 3 2" xfId="20246"/>
    <cellStyle name="Normal 2 8 2 3 2 2" xfId="20247"/>
    <cellStyle name="Normal 2 8 2 3 2 2 2" xfId="20248"/>
    <cellStyle name="Normal 2 8 2 3 2 2 3" xfId="20249"/>
    <cellStyle name="Normal 2 8 2 3 2 2 4" xfId="20250"/>
    <cellStyle name="Normal 2 8 2 3 2 3" xfId="20251"/>
    <cellStyle name="Normal 2 8 2 3 2 4" xfId="20252"/>
    <cellStyle name="Normal 2 8 2 3 2 5" xfId="20253"/>
    <cellStyle name="Normal 2 8 2 3 3" xfId="20254"/>
    <cellStyle name="Normal 2 8 2 3 3 2" xfId="20255"/>
    <cellStyle name="Normal 2 8 2 3 3 3" xfId="20256"/>
    <cellStyle name="Normal 2 8 2 3 3 4" xfId="20257"/>
    <cellStyle name="Normal 2 8 2 3 4" xfId="20258"/>
    <cellStyle name="Normal 2 8 2 3 5" xfId="20259"/>
    <cellStyle name="Normal 2 8 2 3 6" xfId="20260"/>
    <cellStyle name="Normal 2 8 2 4" xfId="20261"/>
    <cellStyle name="Normal 2 8 2 4 2" xfId="20262"/>
    <cellStyle name="Normal 2 8 2 4 2 2" xfId="20263"/>
    <cellStyle name="Normal 2 8 2 4 2 2 2" xfId="20264"/>
    <cellStyle name="Normal 2 8 2 4 2 2 3" xfId="20265"/>
    <cellStyle name="Normal 2 8 2 4 2 2 4" xfId="20266"/>
    <cellStyle name="Normal 2 8 2 4 2 3" xfId="20267"/>
    <cellStyle name="Normal 2 8 2 4 2 4" xfId="20268"/>
    <cellStyle name="Normal 2 8 2 4 2 5" xfId="20269"/>
    <cellStyle name="Normal 2 8 2 4 3" xfId="20270"/>
    <cellStyle name="Normal 2 8 2 4 3 2" xfId="20271"/>
    <cellStyle name="Normal 2 8 2 4 3 3" xfId="20272"/>
    <cellStyle name="Normal 2 8 2 4 3 4" xfId="20273"/>
    <cellStyle name="Normal 2 8 2 4 4" xfId="20274"/>
    <cellStyle name="Normal 2 8 2 4 5" xfId="20275"/>
    <cellStyle name="Normal 2 8 2 4 6" xfId="20276"/>
    <cellStyle name="Normal 2 8 2 5" xfId="20277"/>
    <cellStyle name="Normal 2 8 2 5 2" xfId="20278"/>
    <cellStyle name="Normal 2 8 2 5 2 2" xfId="20279"/>
    <cellStyle name="Normal 2 8 2 5 2 3" xfId="20280"/>
    <cellStyle name="Normal 2 8 2 5 2 4" xfId="20281"/>
    <cellStyle name="Normal 2 8 2 5 3" xfId="20282"/>
    <cellStyle name="Normal 2 8 2 5 4" xfId="20283"/>
    <cellStyle name="Normal 2 8 2 5 5" xfId="20284"/>
    <cellStyle name="Normal 2 8 2 6" xfId="20285"/>
    <cellStyle name="Normal 2 8 2 6 2" xfId="20286"/>
    <cellStyle name="Normal 2 8 2 6 2 2" xfId="20287"/>
    <cellStyle name="Normal 2 8 2 6 2 3" xfId="20288"/>
    <cellStyle name="Normal 2 8 2 6 2 4" xfId="20289"/>
    <cellStyle name="Normal 2 8 2 6 3" xfId="20290"/>
    <cellStyle name="Normal 2 8 2 6 4" xfId="20291"/>
    <cellStyle name="Normal 2 8 2 6 5" xfId="20292"/>
    <cellStyle name="Normal 2 8 2 7" xfId="20293"/>
    <cellStyle name="Normal 2 8 2 7 2" xfId="20294"/>
    <cellStyle name="Normal 2 8 2 7 3" xfId="20295"/>
    <cellStyle name="Normal 2 8 2 7 4" xfId="20296"/>
    <cellStyle name="Normal 2 8 2 8" xfId="20297"/>
    <cellStyle name="Normal 2 8 2 8 2" xfId="20298"/>
    <cellStyle name="Normal 2 8 2 8 3" xfId="20299"/>
    <cellStyle name="Normal 2 8 2 8 4" xfId="20300"/>
    <cellStyle name="Normal 2 8 2 9" xfId="20301"/>
    <cellStyle name="Normal 2 8 3" xfId="20302"/>
    <cellStyle name="Normal 2 8 3 10" xfId="20303"/>
    <cellStyle name="Normal 2 8 3 11" xfId="20304"/>
    <cellStyle name="Normal 2 8 3 12" xfId="20305"/>
    <cellStyle name="Normal 2 8 3 13" xfId="20306"/>
    <cellStyle name="Normal 2 8 3 14" xfId="20307"/>
    <cellStyle name="Normal 2 8 3 15" xfId="20308"/>
    <cellStyle name="Normal 2 8 3 2" xfId="20309"/>
    <cellStyle name="Normal 2 8 3 3" xfId="20310"/>
    <cellStyle name="Normal 2 8 3 3 2" xfId="20311"/>
    <cellStyle name="Normal 2 8 3 3 2 2" xfId="20312"/>
    <cellStyle name="Normal 2 8 3 3 2 2 2" xfId="20313"/>
    <cellStyle name="Normal 2 8 3 3 2 2 3" xfId="20314"/>
    <cellStyle name="Normal 2 8 3 3 2 2 4" xfId="20315"/>
    <cellStyle name="Normal 2 8 3 3 2 3" xfId="20316"/>
    <cellStyle name="Normal 2 8 3 3 2 4" xfId="20317"/>
    <cellStyle name="Normal 2 8 3 3 2 5" xfId="20318"/>
    <cellStyle name="Normal 2 8 3 3 3" xfId="20319"/>
    <cellStyle name="Normal 2 8 3 3 3 2" xfId="20320"/>
    <cellStyle name="Normal 2 8 3 3 3 3" xfId="20321"/>
    <cellStyle name="Normal 2 8 3 3 3 4" xfId="20322"/>
    <cellStyle name="Normal 2 8 3 3 4" xfId="20323"/>
    <cellStyle name="Normal 2 8 3 3 5" xfId="20324"/>
    <cellStyle name="Normal 2 8 3 3 6" xfId="20325"/>
    <cellStyle name="Normal 2 8 3 4" xfId="20326"/>
    <cellStyle name="Normal 2 8 3 4 2" xfId="20327"/>
    <cellStyle name="Normal 2 8 3 4 2 2" xfId="20328"/>
    <cellStyle name="Normal 2 8 3 4 2 2 2" xfId="20329"/>
    <cellStyle name="Normal 2 8 3 4 2 2 3" xfId="20330"/>
    <cellStyle name="Normal 2 8 3 4 2 2 4" xfId="20331"/>
    <cellStyle name="Normal 2 8 3 4 2 3" xfId="20332"/>
    <cellStyle name="Normal 2 8 3 4 2 4" xfId="20333"/>
    <cellStyle name="Normal 2 8 3 4 2 5" xfId="20334"/>
    <cellStyle name="Normal 2 8 3 4 3" xfId="20335"/>
    <cellStyle name="Normal 2 8 3 4 3 2" xfId="20336"/>
    <cellStyle name="Normal 2 8 3 4 3 3" xfId="20337"/>
    <cellStyle name="Normal 2 8 3 4 3 4" xfId="20338"/>
    <cellStyle name="Normal 2 8 3 4 4" xfId="20339"/>
    <cellStyle name="Normal 2 8 3 4 5" xfId="20340"/>
    <cellStyle name="Normal 2 8 3 4 6" xfId="20341"/>
    <cellStyle name="Normal 2 8 3 5" xfId="20342"/>
    <cellStyle name="Normal 2 8 3 5 2" xfId="20343"/>
    <cellStyle name="Normal 2 8 3 5 2 2" xfId="20344"/>
    <cellStyle name="Normal 2 8 3 5 2 3" xfId="20345"/>
    <cellStyle name="Normal 2 8 3 5 2 4" xfId="20346"/>
    <cellStyle name="Normal 2 8 3 5 3" xfId="20347"/>
    <cellStyle name="Normal 2 8 3 5 4" xfId="20348"/>
    <cellStyle name="Normal 2 8 3 5 5" xfId="20349"/>
    <cellStyle name="Normal 2 8 3 6" xfId="20350"/>
    <cellStyle name="Normal 2 8 3 6 2" xfId="20351"/>
    <cellStyle name="Normal 2 8 3 6 2 2" xfId="20352"/>
    <cellStyle name="Normal 2 8 3 6 2 3" xfId="20353"/>
    <cellStyle name="Normal 2 8 3 6 2 4" xfId="20354"/>
    <cellStyle name="Normal 2 8 3 6 3" xfId="20355"/>
    <cellStyle name="Normal 2 8 3 6 4" xfId="20356"/>
    <cellStyle name="Normal 2 8 3 6 5" xfId="20357"/>
    <cellStyle name="Normal 2 8 3 7" xfId="20358"/>
    <cellStyle name="Normal 2 8 3 7 2" xfId="20359"/>
    <cellStyle name="Normal 2 8 3 7 3" xfId="20360"/>
    <cellStyle name="Normal 2 8 3 7 4" xfId="20361"/>
    <cellStyle name="Normal 2 8 3 8" xfId="20362"/>
    <cellStyle name="Normal 2 8 3 8 2" xfId="20363"/>
    <cellStyle name="Normal 2 8 3 8 3" xfId="20364"/>
    <cellStyle name="Normal 2 8 3 8 4" xfId="20365"/>
    <cellStyle name="Normal 2 8 3 9" xfId="20366"/>
    <cellStyle name="Normal 2 8 4" xfId="20367"/>
    <cellStyle name="Normal 2 8 4 10" xfId="20368"/>
    <cellStyle name="Normal 2 8 4 11" xfId="20369"/>
    <cellStyle name="Normal 2 8 4 12" xfId="20370"/>
    <cellStyle name="Normal 2 8 4 13" xfId="20371"/>
    <cellStyle name="Normal 2 8 4 14" xfId="20372"/>
    <cellStyle name="Normal 2 8 4 15" xfId="20373"/>
    <cellStyle name="Normal 2 8 4 2" xfId="20374"/>
    <cellStyle name="Normal 2 8 4 2 2" xfId="20375"/>
    <cellStyle name="Normal 2 8 4 2 2 2" xfId="20376"/>
    <cellStyle name="Normal 2 8 4 2 2 2 2" xfId="20377"/>
    <cellStyle name="Normal 2 8 4 2 2 2 3" xfId="20378"/>
    <cellStyle name="Normal 2 8 4 2 2 2 4" xfId="20379"/>
    <cellStyle name="Normal 2 8 4 2 2 3" xfId="20380"/>
    <cellStyle name="Normal 2 8 4 2 2 4" xfId="20381"/>
    <cellStyle name="Normal 2 8 4 2 2 5" xfId="20382"/>
    <cellStyle name="Normal 2 8 4 2 3" xfId="20383"/>
    <cellStyle name="Normal 2 8 4 2 3 2" xfId="20384"/>
    <cellStyle name="Normal 2 8 4 2 3 3" xfId="20385"/>
    <cellStyle name="Normal 2 8 4 2 3 4" xfId="20386"/>
    <cellStyle name="Normal 2 8 4 2 4" xfId="20387"/>
    <cellStyle name="Normal 2 8 4 2 5" xfId="20388"/>
    <cellStyle name="Normal 2 8 4 2 6" xfId="20389"/>
    <cellStyle name="Normal 2 8 4 3" xfId="20390"/>
    <cellStyle name="Normal 2 8 4 3 2" xfId="20391"/>
    <cellStyle name="Normal 2 8 4 3 2 2" xfId="20392"/>
    <cellStyle name="Normal 2 8 4 3 2 2 2" xfId="20393"/>
    <cellStyle name="Normal 2 8 4 3 2 2 3" xfId="20394"/>
    <cellStyle name="Normal 2 8 4 3 2 2 4" xfId="20395"/>
    <cellStyle name="Normal 2 8 4 3 2 3" xfId="20396"/>
    <cellStyle name="Normal 2 8 4 3 2 4" xfId="20397"/>
    <cellStyle name="Normal 2 8 4 3 2 5" xfId="20398"/>
    <cellStyle name="Normal 2 8 4 3 3" xfId="20399"/>
    <cellStyle name="Normal 2 8 4 3 3 2" xfId="20400"/>
    <cellStyle name="Normal 2 8 4 3 3 3" xfId="20401"/>
    <cellStyle name="Normal 2 8 4 3 3 4" xfId="20402"/>
    <cellStyle name="Normal 2 8 4 3 4" xfId="20403"/>
    <cellStyle name="Normal 2 8 4 3 5" xfId="20404"/>
    <cellStyle name="Normal 2 8 4 3 6" xfId="20405"/>
    <cellStyle name="Normal 2 8 4 4" xfId="20406"/>
    <cellStyle name="Normal 2 8 4 4 2" xfId="20407"/>
    <cellStyle name="Normal 2 8 4 4 2 2" xfId="20408"/>
    <cellStyle name="Normal 2 8 4 4 2 3" xfId="20409"/>
    <cellStyle name="Normal 2 8 4 4 2 4" xfId="20410"/>
    <cellStyle name="Normal 2 8 4 4 3" xfId="20411"/>
    <cellStyle name="Normal 2 8 4 4 4" xfId="20412"/>
    <cellStyle name="Normal 2 8 4 4 5" xfId="20413"/>
    <cellStyle name="Normal 2 8 4 5" xfId="20414"/>
    <cellStyle name="Normal 2 8 4 5 2" xfId="20415"/>
    <cellStyle name="Normal 2 8 4 5 2 2" xfId="20416"/>
    <cellStyle name="Normal 2 8 4 5 2 3" xfId="20417"/>
    <cellStyle name="Normal 2 8 4 5 2 4" xfId="20418"/>
    <cellStyle name="Normal 2 8 4 5 3" xfId="20419"/>
    <cellStyle name="Normal 2 8 4 5 4" xfId="20420"/>
    <cellStyle name="Normal 2 8 4 5 5" xfId="20421"/>
    <cellStyle name="Normal 2 8 4 6" xfId="20422"/>
    <cellStyle name="Normal 2 8 4 6 2" xfId="20423"/>
    <cellStyle name="Normal 2 8 4 6 3" xfId="20424"/>
    <cellStyle name="Normal 2 8 4 6 4" xfId="20425"/>
    <cellStyle name="Normal 2 8 4 7" xfId="20426"/>
    <cellStyle name="Normal 2 8 4 7 2" xfId="20427"/>
    <cellStyle name="Normal 2 8 4 7 3" xfId="20428"/>
    <cellStyle name="Normal 2 8 4 7 4" xfId="20429"/>
    <cellStyle name="Normal 2 8 4 8" xfId="20430"/>
    <cellStyle name="Normal 2 8 4 9" xfId="20431"/>
    <cellStyle name="Normal 2 8 5" xfId="20432"/>
    <cellStyle name="Normal 2 8 5 10" xfId="20433"/>
    <cellStyle name="Normal 2 8 5 11" xfId="20434"/>
    <cellStyle name="Normal 2 8 5 12" xfId="20435"/>
    <cellStyle name="Normal 2 8 5 13" xfId="20436"/>
    <cellStyle name="Normal 2 8 5 14" xfId="20437"/>
    <cellStyle name="Normal 2 8 5 2" xfId="20438"/>
    <cellStyle name="Normal 2 8 5 2 2" xfId="20439"/>
    <cellStyle name="Normal 2 8 5 2 2 2" xfId="20440"/>
    <cellStyle name="Normal 2 8 5 2 2 2 2" xfId="20441"/>
    <cellStyle name="Normal 2 8 5 2 2 2 3" xfId="20442"/>
    <cellStyle name="Normal 2 8 5 2 2 2 4" xfId="20443"/>
    <cellStyle name="Normal 2 8 5 2 2 3" xfId="20444"/>
    <cellStyle name="Normal 2 8 5 2 2 4" xfId="20445"/>
    <cellStyle name="Normal 2 8 5 2 2 5" xfId="20446"/>
    <cellStyle name="Normal 2 8 5 2 3" xfId="20447"/>
    <cellStyle name="Normal 2 8 5 2 3 2" xfId="20448"/>
    <cellStyle name="Normal 2 8 5 2 3 3" xfId="20449"/>
    <cellStyle name="Normal 2 8 5 2 3 4" xfId="20450"/>
    <cellStyle name="Normal 2 8 5 2 4" xfId="20451"/>
    <cellStyle name="Normal 2 8 5 2 5" xfId="20452"/>
    <cellStyle name="Normal 2 8 5 2 6" xfId="20453"/>
    <cellStyle name="Normal 2 8 5 3" xfId="20454"/>
    <cellStyle name="Normal 2 8 5 3 2" xfId="20455"/>
    <cellStyle name="Normal 2 8 5 3 2 2" xfId="20456"/>
    <cellStyle name="Normal 2 8 5 3 2 2 2" xfId="20457"/>
    <cellStyle name="Normal 2 8 5 3 2 2 3" xfId="20458"/>
    <cellStyle name="Normal 2 8 5 3 2 2 4" xfId="20459"/>
    <cellStyle name="Normal 2 8 5 3 2 3" xfId="20460"/>
    <cellStyle name="Normal 2 8 5 3 2 4" xfId="20461"/>
    <cellStyle name="Normal 2 8 5 3 2 5" xfId="20462"/>
    <cellStyle name="Normal 2 8 5 3 3" xfId="20463"/>
    <cellStyle name="Normal 2 8 5 3 3 2" xfId="20464"/>
    <cellStyle name="Normal 2 8 5 3 3 3" xfId="20465"/>
    <cellStyle name="Normal 2 8 5 3 3 4" xfId="20466"/>
    <cellStyle name="Normal 2 8 5 3 4" xfId="20467"/>
    <cellStyle name="Normal 2 8 5 3 5" xfId="20468"/>
    <cellStyle name="Normal 2 8 5 3 6" xfId="20469"/>
    <cellStyle name="Normal 2 8 5 4" xfId="20470"/>
    <cellStyle name="Normal 2 8 5 4 2" xfId="20471"/>
    <cellStyle name="Normal 2 8 5 4 2 2" xfId="20472"/>
    <cellStyle name="Normal 2 8 5 4 2 3" xfId="20473"/>
    <cellStyle name="Normal 2 8 5 4 2 4" xfId="20474"/>
    <cellStyle name="Normal 2 8 5 4 3" xfId="20475"/>
    <cellStyle name="Normal 2 8 5 4 4" xfId="20476"/>
    <cellStyle name="Normal 2 8 5 4 5" xfId="20477"/>
    <cellStyle name="Normal 2 8 5 5" xfId="20478"/>
    <cellStyle name="Normal 2 8 5 5 2" xfId="20479"/>
    <cellStyle name="Normal 2 8 5 5 2 2" xfId="20480"/>
    <cellStyle name="Normal 2 8 5 5 2 3" xfId="20481"/>
    <cellStyle name="Normal 2 8 5 5 2 4" xfId="20482"/>
    <cellStyle name="Normal 2 8 5 5 3" xfId="20483"/>
    <cellStyle name="Normal 2 8 5 5 4" xfId="20484"/>
    <cellStyle name="Normal 2 8 5 5 5" xfId="20485"/>
    <cellStyle name="Normal 2 8 5 6" xfId="20486"/>
    <cellStyle name="Normal 2 8 5 6 2" xfId="20487"/>
    <cellStyle name="Normal 2 8 5 6 3" xfId="20488"/>
    <cellStyle name="Normal 2 8 5 6 4" xfId="20489"/>
    <cellStyle name="Normal 2 8 5 7" xfId="20490"/>
    <cellStyle name="Normal 2 8 5 7 2" xfId="20491"/>
    <cellStyle name="Normal 2 8 5 7 3" xfId="20492"/>
    <cellStyle name="Normal 2 8 5 7 4" xfId="20493"/>
    <cellStyle name="Normal 2 8 5 8" xfId="20494"/>
    <cellStyle name="Normal 2 8 5 9" xfId="20495"/>
    <cellStyle name="Normal 2 8 6" xfId="20496"/>
    <cellStyle name="Normal 2 8 6 2" xfId="20497"/>
    <cellStyle name="Normal 2 8 6 3" xfId="20498"/>
    <cellStyle name="Normal 2 8 6 4" xfId="20499"/>
    <cellStyle name="Normal 2 8 6 5" xfId="20500"/>
    <cellStyle name="Normal 2 8 6 6" xfId="20501"/>
    <cellStyle name="Normal 2 8 7" xfId="20502"/>
    <cellStyle name="Normal 2 8 7 10" xfId="20503"/>
    <cellStyle name="Normal 2 8 7 2" xfId="20504"/>
    <cellStyle name="Normal 2 8 7 2 2" xfId="20505"/>
    <cellStyle name="Normal 2 8 7 2 2 2" xfId="20506"/>
    <cellStyle name="Normal 2 8 7 2 2 3" xfId="20507"/>
    <cellStyle name="Normal 2 8 7 2 2 4" xfId="20508"/>
    <cellStyle name="Normal 2 8 7 2 3" xfId="20509"/>
    <cellStyle name="Normal 2 8 7 2 4" xfId="20510"/>
    <cellStyle name="Normal 2 8 7 2 5" xfId="20511"/>
    <cellStyle name="Normal 2 8 7 3" xfId="20512"/>
    <cellStyle name="Normal 2 8 7 3 2" xfId="20513"/>
    <cellStyle name="Normal 2 8 7 3 3" xfId="20514"/>
    <cellStyle name="Normal 2 8 7 3 4" xfId="20515"/>
    <cellStyle name="Normal 2 8 7 4" xfId="20516"/>
    <cellStyle name="Normal 2 8 7 5" xfId="20517"/>
    <cellStyle name="Normal 2 8 7 6" xfId="20518"/>
    <cellStyle name="Normal 2 8 7 7" xfId="20519"/>
    <cellStyle name="Normal 2 8 7 8" xfId="20520"/>
    <cellStyle name="Normal 2 8 7 9" xfId="20521"/>
    <cellStyle name="Normal 2 8 8" xfId="20522"/>
    <cellStyle name="Normal 2 8 8 10" xfId="20523"/>
    <cellStyle name="Normal 2 8 8 11" xfId="20524"/>
    <cellStyle name="Normal 2 8 8 2" xfId="20525"/>
    <cellStyle name="Normal 2 8 8 2 2" xfId="20526"/>
    <cellStyle name="Normal 2 8 8 2 2 2" xfId="20527"/>
    <cellStyle name="Normal 2 8 8 2 2 3" xfId="20528"/>
    <cellStyle name="Normal 2 8 8 2 2 4" xfId="20529"/>
    <cellStyle name="Normal 2 8 8 2 3" xfId="20530"/>
    <cellStyle name="Normal 2 8 8 2 4" xfId="20531"/>
    <cellStyle name="Normal 2 8 8 2 5" xfId="20532"/>
    <cellStyle name="Normal 2 8 8 3" xfId="20533"/>
    <cellStyle name="Normal 2 8 8 3 2" xfId="20534"/>
    <cellStyle name="Normal 2 8 8 3 3" xfId="20535"/>
    <cellStyle name="Normal 2 8 8 3 4" xfId="20536"/>
    <cellStyle name="Normal 2 8 8 4" xfId="20537"/>
    <cellStyle name="Normal 2 8 8 5" xfId="20538"/>
    <cellStyle name="Normal 2 8 8 6" xfId="20539"/>
    <cellStyle name="Normal 2 8 8 7" xfId="20540"/>
    <cellStyle name="Normal 2 8 8 8" xfId="20541"/>
    <cellStyle name="Normal 2 8 8 9" xfId="20542"/>
    <cellStyle name="Normal 2 8 9" xfId="20543"/>
    <cellStyle name="Normal 2 8 9 2" xfId="20544"/>
    <cellStyle name="Normal 2 8 9 2 2" xfId="20545"/>
    <cellStyle name="Normal 2 8 9 2 3" xfId="20546"/>
    <cellStyle name="Normal 2 8 9 2 4" xfId="20547"/>
    <cellStyle name="Normal 2 8 9 3" xfId="20548"/>
    <cellStyle name="Normal 2 8 9 4" xfId="20549"/>
    <cellStyle name="Normal 2 8 9 5" xfId="20550"/>
    <cellStyle name="Normal 2 9" xfId="20551"/>
    <cellStyle name="Normal 2 9 10" xfId="20552"/>
    <cellStyle name="Normal 2 9 10 2" xfId="20553"/>
    <cellStyle name="Normal 2 9 10 2 2" xfId="20554"/>
    <cellStyle name="Normal 2 9 10 2 3" xfId="20555"/>
    <cellStyle name="Normal 2 9 10 2 4" xfId="20556"/>
    <cellStyle name="Normal 2 9 10 3" xfId="20557"/>
    <cellStyle name="Normal 2 9 10 4" xfId="20558"/>
    <cellStyle name="Normal 2 9 10 5" xfId="20559"/>
    <cellStyle name="Normal 2 9 11" xfId="20560"/>
    <cellStyle name="Normal 2 9 11 2" xfId="20561"/>
    <cellStyle name="Normal 2 9 11 2 2" xfId="20562"/>
    <cellStyle name="Normal 2 9 11 2 3" xfId="20563"/>
    <cellStyle name="Normal 2 9 11 2 4" xfId="20564"/>
    <cellStyle name="Normal 2 9 11 3" xfId="20565"/>
    <cellStyle name="Normal 2 9 11 4" xfId="20566"/>
    <cellStyle name="Normal 2 9 11 5" xfId="20567"/>
    <cellStyle name="Normal 2 9 12" xfId="20568"/>
    <cellStyle name="Normal 2 9 12 2" xfId="20569"/>
    <cellStyle name="Normal 2 9 12 3" xfId="20570"/>
    <cellStyle name="Normal 2 9 12 4" xfId="20571"/>
    <cellStyle name="Normal 2 9 13" xfId="20572"/>
    <cellStyle name="Normal 2 9 13 2" xfId="20573"/>
    <cellStyle name="Normal 2 9 13 3" xfId="20574"/>
    <cellStyle name="Normal 2 9 13 4" xfId="20575"/>
    <cellStyle name="Normal 2 9 14" xfId="20576"/>
    <cellStyle name="Normal 2 9 15" xfId="20577"/>
    <cellStyle name="Normal 2 9 16" xfId="20578"/>
    <cellStyle name="Normal 2 9 17" xfId="20579"/>
    <cellStyle name="Normal 2 9 18" xfId="20580"/>
    <cellStyle name="Normal 2 9 19" xfId="20581"/>
    <cellStyle name="Normal 2 9 2" xfId="20582"/>
    <cellStyle name="Normal 2 9 2 10" xfId="20583"/>
    <cellStyle name="Normal 2 9 2 11" xfId="20584"/>
    <cellStyle name="Normal 2 9 2 12" xfId="20585"/>
    <cellStyle name="Normal 2 9 2 13" xfId="20586"/>
    <cellStyle name="Normal 2 9 2 14" xfId="20587"/>
    <cellStyle name="Normal 2 9 2 15" xfId="20588"/>
    <cellStyle name="Normal 2 9 2 2" xfId="20589"/>
    <cellStyle name="Normal 2 9 2 3" xfId="20590"/>
    <cellStyle name="Normal 2 9 2 3 2" xfId="20591"/>
    <cellStyle name="Normal 2 9 2 3 2 2" xfId="20592"/>
    <cellStyle name="Normal 2 9 2 3 2 2 2" xfId="20593"/>
    <cellStyle name="Normal 2 9 2 3 2 2 3" xfId="20594"/>
    <cellStyle name="Normal 2 9 2 3 2 2 4" xfId="20595"/>
    <cellStyle name="Normal 2 9 2 3 2 3" xfId="20596"/>
    <cellStyle name="Normal 2 9 2 3 2 4" xfId="20597"/>
    <cellStyle name="Normal 2 9 2 3 2 5" xfId="20598"/>
    <cellStyle name="Normal 2 9 2 3 3" xfId="20599"/>
    <cellStyle name="Normal 2 9 2 3 3 2" xfId="20600"/>
    <cellStyle name="Normal 2 9 2 3 3 3" xfId="20601"/>
    <cellStyle name="Normal 2 9 2 3 3 4" xfId="20602"/>
    <cellStyle name="Normal 2 9 2 3 4" xfId="20603"/>
    <cellStyle name="Normal 2 9 2 3 5" xfId="20604"/>
    <cellStyle name="Normal 2 9 2 3 6" xfId="20605"/>
    <cellStyle name="Normal 2 9 2 4" xfId="20606"/>
    <cellStyle name="Normal 2 9 2 4 2" xfId="20607"/>
    <cellStyle name="Normal 2 9 2 4 2 2" xfId="20608"/>
    <cellStyle name="Normal 2 9 2 4 2 2 2" xfId="20609"/>
    <cellStyle name="Normal 2 9 2 4 2 2 3" xfId="20610"/>
    <cellStyle name="Normal 2 9 2 4 2 2 4" xfId="20611"/>
    <cellStyle name="Normal 2 9 2 4 2 3" xfId="20612"/>
    <cellStyle name="Normal 2 9 2 4 2 4" xfId="20613"/>
    <cellStyle name="Normal 2 9 2 4 2 5" xfId="20614"/>
    <cellStyle name="Normal 2 9 2 4 3" xfId="20615"/>
    <cellStyle name="Normal 2 9 2 4 3 2" xfId="20616"/>
    <cellStyle name="Normal 2 9 2 4 3 3" xfId="20617"/>
    <cellStyle name="Normal 2 9 2 4 3 4" xfId="20618"/>
    <cellStyle name="Normal 2 9 2 4 4" xfId="20619"/>
    <cellStyle name="Normal 2 9 2 4 5" xfId="20620"/>
    <cellStyle name="Normal 2 9 2 4 6" xfId="20621"/>
    <cellStyle name="Normal 2 9 2 5" xfId="20622"/>
    <cellStyle name="Normal 2 9 2 5 2" xfId="20623"/>
    <cellStyle name="Normal 2 9 2 5 2 2" xfId="20624"/>
    <cellStyle name="Normal 2 9 2 5 2 3" xfId="20625"/>
    <cellStyle name="Normal 2 9 2 5 2 4" xfId="20626"/>
    <cellStyle name="Normal 2 9 2 5 3" xfId="20627"/>
    <cellStyle name="Normal 2 9 2 5 4" xfId="20628"/>
    <cellStyle name="Normal 2 9 2 5 5" xfId="20629"/>
    <cellStyle name="Normal 2 9 2 6" xfId="20630"/>
    <cellStyle name="Normal 2 9 2 6 2" xfId="20631"/>
    <cellStyle name="Normal 2 9 2 6 2 2" xfId="20632"/>
    <cellStyle name="Normal 2 9 2 6 2 3" xfId="20633"/>
    <cellStyle name="Normal 2 9 2 6 2 4" xfId="20634"/>
    <cellStyle name="Normal 2 9 2 6 3" xfId="20635"/>
    <cellStyle name="Normal 2 9 2 6 4" xfId="20636"/>
    <cellStyle name="Normal 2 9 2 6 5" xfId="20637"/>
    <cellStyle name="Normal 2 9 2 7" xfId="20638"/>
    <cellStyle name="Normal 2 9 2 7 2" xfId="20639"/>
    <cellStyle name="Normal 2 9 2 7 3" xfId="20640"/>
    <cellStyle name="Normal 2 9 2 7 4" xfId="20641"/>
    <cellStyle name="Normal 2 9 2 8" xfId="20642"/>
    <cellStyle name="Normal 2 9 2 8 2" xfId="20643"/>
    <cellStyle name="Normal 2 9 2 8 3" xfId="20644"/>
    <cellStyle name="Normal 2 9 2 8 4" xfId="20645"/>
    <cellStyle name="Normal 2 9 2 9" xfId="20646"/>
    <cellStyle name="Normal 2 9 20" xfId="20647"/>
    <cellStyle name="Normal 2 9 3" xfId="20648"/>
    <cellStyle name="Normal 2 9 3 10" xfId="20649"/>
    <cellStyle name="Normal 2 9 3 11" xfId="20650"/>
    <cellStyle name="Normal 2 9 3 12" xfId="20651"/>
    <cellStyle name="Normal 2 9 3 13" xfId="20652"/>
    <cellStyle name="Normal 2 9 3 14" xfId="20653"/>
    <cellStyle name="Normal 2 9 3 15" xfId="20654"/>
    <cellStyle name="Normal 2 9 3 2" xfId="20655"/>
    <cellStyle name="Normal 2 9 3 3" xfId="20656"/>
    <cellStyle name="Normal 2 9 3 3 2" xfId="20657"/>
    <cellStyle name="Normal 2 9 3 3 2 2" xfId="20658"/>
    <cellStyle name="Normal 2 9 3 3 2 2 2" xfId="20659"/>
    <cellStyle name="Normal 2 9 3 3 2 2 3" xfId="20660"/>
    <cellStyle name="Normal 2 9 3 3 2 2 4" xfId="20661"/>
    <cellStyle name="Normal 2 9 3 3 2 3" xfId="20662"/>
    <cellStyle name="Normal 2 9 3 3 2 4" xfId="20663"/>
    <cellStyle name="Normal 2 9 3 3 2 5" xfId="20664"/>
    <cellStyle name="Normal 2 9 3 3 3" xfId="20665"/>
    <cellStyle name="Normal 2 9 3 3 3 2" xfId="20666"/>
    <cellStyle name="Normal 2 9 3 3 3 3" xfId="20667"/>
    <cellStyle name="Normal 2 9 3 3 3 4" xfId="20668"/>
    <cellStyle name="Normal 2 9 3 3 4" xfId="20669"/>
    <cellStyle name="Normal 2 9 3 3 5" xfId="20670"/>
    <cellStyle name="Normal 2 9 3 3 6" xfId="20671"/>
    <cellStyle name="Normal 2 9 3 4" xfId="20672"/>
    <cellStyle name="Normal 2 9 3 4 2" xfId="20673"/>
    <cellStyle name="Normal 2 9 3 4 2 2" xfId="20674"/>
    <cellStyle name="Normal 2 9 3 4 2 2 2" xfId="20675"/>
    <cellStyle name="Normal 2 9 3 4 2 2 3" xfId="20676"/>
    <cellStyle name="Normal 2 9 3 4 2 2 4" xfId="20677"/>
    <cellStyle name="Normal 2 9 3 4 2 3" xfId="20678"/>
    <cellStyle name="Normal 2 9 3 4 2 4" xfId="20679"/>
    <cellStyle name="Normal 2 9 3 4 2 5" xfId="20680"/>
    <cellStyle name="Normal 2 9 3 4 3" xfId="20681"/>
    <cellStyle name="Normal 2 9 3 4 3 2" xfId="20682"/>
    <cellStyle name="Normal 2 9 3 4 3 3" xfId="20683"/>
    <cellStyle name="Normal 2 9 3 4 3 4" xfId="20684"/>
    <cellStyle name="Normal 2 9 3 4 4" xfId="20685"/>
    <cellStyle name="Normal 2 9 3 4 5" xfId="20686"/>
    <cellStyle name="Normal 2 9 3 4 6" xfId="20687"/>
    <cellStyle name="Normal 2 9 3 5" xfId="20688"/>
    <cellStyle name="Normal 2 9 3 5 2" xfId="20689"/>
    <cellStyle name="Normal 2 9 3 5 2 2" xfId="20690"/>
    <cellStyle name="Normal 2 9 3 5 2 3" xfId="20691"/>
    <cellStyle name="Normal 2 9 3 5 2 4" xfId="20692"/>
    <cellStyle name="Normal 2 9 3 5 3" xfId="20693"/>
    <cellStyle name="Normal 2 9 3 5 4" xfId="20694"/>
    <cellStyle name="Normal 2 9 3 5 5" xfId="20695"/>
    <cellStyle name="Normal 2 9 3 6" xfId="20696"/>
    <cellStyle name="Normal 2 9 3 6 2" xfId="20697"/>
    <cellStyle name="Normal 2 9 3 6 2 2" xfId="20698"/>
    <cellStyle name="Normal 2 9 3 6 2 3" xfId="20699"/>
    <cellStyle name="Normal 2 9 3 6 2 4" xfId="20700"/>
    <cellStyle name="Normal 2 9 3 6 3" xfId="20701"/>
    <cellStyle name="Normal 2 9 3 6 4" xfId="20702"/>
    <cellStyle name="Normal 2 9 3 6 5" xfId="20703"/>
    <cellStyle name="Normal 2 9 3 7" xfId="20704"/>
    <cellStyle name="Normal 2 9 3 7 2" xfId="20705"/>
    <cellStyle name="Normal 2 9 3 7 3" xfId="20706"/>
    <cellStyle name="Normal 2 9 3 7 4" xfId="20707"/>
    <cellStyle name="Normal 2 9 3 8" xfId="20708"/>
    <cellStyle name="Normal 2 9 3 8 2" xfId="20709"/>
    <cellStyle name="Normal 2 9 3 8 3" xfId="20710"/>
    <cellStyle name="Normal 2 9 3 8 4" xfId="20711"/>
    <cellStyle name="Normal 2 9 3 9" xfId="20712"/>
    <cellStyle name="Normal 2 9 4" xfId="20713"/>
    <cellStyle name="Normal 2 9 4 10" xfId="20714"/>
    <cellStyle name="Normal 2 9 4 11" xfId="20715"/>
    <cellStyle name="Normal 2 9 4 12" xfId="20716"/>
    <cellStyle name="Normal 2 9 4 13" xfId="20717"/>
    <cellStyle name="Normal 2 9 4 14" xfId="20718"/>
    <cellStyle name="Normal 2 9 4 2" xfId="20719"/>
    <cellStyle name="Normal 2 9 4 2 2" xfId="20720"/>
    <cellStyle name="Normal 2 9 4 2 2 2" xfId="20721"/>
    <cellStyle name="Normal 2 9 4 2 2 2 2" xfId="20722"/>
    <cellStyle name="Normal 2 9 4 2 2 2 3" xfId="20723"/>
    <cellStyle name="Normal 2 9 4 2 2 2 4" xfId="20724"/>
    <cellStyle name="Normal 2 9 4 2 2 3" xfId="20725"/>
    <cellStyle name="Normal 2 9 4 2 2 4" xfId="20726"/>
    <cellStyle name="Normal 2 9 4 2 2 5" xfId="20727"/>
    <cellStyle name="Normal 2 9 4 2 3" xfId="20728"/>
    <cellStyle name="Normal 2 9 4 2 3 2" xfId="20729"/>
    <cellStyle name="Normal 2 9 4 2 3 3" xfId="20730"/>
    <cellStyle name="Normal 2 9 4 2 3 4" xfId="20731"/>
    <cellStyle name="Normal 2 9 4 2 4" xfId="20732"/>
    <cellStyle name="Normal 2 9 4 2 5" xfId="20733"/>
    <cellStyle name="Normal 2 9 4 2 6" xfId="20734"/>
    <cellStyle name="Normal 2 9 4 3" xfId="20735"/>
    <cellStyle name="Normal 2 9 4 3 2" xfId="20736"/>
    <cellStyle name="Normal 2 9 4 3 2 2" xfId="20737"/>
    <cellStyle name="Normal 2 9 4 3 2 2 2" xfId="20738"/>
    <cellStyle name="Normal 2 9 4 3 2 2 3" xfId="20739"/>
    <cellStyle name="Normal 2 9 4 3 2 2 4" xfId="20740"/>
    <cellStyle name="Normal 2 9 4 3 2 3" xfId="20741"/>
    <cellStyle name="Normal 2 9 4 3 2 4" xfId="20742"/>
    <cellStyle name="Normal 2 9 4 3 2 5" xfId="20743"/>
    <cellStyle name="Normal 2 9 4 3 3" xfId="20744"/>
    <cellStyle name="Normal 2 9 4 3 3 2" xfId="20745"/>
    <cellStyle name="Normal 2 9 4 3 3 3" xfId="20746"/>
    <cellStyle name="Normal 2 9 4 3 3 4" xfId="20747"/>
    <cellStyle name="Normal 2 9 4 3 4" xfId="20748"/>
    <cellStyle name="Normal 2 9 4 3 5" xfId="20749"/>
    <cellStyle name="Normal 2 9 4 3 6" xfId="20750"/>
    <cellStyle name="Normal 2 9 4 4" xfId="20751"/>
    <cellStyle name="Normal 2 9 4 4 2" xfId="20752"/>
    <cellStyle name="Normal 2 9 4 4 2 2" xfId="20753"/>
    <cellStyle name="Normal 2 9 4 4 2 3" xfId="20754"/>
    <cellStyle name="Normal 2 9 4 4 2 4" xfId="20755"/>
    <cellStyle name="Normal 2 9 4 4 3" xfId="20756"/>
    <cellStyle name="Normal 2 9 4 4 4" xfId="20757"/>
    <cellStyle name="Normal 2 9 4 4 5" xfId="20758"/>
    <cellStyle name="Normal 2 9 4 5" xfId="20759"/>
    <cellStyle name="Normal 2 9 4 5 2" xfId="20760"/>
    <cellStyle name="Normal 2 9 4 5 2 2" xfId="20761"/>
    <cellStyle name="Normal 2 9 4 5 2 3" xfId="20762"/>
    <cellStyle name="Normal 2 9 4 5 2 4" xfId="20763"/>
    <cellStyle name="Normal 2 9 4 5 3" xfId="20764"/>
    <cellStyle name="Normal 2 9 4 5 4" xfId="20765"/>
    <cellStyle name="Normal 2 9 4 5 5" xfId="20766"/>
    <cellStyle name="Normal 2 9 4 6" xfId="20767"/>
    <cellStyle name="Normal 2 9 4 6 2" xfId="20768"/>
    <cellStyle name="Normal 2 9 4 6 3" xfId="20769"/>
    <cellStyle name="Normal 2 9 4 6 4" xfId="20770"/>
    <cellStyle name="Normal 2 9 4 7" xfId="20771"/>
    <cellStyle name="Normal 2 9 4 7 2" xfId="20772"/>
    <cellStyle name="Normal 2 9 4 7 3" xfId="20773"/>
    <cellStyle name="Normal 2 9 4 7 4" xfId="20774"/>
    <cellStyle name="Normal 2 9 4 8" xfId="20775"/>
    <cellStyle name="Normal 2 9 4 9" xfId="20776"/>
    <cellStyle name="Normal 2 9 5" xfId="20777"/>
    <cellStyle name="Normal 2 9 5 10" xfId="20778"/>
    <cellStyle name="Normal 2 9 5 11" xfId="20779"/>
    <cellStyle name="Normal 2 9 5 12" xfId="20780"/>
    <cellStyle name="Normal 2 9 5 13" xfId="20781"/>
    <cellStyle name="Normal 2 9 5 14" xfId="20782"/>
    <cellStyle name="Normal 2 9 5 2" xfId="20783"/>
    <cellStyle name="Normal 2 9 5 2 2" xfId="20784"/>
    <cellStyle name="Normal 2 9 5 2 2 2" xfId="20785"/>
    <cellStyle name="Normal 2 9 5 2 2 2 2" xfId="20786"/>
    <cellStyle name="Normal 2 9 5 2 2 2 3" xfId="20787"/>
    <cellStyle name="Normal 2 9 5 2 2 2 4" xfId="20788"/>
    <cellStyle name="Normal 2 9 5 2 2 3" xfId="20789"/>
    <cellStyle name="Normal 2 9 5 2 2 4" xfId="20790"/>
    <cellStyle name="Normal 2 9 5 2 2 5" xfId="20791"/>
    <cellStyle name="Normal 2 9 5 2 3" xfId="20792"/>
    <cellStyle name="Normal 2 9 5 2 3 2" xfId="20793"/>
    <cellStyle name="Normal 2 9 5 2 3 3" xfId="20794"/>
    <cellStyle name="Normal 2 9 5 2 3 4" xfId="20795"/>
    <cellStyle name="Normal 2 9 5 2 4" xfId="20796"/>
    <cellStyle name="Normal 2 9 5 2 5" xfId="20797"/>
    <cellStyle name="Normal 2 9 5 2 6" xfId="20798"/>
    <cellStyle name="Normal 2 9 5 3" xfId="20799"/>
    <cellStyle name="Normal 2 9 5 3 2" xfId="20800"/>
    <cellStyle name="Normal 2 9 5 3 2 2" xfId="20801"/>
    <cellStyle name="Normal 2 9 5 3 2 2 2" xfId="20802"/>
    <cellStyle name="Normal 2 9 5 3 2 2 3" xfId="20803"/>
    <cellStyle name="Normal 2 9 5 3 2 2 4" xfId="20804"/>
    <cellStyle name="Normal 2 9 5 3 2 3" xfId="20805"/>
    <cellStyle name="Normal 2 9 5 3 2 4" xfId="20806"/>
    <cellStyle name="Normal 2 9 5 3 2 5" xfId="20807"/>
    <cellStyle name="Normal 2 9 5 3 3" xfId="20808"/>
    <cellStyle name="Normal 2 9 5 3 3 2" xfId="20809"/>
    <cellStyle name="Normal 2 9 5 3 3 3" xfId="20810"/>
    <cellStyle name="Normal 2 9 5 3 3 4" xfId="20811"/>
    <cellStyle name="Normal 2 9 5 3 4" xfId="20812"/>
    <cellStyle name="Normal 2 9 5 3 5" xfId="20813"/>
    <cellStyle name="Normal 2 9 5 3 6" xfId="20814"/>
    <cellStyle name="Normal 2 9 5 4" xfId="20815"/>
    <cellStyle name="Normal 2 9 5 4 2" xfId="20816"/>
    <cellStyle name="Normal 2 9 5 4 2 2" xfId="20817"/>
    <cellStyle name="Normal 2 9 5 4 2 3" xfId="20818"/>
    <cellStyle name="Normal 2 9 5 4 2 4" xfId="20819"/>
    <cellStyle name="Normal 2 9 5 4 3" xfId="20820"/>
    <cellStyle name="Normal 2 9 5 4 4" xfId="20821"/>
    <cellStyle name="Normal 2 9 5 4 5" xfId="20822"/>
    <cellStyle name="Normal 2 9 5 5" xfId="20823"/>
    <cellStyle name="Normal 2 9 5 5 2" xfId="20824"/>
    <cellStyle name="Normal 2 9 5 5 2 2" xfId="20825"/>
    <cellStyle name="Normal 2 9 5 5 2 3" xfId="20826"/>
    <cellStyle name="Normal 2 9 5 5 2 4" xfId="20827"/>
    <cellStyle name="Normal 2 9 5 5 3" xfId="20828"/>
    <cellStyle name="Normal 2 9 5 5 4" xfId="20829"/>
    <cellStyle name="Normal 2 9 5 5 5" xfId="20830"/>
    <cellStyle name="Normal 2 9 5 6" xfId="20831"/>
    <cellStyle name="Normal 2 9 5 6 2" xfId="20832"/>
    <cellStyle name="Normal 2 9 5 6 3" xfId="20833"/>
    <cellStyle name="Normal 2 9 5 6 4" xfId="20834"/>
    <cellStyle name="Normal 2 9 5 7" xfId="20835"/>
    <cellStyle name="Normal 2 9 5 7 2" xfId="20836"/>
    <cellStyle name="Normal 2 9 5 7 3" xfId="20837"/>
    <cellStyle name="Normal 2 9 5 7 4" xfId="20838"/>
    <cellStyle name="Normal 2 9 5 8" xfId="20839"/>
    <cellStyle name="Normal 2 9 5 9" xfId="20840"/>
    <cellStyle name="Normal 2 9 6" xfId="20841"/>
    <cellStyle name="Normal 2 9 6 2" xfId="20842"/>
    <cellStyle name="Normal 2 9 6 3" xfId="20843"/>
    <cellStyle name="Normal 2 9 6 4" xfId="20844"/>
    <cellStyle name="Normal 2 9 6 5" xfId="20845"/>
    <cellStyle name="Normal 2 9 6 6" xfId="20846"/>
    <cellStyle name="Normal 2 9 7" xfId="20847"/>
    <cellStyle name="Normal 2 9 7 10" xfId="20848"/>
    <cellStyle name="Normal 2 9 7 2" xfId="20849"/>
    <cellStyle name="Normal 2 9 7 2 2" xfId="20850"/>
    <cellStyle name="Normal 2 9 7 2 2 2" xfId="20851"/>
    <cellStyle name="Normal 2 9 7 2 2 3" xfId="20852"/>
    <cellStyle name="Normal 2 9 7 2 2 4" xfId="20853"/>
    <cellStyle name="Normal 2 9 7 2 3" xfId="20854"/>
    <cellStyle name="Normal 2 9 7 2 4" xfId="20855"/>
    <cellStyle name="Normal 2 9 7 2 5" xfId="20856"/>
    <cellStyle name="Normal 2 9 7 3" xfId="20857"/>
    <cellStyle name="Normal 2 9 7 3 2" xfId="20858"/>
    <cellStyle name="Normal 2 9 7 3 3" xfId="20859"/>
    <cellStyle name="Normal 2 9 7 3 4" xfId="20860"/>
    <cellStyle name="Normal 2 9 7 4" xfId="20861"/>
    <cellStyle name="Normal 2 9 7 5" xfId="20862"/>
    <cellStyle name="Normal 2 9 7 6" xfId="20863"/>
    <cellStyle name="Normal 2 9 7 7" xfId="20864"/>
    <cellStyle name="Normal 2 9 7 8" xfId="20865"/>
    <cellStyle name="Normal 2 9 7 9" xfId="20866"/>
    <cellStyle name="Normal 2 9 8" xfId="20867"/>
    <cellStyle name="Normal 2 9 8 10" xfId="20868"/>
    <cellStyle name="Normal 2 9 8 2" xfId="20869"/>
    <cellStyle name="Normal 2 9 8 2 2 2" xfId="20870"/>
    <cellStyle name="Normal 2 9 8 2 2 3" xfId="20871"/>
    <cellStyle name="Normal 2 9 8 2 2 3 2" xfId="20872"/>
    <cellStyle name="Normal 2 9 8 2 2 4" xfId="20873"/>
    <cellStyle name="Normal 2 9 8 2 3" xfId="20874"/>
    <cellStyle name="Normal 2 9 8 2 4" xfId="20875"/>
    <cellStyle name="Normal 2 9 8 2 5" xfId="20876"/>
    <cellStyle name="Normal 2 9 8 3" xfId="20877"/>
    <cellStyle name="Normal 2 9 8 3 2" xfId="20878"/>
    <cellStyle name="Normal 2 9 8 3 3" xfId="20879"/>
    <cellStyle name="Normal 2 9 8 3 4" xfId="20880"/>
    <cellStyle name="Normal 2 9 8 4" xfId="20881"/>
    <cellStyle name="Normal 2 9 8 5" xfId="20882"/>
    <cellStyle name="Normal 2 9 8 6" xfId="20883"/>
    <cellStyle name="Normal 2 9 8 7" xfId="20884"/>
    <cellStyle name="Normal 2 9 8 8" xfId="20885"/>
    <cellStyle name="Normal 2 9 8 9" xfId="20886"/>
    <cellStyle name="Normal 2 9 9" xfId="20887"/>
    <cellStyle name="Normal 2 9 9 2" xfId="20888"/>
    <cellStyle name="Normal 2 9 9 2 2" xfId="20889"/>
    <cellStyle name="Normal 2 9 9 3 4" xfId="20890"/>
    <cellStyle name="Normal 2 9 9 6" xfId="20891"/>
    <cellStyle name="Normal 2_9_Compare DtBASE_Sept'10 Nasional" xfId="20892"/>
    <cellStyle name="Normal 20" xfId="20893"/>
    <cellStyle name="Normal 20 10" xfId="20894"/>
    <cellStyle name="Normal 20 11" xfId="20895"/>
    <cellStyle name="Normal 20 12" xfId="20896"/>
    <cellStyle name="Normal 20 12 2" xfId="20897"/>
    <cellStyle name="Normal 20 13" xfId="20898"/>
    <cellStyle name="Normal 20 13 2" xfId="20899"/>
    <cellStyle name="Normal 20 14" xfId="20900"/>
    <cellStyle name="Normal 20 14 2" xfId="20901"/>
    <cellStyle name="Normal 20 15" xfId="20902"/>
    <cellStyle name="Normal 20 15 2" xfId="20903"/>
    <cellStyle name="Normal 20 2" xfId="20904"/>
    <cellStyle name="Normal 20 2 10" xfId="20905"/>
    <cellStyle name="Normal 20 2 10 2" xfId="20906"/>
    <cellStyle name="Normal 20 2 2" xfId="20907"/>
    <cellStyle name="Normal 20 2 2 2" xfId="20908"/>
    <cellStyle name="Normal 20 2 2 2 2" xfId="20909"/>
    <cellStyle name="Normal 20 2 2 2 3" xfId="20910"/>
    <cellStyle name="Normal 20 2 2 2 4" xfId="20911"/>
    <cellStyle name="Normal 20 2 2 3" xfId="20912"/>
    <cellStyle name="Normal 20 2 2 4" xfId="20913"/>
    <cellStyle name="Normal 20 2 2 5" xfId="20914"/>
    <cellStyle name="Normal 20 2 3" xfId="20915"/>
    <cellStyle name="Normal 20 2 3 2" xfId="20916"/>
    <cellStyle name="Normal 20 2 3 3" xfId="20917"/>
    <cellStyle name="Normal 20 2 3 4" xfId="20918"/>
    <cellStyle name="Normal 20 2 4" xfId="20919"/>
    <cellStyle name="Normal 20 2 5" xfId="20920"/>
    <cellStyle name="Normal 20 2 6" xfId="20921"/>
    <cellStyle name="Normal 20 2 7" xfId="20922"/>
    <cellStyle name="Normal 20 2 7 2" xfId="20923"/>
    <cellStyle name="Normal 20 2 8" xfId="20924"/>
    <cellStyle name="Normal 20 2 8 2" xfId="20925"/>
    <cellStyle name="Normal 20 2 9" xfId="20926"/>
    <cellStyle name="Normal 20 2 9 2" xfId="20927"/>
    <cellStyle name="Normal 20 3" xfId="20928"/>
    <cellStyle name="Normal 20 3 10" xfId="20929"/>
    <cellStyle name="Normal 20 3 10 2" xfId="20930"/>
    <cellStyle name="Normal 20 3 2" xfId="20931"/>
    <cellStyle name="Normal 20 3 2 2" xfId="20932"/>
    <cellStyle name="Normal 20 3 2 2 2" xfId="20933"/>
    <cellStyle name="Normal 20 3 2 2 3" xfId="20934"/>
    <cellStyle name="Normal 20 3 2 2 4" xfId="20935"/>
    <cellStyle name="Normal 20 3 2 3" xfId="20936"/>
    <cellStyle name="Normal 20 3 2 4" xfId="20937"/>
    <cellStyle name="Normal 20 3 2 5" xfId="20938"/>
    <cellStyle name="Normal 20 3 3" xfId="20939"/>
    <cellStyle name="Normal 20 3 3 2" xfId="20940"/>
    <cellStyle name="Normal 20 3 3 3" xfId="20941"/>
    <cellStyle name="Normal 20 3 3 4" xfId="20942"/>
    <cellStyle name="Normal 20 3 4" xfId="20943"/>
    <cellStyle name="Normal 20 3 5" xfId="20944"/>
    <cellStyle name="Normal 20 3 6" xfId="20945"/>
    <cellStyle name="Normal 20 3 7" xfId="20946"/>
    <cellStyle name="Normal 20 3 7 2" xfId="20947"/>
    <cellStyle name="Normal 20 3 7 3" xfId="20948"/>
    <cellStyle name="Normal 20 3 8" xfId="20949"/>
    <cellStyle name="Normal 20 3 8 2" xfId="20950"/>
    <cellStyle name="Normal 20 3 8 3" xfId="20951"/>
    <cellStyle name="Normal 20 3 9" xfId="20952"/>
    <cellStyle name="Normal 20 3 9 2" xfId="20953"/>
    <cellStyle name="Normal 20 3 9 3" xfId="20954"/>
    <cellStyle name="Normal 20 4" xfId="20955"/>
    <cellStyle name="Normal 20 4 2" xfId="20956"/>
    <cellStyle name="Normal 20 4 2 2" xfId="20957"/>
    <cellStyle name="Normal 20 4 2 3" xfId="20958"/>
    <cellStyle name="Normal 20 4 2 4" xfId="20959"/>
    <cellStyle name="Normal 20 4 3" xfId="20960"/>
    <cellStyle name="Normal 20 4 4" xfId="20961"/>
    <cellStyle name="Normal 20 4 5" xfId="20962"/>
    <cellStyle name="Normal 20 5" xfId="20963"/>
    <cellStyle name="Normal 20 5 2" xfId="20964"/>
    <cellStyle name="Normal 20 5 2 2" xfId="20965"/>
    <cellStyle name="Normal 20 5 2 3" xfId="20966"/>
    <cellStyle name="Normal 20 5 2 4" xfId="20967"/>
    <cellStyle name="Normal 20 5 3" xfId="20968"/>
    <cellStyle name="Normal 20 5 4" xfId="20969"/>
    <cellStyle name="Normal 20 5 5" xfId="20970"/>
    <cellStyle name="Normal 20 6" xfId="20971"/>
    <cellStyle name="Normal 20 6 2" xfId="20972"/>
    <cellStyle name="Normal 20 6 3" xfId="20973"/>
    <cellStyle name="Normal 20 6 4" xfId="20974"/>
    <cellStyle name="Normal 20 7" xfId="20975"/>
    <cellStyle name="Normal 20 7 2" xfId="20976"/>
    <cellStyle name="Normal 20 7 3" xfId="20977"/>
    <cellStyle name="Normal 20 7 4" xfId="20978"/>
    <cellStyle name="Normal 20 8" xfId="20979"/>
    <cellStyle name="Normal 20 8 2" xfId="20980"/>
    <cellStyle name="Normal 20 8 3" xfId="20981"/>
    <cellStyle name="Normal 20 8 4" xfId="20982"/>
    <cellStyle name="Normal 20 9" xfId="20983"/>
    <cellStyle name="Normal 200" xfId="20984"/>
    <cellStyle name="Normal 201" xfId="20985"/>
    <cellStyle name="Normal 202" xfId="20986"/>
    <cellStyle name="Normal 203" xfId="20987"/>
    <cellStyle name="Normal 204" xfId="20988"/>
    <cellStyle name="Normal 205" xfId="20989"/>
    <cellStyle name="Normal 206" xfId="20990"/>
    <cellStyle name="Normal 207" xfId="20991"/>
    <cellStyle name="Normal 208" xfId="20992"/>
    <cellStyle name="Normal 209" xfId="20993"/>
    <cellStyle name="Normal 21" xfId="20994"/>
    <cellStyle name="Normal 21 10" xfId="20995"/>
    <cellStyle name="Normal 21 11" xfId="20996"/>
    <cellStyle name="Normal 21 12" xfId="20997"/>
    <cellStyle name="Normal 21 13" xfId="20998"/>
    <cellStyle name="Normal 21 14" xfId="20999"/>
    <cellStyle name="Normal 21 15" xfId="21000"/>
    <cellStyle name="Normal 21 2" xfId="21001"/>
    <cellStyle name="Normal 21 2 2" xfId="21002"/>
    <cellStyle name="Normal 21 2 2 2" xfId="21003"/>
    <cellStyle name="Normal 21 2 2 2 2" xfId="21004"/>
    <cellStyle name="Normal 21 2 2 2 3" xfId="21005"/>
    <cellStyle name="Normal 21 2 2 2 4" xfId="21006"/>
    <cellStyle name="Normal 21 2 2 3" xfId="21007"/>
    <cellStyle name="Normal 21 2 2 4" xfId="21008"/>
    <cellStyle name="Normal 21 2 2 5" xfId="21009"/>
    <cellStyle name="Normal 21 2 3" xfId="21010"/>
    <cellStyle name="Normal 21 2 3 2" xfId="21011"/>
    <cellStyle name="Normal 21 2 3 3" xfId="21012"/>
    <cellStyle name="Normal 21 2 3 4" xfId="21013"/>
    <cellStyle name="Normal 21 2 4" xfId="21014"/>
    <cellStyle name="Normal 21 2 5" xfId="21015"/>
    <cellStyle name="Normal 21 2 6" xfId="21016"/>
    <cellStyle name="Normal 21 3" xfId="21017"/>
    <cellStyle name="Normal 21 3 2" xfId="21018"/>
    <cellStyle name="Normal 21 3 2 2" xfId="21019"/>
    <cellStyle name="Normal 21 3 2 2 2" xfId="21020"/>
    <cellStyle name="Normal 21 3 2 2 3" xfId="21021"/>
    <cellStyle name="Normal 21 3 2 2 4" xfId="21022"/>
    <cellStyle name="Normal 21 3 2 3" xfId="21023"/>
    <cellStyle name="Normal 21 3 2 4" xfId="21024"/>
    <cellStyle name="Normal 21 3 2 5" xfId="21025"/>
    <cellStyle name="Normal 21 3 3" xfId="21026"/>
    <cellStyle name="Normal 21 3 3 2" xfId="21027"/>
    <cellStyle name="Normal 21 3 3 3" xfId="21028"/>
    <cellStyle name="Normal 21 3 3 4" xfId="21029"/>
    <cellStyle name="Normal 21 3 4" xfId="21030"/>
    <cellStyle name="Normal 21 3 5" xfId="21031"/>
    <cellStyle name="Normal 21 3 6" xfId="21032"/>
    <cellStyle name="Normal 21 4" xfId="21033"/>
    <cellStyle name="Normal 21 4 2" xfId="21034"/>
    <cellStyle name="Normal 21 4 2 2" xfId="21035"/>
    <cellStyle name="Normal 21 4 2 3" xfId="21036"/>
    <cellStyle name="Normal 21 4 2 4" xfId="21037"/>
    <cellStyle name="Normal 21 4 3" xfId="21038"/>
    <cellStyle name="Normal 21 4 4" xfId="21039"/>
    <cellStyle name="Normal 21 4 5" xfId="21040"/>
    <cellStyle name="Normal 21 5" xfId="21041"/>
    <cellStyle name="Normal 21 5 2" xfId="21042"/>
    <cellStyle name="Normal 21 5 2 2" xfId="21043"/>
    <cellStyle name="Normal 21 5 2 3" xfId="21044"/>
    <cellStyle name="Normal 21 5 2 4" xfId="21045"/>
    <cellStyle name="Normal 21 5 3" xfId="21046"/>
    <cellStyle name="Normal 21 5 4" xfId="21047"/>
    <cellStyle name="Normal 21 5 5" xfId="21048"/>
    <cellStyle name="Normal 21 6" xfId="21049"/>
    <cellStyle name="Normal 21 6 2" xfId="21050"/>
    <cellStyle name="Normal 21 6 3" xfId="21051"/>
    <cellStyle name="Normal 21 6 4" xfId="21052"/>
    <cellStyle name="Normal 21 7" xfId="21053"/>
    <cellStyle name="Normal 21 7 2" xfId="21054"/>
    <cellStyle name="Normal 21 7 3" xfId="21055"/>
    <cellStyle name="Normal 21 7 4" xfId="21056"/>
    <cellStyle name="Normal 21 8" xfId="21057"/>
    <cellStyle name="Normal 21 8 2" xfId="21058"/>
    <cellStyle name="Normal 21 8 3" xfId="21059"/>
    <cellStyle name="Normal 21 8 4" xfId="21060"/>
    <cellStyle name="Normal 21 9" xfId="21061"/>
    <cellStyle name="Normal 210" xfId="21062"/>
    <cellStyle name="Normal 211" xfId="21063"/>
    <cellStyle name="Normal 212" xfId="21064"/>
    <cellStyle name="Normal 213" xfId="21065"/>
    <cellStyle name="Normal 214" xfId="21066"/>
    <cellStyle name="Normal 215" xfId="21067"/>
    <cellStyle name="Normal 216" xfId="21068"/>
    <cellStyle name="Normal 217" xfId="21069"/>
    <cellStyle name="Normal 218" xfId="21070"/>
    <cellStyle name="Normal 219" xfId="21071"/>
    <cellStyle name="Normal 22" xfId="21072"/>
    <cellStyle name="Normal 22 10" xfId="21073"/>
    <cellStyle name="Normal 22 11" xfId="21074"/>
    <cellStyle name="Normal 22 12" xfId="21075"/>
    <cellStyle name="Normal 22 13" xfId="21076"/>
    <cellStyle name="Normal 22 14" xfId="21077"/>
    <cellStyle name="Normal 22 15" xfId="21078"/>
    <cellStyle name="Normal 22 2" xfId="21079"/>
    <cellStyle name="Normal 22 2 10" xfId="21080"/>
    <cellStyle name="Normal 22 2 10 2" xfId="21081"/>
    <cellStyle name="Normal 22 2 2" xfId="21082"/>
    <cellStyle name="Normal 22 2 2 10" xfId="21083"/>
    <cellStyle name="Normal 22 2 2 2" xfId="21084"/>
    <cellStyle name="Normal 22 2 2 2 2" xfId="21085"/>
    <cellStyle name="Normal 22 2 2 2 3" xfId="21086"/>
    <cellStyle name="Normal 22 2 2 2 4" xfId="21087"/>
    <cellStyle name="Normal 22 2 2 3" xfId="21088"/>
    <cellStyle name="Normal 22 2 2 4" xfId="21089"/>
    <cellStyle name="Normal 22 2 2 5" xfId="21090"/>
    <cellStyle name="Normal 22 2 2 6" xfId="21091"/>
    <cellStyle name="Normal 22 2 2 6 2" xfId="21092"/>
    <cellStyle name="Normal 22 2 2 7" xfId="21093"/>
    <cellStyle name="Normal 22 2 2 7 2" xfId="21094"/>
    <cellStyle name="Normal 22 2 2 8" xfId="21095"/>
    <cellStyle name="Normal 22 2 2 8 2" xfId="21096"/>
    <cellStyle name="Normal 22 2 2 9" xfId="21097"/>
    <cellStyle name="Normal 22 2 2 9 2" xfId="21098"/>
    <cellStyle name="Normal 22 2 3" xfId="21099"/>
    <cellStyle name="Normal 22 2 3 2" xfId="21100"/>
    <cellStyle name="Normal 22 2 3 3" xfId="21101"/>
    <cellStyle name="Normal 22 2 3 4" xfId="21102"/>
    <cellStyle name="Normal 22 2 4" xfId="21103"/>
    <cellStyle name="Normal 22 2 5" xfId="21104"/>
    <cellStyle name="Normal 22 2 6" xfId="21105"/>
    <cellStyle name="Normal 22 2 7" xfId="21106"/>
    <cellStyle name="Normal 22 2 7 2" xfId="21107"/>
    <cellStyle name="Normal 22 2 8" xfId="21108"/>
    <cellStyle name="Normal 22 2 8 2" xfId="21109"/>
    <cellStyle name="Normal 22 2 8 3" xfId="21110"/>
    <cellStyle name="Normal 22 2 9" xfId="21111"/>
    <cellStyle name="Normal 22 2 9 2" xfId="21112"/>
    <cellStyle name="Normal 22 2 9 3" xfId="21113"/>
    <cellStyle name="Normal 22 3" xfId="21114"/>
    <cellStyle name="Normal 22 3 2" xfId="21115"/>
    <cellStyle name="Normal 22 3 2 2" xfId="21116"/>
    <cellStyle name="Normal 22 3 2 2 2" xfId="21117"/>
    <cellStyle name="Normal 22 3 2 2 3" xfId="21118"/>
    <cellStyle name="Normal 22 3 2 2 4" xfId="21119"/>
    <cellStyle name="Normal 22 3 2 3" xfId="21120"/>
    <cellStyle name="Normal 22 3 2 4" xfId="21121"/>
    <cellStyle name="Normal 22 3 2 5" xfId="21122"/>
    <cellStyle name="Normal 22 3 3" xfId="21123"/>
    <cellStyle name="Normal 22 3 3 2" xfId="21124"/>
    <cellStyle name="Normal 22 3 3 3" xfId="21125"/>
    <cellStyle name="Normal 22 3 3 4" xfId="21126"/>
    <cellStyle name="Normal 22 3 4" xfId="21127"/>
    <cellStyle name="Normal 22 3 5" xfId="21128"/>
    <cellStyle name="Normal 22 3 6" xfId="21129"/>
    <cellStyle name="Normal 22 4" xfId="21130"/>
    <cellStyle name="Normal 22 4 2" xfId="21131"/>
    <cellStyle name="Normal 22 4 2 2" xfId="21132"/>
    <cellStyle name="Normal 22 4 2 3" xfId="21133"/>
    <cellStyle name="Normal 22 4 2 4" xfId="21134"/>
    <cellStyle name="Normal 22 4 3" xfId="21135"/>
    <cellStyle name="Normal 22 4 4" xfId="21136"/>
    <cellStyle name="Normal 22 4 5" xfId="21137"/>
    <cellStyle name="Normal 22 5" xfId="21138"/>
    <cellStyle name="Normal 22 5 2" xfId="21139"/>
    <cellStyle name="Normal 22 5 2 2" xfId="21140"/>
    <cellStyle name="Normal 22 5 2 3" xfId="21141"/>
    <cellStyle name="Normal 22 5 2 4" xfId="21142"/>
    <cellStyle name="Normal 22 5 3" xfId="21143"/>
    <cellStyle name="Normal 22 5 4" xfId="21144"/>
    <cellStyle name="Normal 22 5 5" xfId="21145"/>
    <cellStyle name="Normal 22 6" xfId="21146"/>
    <cellStyle name="Normal 22 6 2" xfId="21147"/>
    <cellStyle name="Normal 22 6 3" xfId="21148"/>
    <cellStyle name="Normal 22 6 4" xfId="21149"/>
    <cellStyle name="Normal 22 7" xfId="21150"/>
    <cellStyle name="Normal 22 7 2" xfId="21151"/>
    <cellStyle name="Normal 22 7 3" xfId="21152"/>
    <cellStyle name="Normal 22 7 4" xfId="21153"/>
    <cellStyle name="Normal 22 8" xfId="21154"/>
    <cellStyle name="Normal 22 8 2" xfId="21155"/>
    <cellStyle name="Normal 22 8 3" xfId="21156"/>
    <cellStyle name="Normal 22 8 4" xfId="21157"/>
    <cellStyle name="Normal 22 9" xfId="21158"/>
    <cellStyle name="Normal 220" xfId="21159"/>
    <cellStyle name="Normal 221" xfId="21160"/>
    <cellStyle name="Normal 222" xfId="21161"/>
    <cellStyle name="Normal 223" xfId="21162"/>
    <cellStyle name="Normal 224" xfId="21163"/>
    <cellStyle name="Normal 225" xfId="21164"/>
    <cellStyle name="Normal 226" xfId="21165"/>
    <cellStyle name="Normal 227" xfId="21166"/>
    <cellStyle name="Normal 228" xfId="21167"/>
    <cellStyle name="Normal 229" xfId="21168"/>
    <cellStyle name="Normal 23" xfId="21169"/>
    <cellStyle name="Normal 23 10" xfId="21170"/>
    <cellStyle name="Normal 23 11" xfId="21171"/>
    <cellStyle name="Normal 23 12" xfId="21172"/>
    <cellStyle name="Normal 23 13" xfId="21173"/>
    <cellStyle name="Normal 23 14" xfId="21174"/>
    <cellStyle name="Normal 23 15" xfId="21175"/>
    <cellStyle name="Normal 23 2" xfId="21176"/>
    <cellStyle name="Normal 23 2 10" xfId="21177"/>
    <cellStyle name="Normal 23 2 11" xfId="21178"/>
    <cellStyle name="Normal 23 2 2" xfId="21179"/>
    <cellStyle name="Normal 23 2 2 2" xfId="21180"/>
    <cellStyle name="Normal 23 2 2 2 2" xfId="21181"/>
    <cellStyle name="Normal 23 2 2 2 3" xfId="21182"/>
    <cellStyle name="Normal 23 2 2 2 4" xfId="21183"/>
    <cellStyle name="Normal 23 2 2 3" xfId="21184"/>
    <cellStyle name="Normal 23 2 2 4" xfId="21185"/>
    <cellStyle name="Normal 23 2 2 5" xfId="21186"/>
    <cellStyle name="Normal 23 2 3" xfId="21187"/>
    <cellStyle name="Normal 23 2 3 2" xfId="21188"/>
    <cellStyle name="Normal 23 2 3 3" xfId="21189"/>
    <cellStyle name="Normal 23 2 3 4" xfId="21190"/>
    <cellStyle name="Normal 23 2 4" xfId="21191"/>
    <cellStyle name="Normal 23 2 5" xfId="21192"/>
    <cellStyle name="Normal 23 2 6" xfId="21193"/>
    <cellStyle name="Normal 23 2 7" xfId="21194"/>
    <cellStyle name="Normal 23 2 8" xfId="21195"/>
    <cellStyle name="Normal 23 2 9" xfId="21196"/>
    <cellStyle name="Normal 23 3" xfId="21197"/>
    <cellStyle name="Normal 23 3 2" xfId="21198"/>
    <cellStyle name="Normal 23 3 2 2" xfId="21199"/>
    <cellStyle name="Normal 23 3 2 2 2" xfId="21200"/>
    <cellStyle name="Normal 23 3 2 2 3" xfId="21201"/>
    <cellStyle name="Normal 23 3 2 2 4" xfId="21202"/>
    <cellStyle name="Normal 23 3 2 3" xfId="21203"/>
    <cellStyle name="Normal 23 3 2 4" xfId="21204"/>
    <cellStyle name="Normal 23 3 2 5" xfId="21205"/>
    <cellStyle name="Normal 23 3 3" xfId="21206"/>
    <cellStyle name="Normal 23 3 3 2" xfId="21207"/>
    <cellStyle name="Normal 23 3 3 3" xfId="21208"/>
    <cellStyle name="Normal 23 3 3 4" xfId="21209"/>
    <cellStyle name="Normal 23 3 4" xfId="21210"/>
    <cellStyle name="Normal 23 3 5" xfId="21211"/>
    <cellStyle name="Normal 23 3 6" xfId="21212"/>
    <cellStyle name="Normal 23 4" xfId="21213"/>
    <cellStyle name="Normal 23 4 2" xfId="21214"/>
    <cellStyle name="Normal 23 4 2 2" xfId="21215"/>
    <cellStyle name="Normal 23 4 2 3" xfId="21216"/>
    <cellStyle name="Normal 23 4 2 4" xfId="21217"/>
    <cellStyle name="Normal 23 4 3" xfId="21218"/>
    <cellStyle name="Normal 23 4 4" xfId="21219"/>
    <cellStyle name="Normal 23 4 5" xfId="21220"/>
    <cellStyle name="Normal 23 5" xfId="21221"/>
    <cellStyle name="Normal 23 5 2" xfId="21222"/>
    <cellStyle name="Normal 23 5 2 2" xfId="21223"/>
    <cellStyle name="Normal 23 5 2 3" xfId="21224"/>
    <cellStyle name="Normal 23 5 2 4" xfId="21225"/>
    <cellStyle name="Normal 23 5 3" xfId="21226"/>
    <cellStyle name="Normal 23 5 4" xfId="21227"/>
    <cellStyle name="Normal 23 5 5" xfId="21228"/>
    <cellStyle name="Normal 23 6" xfId="21229"/>
    <cellStyle name="Normal 23 6 2" xfId="21230"/>
    <cellStyle name="Normal 23 6 3" xfId="21231"/>
    <cellStyle name="Normal 23 6 4" xfId="21232"/>
    <cellStyle name="Normal 23 7" xfId="21233"/>
    <cellStyle name="Normal 23 7 2" xfId="21234"/>
    <cellStyle name="Normal 23 7 3" xfId="21235"/>
    <cellStyle name="Normal 23 7 4" xfId="21236"/>
    <cellStyle name="Normal 23 8" xfId="21237"/>
    <cellStyle name="Normal 23 8 2" xfId="21238"/>
    <cellStyle name="Normal 23 8 3" xfId="21239"/>
    <cellStyle name="Normal 23 8 4" xfId="21240"/>
    <cellStyle name="Normal 23 9" xfId="21241"/>
    <cellStyle name="Normal 230" xfId="21242"/>
    <cellStyle name="Normal 231" xfId="21243"/>
    <cellStyle name="Normal 232" xfId="21244"/>
    <cellStyle name="Normal 233" xfId="21245"/>
    <cellStyle name="Normal 234" xfId="21246"/>
    <cellStyle name="Normal 235" xfId="21247"/>
    <cellStyle name="Normal 236" xfId="21248"/>
    <cellStyle name="Normal 237" xfId="21249"/>
    <cellStyle name="Normal 238" xfId="21250"/>
    <cellStyle name="Normal 239" xfId="21251"/>
    <cellStyle name="Normal 24" xfId="21252"/>
    <cellStyle name="Normal 24 10" xfId="21253"/>
    <cellStyle name="Normal 24 11" xfId="21254"/>
    <cellStyle name="Normal 24 12" xfId="21255"/>
    <cellStyle name="Normal 24 13" xfId="21256"/>
    <cellStyle name="Normal 24 14" xfId="21257"/>
    <cellStyle name="Normal 24 15" xfId="21258"/>
    <cellStyle name="Normal 24 2" xfId="21259"/>
    <cellStyle name="Normal 24 2 10" xfId="21260"/>
    <cellStyle name="Normal 24 2 10 2" xfId="21261"/>
    <cellStyle name="Normal 24 2 11" xfId="21262"/>
    <cellStyle name="Normal 24 2 11 2" xfId="21263"/>
    <cellStyle name="Normal 24 2 12" xfId="21264"/>
    <cellStyle name="Normal 24 2 12 2" xfId="21265"/>
    <cellStyle name="Normal 24 2 2" xfId="21266"/>
    <cellStyle name="Normal 24 2 2 10" xfId="21267"/>
    <cellStyle name="Normal 24 2 2 2" xfId="21268"/>
    <cellStyle name="Normal 24 2 2 2 2" xfId="21269"/>
    <cellStyle name="Normal 24 2 2 2 3" xfId="21270"/>
    <cellStyle name="Normal 24 2 2 2 4" xfId="21271"/>
    <cellStyle name="Normal 24 2 2 3" xfId="21272"/>
    <cellStyle name="Normal 24 2 2 4" xfId="21273"/>
    <cellStyle name="Normal 24 2 2 5" xfId="21274"/>
    <cellStyle name="Normal 24 2 2 6" xfId="21275"/>
    <cellStyle name="Normal 24 2 2 6 2" xfId="21276"/>
    <cellStyle name="Normal 24 2 2 7" xfId="21277"/>
    <cellStyle name="Normal 24 2 2 7 2" xfId="21278"/>
    <cellStyle name="Normal 24 2 2 8" xfId="21279"/>
    <cellStyle name="Normal 24 2 2 8 2" xfId="21280"/>
    <cellStyle name="Normal 24 2 2 9" xfId="21281"/>
    <cellStyle name="Normal 24 2 2 9 2" xfId="21282"/>
    <cellStyle name="Normal 24 2 3" xfId="21283"/>
    <cellStyle name="Normal 24 2 3 2" xfId="21284"/>
    <cellStyle name="Normal 24 2 3 3" xfId="21285"/>
    <cellStyle name="Normal 24 2 3 4" xfId="21286"/>
    <cellStyle name="Normal 24 2 3 5" xfId="21287"/>
    <cellStyle name="Normal 24 2 3 5 2" xfId="21288"/>
    <cellStyle name="Normal 24 2 3 6" xfId="21289"/>
    <cellStyle name="Normal 24 2 3 6 2" xfId="21290"/>
    <cellStyle name="Normal 24 2 3 7" xfId="21291"/>
    <cellStyle name="Normal 24 2 3 7 2" xfId="21292"/>
    <cellStyle name="Normal 24 2 3 8" xfId="21293"/>
    <cellStyle name="Normal 24 2 3 8 2" xfId="21294"/>
    <cellStyle name="Normal 24 2 4" xfId="21295"/>
    <cellStyle name="Normal 24 2 4 2" xfId="21296"/>
    <cellStyle name="Normal 24 2 4 2 2" xfId="21297"/>
    <cellStyle name="Normal 24 2 4 3" xfId="21298"/>
    <cellStyle name="Normal 24 2 4 3 2" xfId="21299"/>
    <cellStyle name="Normal 24 2 4 4" xfId="21300"/>
    <cellStyle name="Normal 24 2 4 4 2" xfId="21301"/>
    <cellStyle name="Normal 24 2 4 5" xfId="21302"/>
    <cellStyle name="Normal 24 2 4 5 2" xfId="21303"/>
    <cellStyle name="Normal 24 2 4 6" xfId="21304"/>
    <cellStyle name="Normal 24 2 5" xfId="21305"/>
    <cellStyle name="Normal 24 2 5 2" xfId="21306"/>
    <cellStyle name="Normal 24 2 5 2 2" xfId="21307"/>
    <cellStyle name="Normal 24 2 5 3" xfId="21308"/>
    <cellStyle name="Normal 24 2 5 3 2" xfId="21309"/>
    <cellStyle name="Normal 24 2 5 4" xfId="21310"/>
    <cellStyle name="Normal 24 2 5 4 2" xfId="21311"/>
    <cellStyle name="Normal 24 2 5 5" xfId="21312"/>
    <cellStyle name="Normal 24 2 5 5 2" xfId="21313"/>
    <cellStyle name="Normal 24 2 5 6" xfId="21314"/>
    <cellStyle name="Normal 24 2 6" xfId="21315"/>
    <cellStyle name="Normal 24 2 6 2" xfId="21316"/>
    <cellStyle name="Normal 24 2 6 2 2" xfId="21317"/>
    <cellStyle name="Normal 24 2 6 3" xfId="21318"/>
    <cellStyle name="Normal 24 2 6 3 2" xfId="21319"/>
    <cellStyle name="Normal 24 2 6 4" xfId="21320"/>
    <cellStyle name="Normal 24 2 6 4 2" xfId="21321"/>
    <cellStyle name="Normal 24 2 6 5" xfId="21322"/>
    <cellStyle name="Normal 24 2 6 5 2" xfId="21323"/>
    <cellStyle name="Normal 24 2 6 6" xfId="21324"/>
    <cellStyle name="Normal 24 2 7" xfId="21325"/>
    <cellStyle name="Normal 24 2 7 2" xfId="21326"/>
    <cellStyle name="Normal 24 2 7 2 2" xfId="21327"/>
    <cellStyle name="Normal 24 2 7 3" xfId="21328"/>
    <cellStyle name="Normal 24 2 7 4" xfId="21329"/>
    <cellStyle name="Normal 24 2 8" xfId="21330"/>
    <cellStyle name="Normal 24 2 8 2" xfId="21331"/>
    <cellStyle name="Normal 24 2 8 2 2" xfId="21332"/>
    <cellStyle name="Normal 24 2 8 3" xfId="21333"/>
    <cellStyle name="Normal 24 2 8 4" xfId="21334"/>
    <cellStyle name="Normal 24 2 9" xfId="21335"/>
    <cellStyle name="Normal 24 2 9 2" xfId="21336"/>
    <cellStyle name="Normal 24 2 9 2 2" xfId="21337"/>
    <cellStyle name="Normal 24 2 9 3" xfId="21338"/>
    <cellStyle name="Normal 24 2 9 4" xfId="21339"/>
    <cellStyle name="Normal 24 3" xfId="21340"/>
    <cellStyle name="Normal 24 3 2" xfId="21341"/>
    <cellStyle name="Normal 24 3 2 2" xfId="21342"/>
    <cellStyle name="Normal 24 3 2 2 2" xfId="21343"/>
    <cellStyle name="Normal 24 3 2 2 3" xfId="21344"/>
    <cellStyle name="Normal 24 3 2 2 4" xfId="21345"/>
    <cellStyle name="Normal 24 3 2 3" xfId="21346"/>
    <cellStyle name="Normal 24 3 2 4" xfId="21347"/>
    <cellStyle name="Normal 24 3 2 5" xfId="21348"/>
    <cellStyle name="Normal 24 3 3" xfId="21349"/>
    <cellStyle name="Normal 24 3 3 2" xfId="21350"/>
    <cellStyle name="Normal 24 3 3 3" xfId="21351"/>
    <cellStyle name="Normal 24 3 3 4" xfId="21352"/>
    <cellStyle name="Normal 24 3 4" xfId="21353"/>
    <cellStyle name="Normal 24 3 5" xfId="21354"/>
    <cellStyle name="Normal 24 3 6" xfId="21355"/>
    <cellStyle name="Normal 24 4" xfId="21356"/>
    <cellStyle name="Normal 24 4 2" xfId="21357"/>
    <cellStyle name="Normal 24 4 2 2" xfId="21358"/>
    <cellStyle name="Normal 24 4 2 3" xfId="21359"/>
    <cellStyle name="Normal 24 4 2 4" xfId="21360"/>
    <cellStyle name="Normal 24 4 3" xfId="21361"/>
    <cellStyle name="Normal 24 4 4" xfId="21362"/>
    <cellStyle name="Normal 24 4 5" xfId="21363"/>
    <cellStyle name="Normal 24 5" xfId="21364"/>
    <cellStyle name="Normal 24 5 2" xfId="21365"/>
    <cellStyle name="Normal 24 5 2 2" xfId="21366"/>
    <cellStyle name="Normal 24 5 2 3" xfId="21367"/>
    <cellStyle name="Normal 24 5 2 4" xfId="21368"/>
    <cellStyle name="Normal 24 5 3" xfId="21369"/>
    <cellStyle name="Normal 24 5 4" xfId="21370"/>
    <cellStyle name="Normal 24 5 5" xfId="21371"/>
    <cellStyle name="Normal 24 6" xfId="21372"/>
    <cellStyle name="Normal 24 6 2" xfId="21373"/>
    <cellStyle name="Normal 24 6 3" xfId="21374"/>
    <cellStyle name="Normal 24 6 4" xfId="21375"/>
    <cellStyle name="Normal 24 7" xfId="21376"/>
    <cellStyle name="Normal 24 7 2" xfId="21377"/>
    <cellStyle name="Normal 24 7 3" xfId="21378"/>
    <cellStyle name="Normal 24 7 4" xfId="21379"/>
    <cellStyle name="Normal 24 8" xfId="21380"/>
    <cellStyle name="Normal 24 8 2" xfId="21381"/>
    <cellStyle name="Normal 24 8 3" xfId="21382"/>
    <cellStyle name="Normal 24 8 4" xfId="21383"/>
    <cellStyle name="Normal 24 9" xfId="21384"/>
    <cellStyle name="Normal 240" xfId="21385"/>
    <cellStyle name="Normal 241" xfId="21386"/>
    <cellStyle name="Normal 242" xfId="21387"/>
    <cellStyle name="Normal 243" xfId="21388"/>
    <cellStyle name="Normal 244" xfId="21389"/>
    <cellStyle name="Normal 245" xfId="21390"/>
    <cellStyle name="Normal 246" xfId="21391"/>
    <cellStyle name="Normal 247" xfId="21392"/>
    <cellStyle name="Normal 248" xfId="21393"/>
    <cellStyle name="Normal 249" xfId="21394"/>
    <cellStyle name="Normal 25" xfId="21395"/>
    <cellStyle name="Normal 25 10" xfId="21396"/>
    <cellStyle name="Normal 25 11" xfId="21397"/>
    <cellStyle name="Normal 25 2" xfId="21398"/>
    <cellStyle name="Normal 25 2 2 2" xfId="21399"/>
    <cellStyle name="Normal 25 2 2 2 2" xfId="21400"/>
    <cellStyle name="Normal 25 2 2 2 3" xfId="21401"/>
    <cellStyle name="Normal 25 2 2 2 4" xfId="21402"/>
    <cellStyle name="Normal 25 2 2 3" xfId="21403"/>
    <cellStyle name="Normal 25 2 2 4" xfId="21404"/>
    <cellStyle name="Normal 25 2 2 5" xfId="21405"/>
    <cellStyle name="Normal 25 2 3 2" xfId="21406"/>
    <cellStyle name="Normal 25 2 3 3" xfId="21407"/>
    <cellStyle name="Normal 25 2 3 4" xfId="21408"/>
    <cellStyle name="Normal 25 3" xfId="21409"/>
    <cellStyle name="Normal 25 3 2" xfId="21410"/>
    <cellStyle name="Normal 25 3 2 2" xfId="21411"/>
    <cellStyle name="Normal 25 3 2 2 2" xfId="21412"/>
    <cellStyle name="Normal 25 3 2 2 3" xfId="21413"/>
    <cellStyle name="Normal 25 3 2 2 4" xfId="21414"/>
    <cellStyle name="Normal 25 3 2 3" xfId="21415"/>
    <cellStyle name="Normal 25 3 2 4" xfId="21416"/>
    <cellStyle name="Normal 25 3 2 5" xfId="21417"/>
    <cellStyle name="Normal 25 3 3 2" xfId="21418"/>
    <cellStyle name="Normal 25 3 3 3" xfId="21419"/>
    <cellStyle name="Normal 25 4" xfId="21420"/>
    <cellStyle name="Normal 25 4 2" xfId="21421"/>
    <cellStyle name="Normal 25 4 2 2" xfId="21422"/>
    <cellStyle name="Normal 25 4 2 3" xfId="21423"/>
    <cellStyle name="Normal 25 4 4" xfId="21424"/>
    <cellStyle name="Normal 25 4 5" xfId="21425"/>
    <cellStyle name="Normal 25 5" xfId="21426"/>
    <cellStyle name="Normal 25 5 2 2" xfId="21427"/>
    <cellStyle name="Normal 25 5 2 3" xfId="21428"/>
    <cellStyle name="Normal 25 5 2 4" xfId="21429"/>
    <cellStyle name="Normal 25 5 5" xfId="21430"/>
    <cellStyle name="Normal 25 6" xfId="21431"/>
    <cellStyle name="Normal 25 8 2" xfId="21432"/>
    <cellStyle name="Normal 25 8 3" xfId="21433"/>
    <cellStyle name="Normal 25 8 4" xfId="21434"/>
    <cellStyle name="Normal 250" xfId="21435"/>
    <cellStyle name="Normal 251" xfId="21436"/>
    <cellStyle name="Normal 252" xfId="21437"/>
    <cellStyle name="Normal 253" xfId="21438"/>
    <cellStyle name="Normal 254" xfId="21439"/>
    <cellStyle name="Normal 255" xfId="21440"/>
    <cellStyle name="Normal 256" xfId="21441"/>
    <cellStyle name="Normal 257" xfId="21442"/>
    <cellStyle name="Normal 258" xfId="21443"/>
    <cellStyle name="Normal 259" xfId="21444"/>
    <cellStyle name="Normal 26" xfId="21445"/>
    <cellStyle name="Normal 26 2 2 2" xfId="21446"/>
    <cellStyle name="Normal 26 2 2 2 2" xfId="21447"/>
    <cellStyle name="Normal 26 2 2 2 3" xfId="21448"/>
    <cellStyle name="Normal 26 2 2 2 4" xfId="21449"/>
    <cellStyle name="Normal 26 2 2 3" xfId="21450"/>
    <cellStyle name="Normal 26 2 2 4" xfId="21451"/>
    <cellStyle name="Normal 26 2 3 2" xfId="21452"/>
    <cellStyle name="Normal 26 2 3 3" xfId="21453"/>
    <cellStyle name="Normal 26 2 3 4" xfId="21454"/>
    <cellStyle name="Normal 26 3 2" xfId="21455"/>
    <cellStyle name="Normal 26 3 2 5" xfId="21456"/>
    <cellStyle name="Normal 26 3 3" xfId="21457"/>
    <cellStyle name="Normal 26 3 3 2" xfId="21458"/>
    <cellStyle name="Normal 26 3 3 3" xfId="21459"/>
    <cellStyle name="Normal 26 3 4" xfId="21460"/>
    <cellStyle name="Normal 26 3 5" xfId="21461"/>
    <cellStyle name="Normal 26 3 6" xfId="21462"/>
    <cellStyle name="Normal 26 4 5" xfId="21463"/>
    <cellStyle name="Normal 26 5 2 3" xfId="21464"/>
    <cellStyle name="Normal 26 5 2 4" xfId="21465"/>
    <cellStyle name="Normal 26 5 5" xfId="21466"/>
    <cellStyle name="Normal 26 8 2" xfId="21467"/>
    <cellStyle name="Normal 26 8 3" xfId="21468"/>
    <cellStyle name="Normal 26 8 4" xfId="21469"/>
    <cellStyle name="Normal 260" xfId="21470"/>
    <cellStyle name="Normal 261" xfId="21471"/>
    <cellStyle name="Normal 262" xfId="21472"/>
    <cellStyle name="Normal 263" xfId="21473"/>
    <cellStyle name="Normal 264" xfId="21474"/>
    <cellStyle name="Normal 265" xfId="21475"/>
    <cellStyle name="Normal 266" xfId="21476"/>
    <cellStyle name="Normal 267" xfId="21477"/>
    <cellStyle name="Normal 268" xfId="21478"/>
    <cellStyle name="Normal 269" xfId="21479"/>
    <cellStyle name="Normal 27" xfId="21480"/>
    <cellStyle name="Normal 27 10" xfId="21481"/>
    <cellStyle name="Normal 27 11" xfId="21482"/>
    <cellStyle name="Normal 27 2" xfId="21483"/>
    <cellStyle name="Normal 27 2 3 2" xfId="21484"/>
    <cellStyle name="Normal 27 2 3 3" xfId="21485"/>
    <cellStyle name="Normal 27 3" xfId="21486"/>
    <cellStyle name="Normal 27 3 2 2 3" xfId="21487"/>
    <cellStyle name="Normal 27 3 2 2 4" xfId="21488"/>
    <cellStyle name="Normal 27 3 2 4" xfId="21489"/>
    <cellStyle name="Normal 27 3 2 5" xfId="21490"/>
    <cellStyle name="Normal 27 3 3 2" xfId="21491"/>
    <cellStyle name="Normal 27 3 3 3" xfId="21492"/>
    <cellStyle name="Normal 27 3 3 4" xfId="21493"/>
    <cellStyle name="Normal 27 3 5" xfId="21494"/>
    <cellStyle name="Normal 27 3 6" xfId="21495"/>
    <cellStyle name="Normal 27 4 2" xfId="21496"/>
    <cellStyle name="Normal 27 4 2 4" xfId="21497"/>
    <cellStyle name="Normal 27 4 5" xfId="21498"/>
    <cellStyle name="Normal 27 5 2 3" xfId="21499"/>
    <cellStyle name="Normal 27 5 2 4" xfId="21500"/>
    <cellStyle name="Normal 27 8 2" xfId="21501"/>
    <cellStyle name="Normal 27 8 3" xfId="21502"/>
    <cellStyle name="Normal 27 8 4" xfId="21503"/>
    <cellStyle name="Normal 270" xfId="21504"/>
    <cellStyle name="Normal 271" xfId="21505"/>
    <cellStyle name="Normal 272" xfId="21506"/>
    <cellStyle name="Normal 273" xfId="21507"/>
    <cellStyle name="Normal 274" xfId="21508"/>
    <cellStyle name="Normal 275" xfId="21509"/>
    <cellStyle name="Normal 276" xfId="21510"/>
    <cellStyle name="Normal 277" xfId="21511"/>
    <cellStyle name="Normal 278" xfId="21512"/>
    <cellStyle name="Normal 279" xfId="21513"/>
    <cellStyle name="Normal 28" xfId="21514"/>
    <cellStyle name="Normal 28 10" xfId="21515"/>
    <cellStyle name="Normal 28 11" xfId="21516"/>
    <cellStyle name="Normal 28 2" xfId="21517"/>
    <cellStyle name="Normal 28 2 2" xfId="21518"/>
    <cellStyle name="Normal 28 2 2 2" xfId="21519"/>
    <cellStyle name="Normal 28 2 2 2 2" xfId="21520"/>
    <cellStyle name="Normal 28 2 2 2 3" xfId="21521"/>
    <cellStyle name="Normal 28 2 2 2 4" xfId="21522"/>
    <cellStyle name="Normal 28 2 2 3" xfId="21523"/>
    <cellStyle name="Normal 28 2 2 4" xfId="21524"/>
    <cellStyle name="Normal 28 2 2 5" xfId="21525"/>
    <cellStyle name="Normal 28 2 3" xfId="21526"/>
    <cellStyle name="Normal 28 2 3 2" xfId="21527"/>
    <cellStyle name="Normal 28 2 3 3" xfId="21528"/>
    <cellStyle name="Normal 28 2 3 4" xfId="21529"/>
    <cellStyle name="Normal 28 2 4" xfId="21530"/>
    <cellStyle name="Normal 28 2 5" xfId="21531"/>
    <cellStyle name="Normal 28 2 6" xfId="21532"/>
    <cellStyle name="Normal 28 3" xfId="21533"/>
    <cellStyle name="Normal 28 3 2" xfId="21534"/>
    <cellStyle name="Normal 28 3 2 2" xfId="21535"/>
    <cellStyle name="Normal 28 3 2 2 2" xfId="21536"/>
    <cellStyle name="Normal 28 3 2 2 3" xfId="21537"/>
    <cellStyle name="Normal 28 3 2 2 4" xfId="21538"/>
    <cellStyle name="Normal 28 3 2 3" xfId="21539"/>
    <cellStyle name="Normal 28 3 2 4" xfId="21540"/>
    <cellStyle name="Normal 28 3 2 5" xfId="21541"/>
    <cellStyle name="Normal 28 3 3" xfId="21542"/>
    <cellStyle name="Normal 28 3 3 2" xfId="21543"/>
    <cellStyle name="Normal 28 3 3 3" xfId="21544"/>
    <cellStyle name="Normal 28 3 3 4" xfId="21545"/>
    <cellStyle name="Normal 28 3 4" xfId="21546"/>
    <cellStyle name="Normal 28 3 5" xfId="21547"/>
    <cellStyle name="Normal 28 3 6" xfId="21548"/>
    <cellStyle name="Normal 28 3 7" xfId="21549"/>
    <cellStyle name="Normal 28 4" xfId="21550"/>
    <cellStyle name="Normal 28 4 2" xfId="21551"/>
    <cellStyle name="Normal 28 4 2 2" xfId="21552"/>
    <cellStyle name="Normal 28 4 2 3" xfId="21553"/>
    <cellStyle name="Normal 28 4 2 4" xfId="21554"/>
    <cellStyle name="Normal 28 4 3" xfId="21555"/>
    <cellStyle name="Normal 28 4 4" xfId="21556"/>
    <cellStyle name="Normal 28 4 5" xfId="21557"/>
    <cellStyle name="Normal 28 5 2 4" xfId="21558"/>
    <cellStyle name="Normal 28 5 3" xfId="21559"/>
    <cellStyle name="Normal 28 6" xfId="21560"/>
    <cellStyle name="Normal 28 6 2" xfId="21561"/>
    <cellStyle name="Normal 28 6 3" xfId="21562"/>
    <cellStyle name="Normal 28 6 4" xfId="21563"/>
    <cellStyle name="Normal 28 7" xfId="21564"/>
    <cellStyle name="Normal 28 8" xfId="21565"/>
    <cellStyle name="Normal 28 8 2" xfId="21566"/>
    <cellStyle name="Normal 28 8 3" xfId="21567"/>
    <cellStyle name="Normal 28 8 4" xfId="21568"/>
    <cellStyle name="Normal 28 9" xfId="21569"/>
    <cellStyle name="Normal 280" xfId="21570"/>
    <cellStyle name="Normal 281" xfId="21571"/>
    <cellStyle name="Normal 282" xfId="21572"/>
    <cellStyle name="Normal 29" xfId="21573"/>
    <cellStyle name="Normal 29 10" xfId="21574"/>
    <cellStyle name="Normal 29 11" xfId="21575"/>
    <cellStyle name="Normal 29 2" xfId="21576"/>
    <cellStyle name="Normal 29 2 2" xfId="21577"/>
    <cellStyle name="Normal 29 2 2 2" xfId="21578"/>
    <cellStyle name="Normal 29 2 2 2 2" xfId="21579"/>
    <cellStyle name="Normal 29 2 2 2 3" xfId="21580"/>
    <cellStyle name="Normal 29 2 2 2 4" xfId="21581"/>
    <cellStyle name="Normal 29 2 2 4" xfId="21582"/>
    <cellStyle name="Normal 29 2 2 5" xfId="21583"/>
    <cellStyle name="Normal 29 2 3" xfId="21584"/>
    <cellStyle name="Normal 29 2 3 2" xfId="21585"/>
    <cellStyle name="Normal 29 2 3 3" xfId="21586"/>
    <cellStyle name="Normal 29 2 3 4" xfId="21587"/>
    <cellStyle name="Normal 29 2 4" xfId="21588"/>
    <cellStyle name="Normal 29 2 5" xfId="21589"/>
    <cellStyle name="Normal 29 3" xfId="21590"/>
    <cellStyle name="Normal 29 3 2" xfId="21591"/>
    <cellStyle name="Normal 29 3 2 2 2" xfId="21592"/>
    <cellStyle name="Normal 29 3 2 2 3" xfId="21593"/>
    <cellStyle name="Normal 29 3 2 2 4" xfId="21594"/>
    <cellStyle name="Normal 29 3 2 4" xfId="21595"/>
    <cellStyle name="Normal 29 3 2 5" xfId="21596"/>
    <cellStyle name="Normal 29 3 3" xfId="21597"/>
    <cellStyle name="Normal 29 3 3 2" xfId="21598"/>
    <cellStyle name="Normal 29 3 3 4" xfId="21599"/>
    <cellStyle name="Normal 29 3 3 4 2" xfId="21600"/>
    <cellStyle name="Normal 29 3 4" xfId="21601"/>
    <cellStyle name="Normal 29 3 5" xfId="21602"/>
    <cellStyle name="Normal 29 3 6" xfId="21603"/>
    <cellStyle name="Normal 29 4" xfId="21604"/>
    <cellStyle name="Normal 29 4 2" xfId="21605"/>
    <cellStyle name="Normal 29 4 2 2" xfId="21606"/>
    <cellStyle name="Normal 29 4 2 3" xfId="21607"/>
    <cellStyle name="Normal 29 4 2 4" xfId="21608"/>
    <cellStyle name="Normal 29 4 3" xfId="21609"/>
    <cellStyle name="Normal 29 4 4" xfId="21610"/>
    <cellStyle name="Normal 29 4 5" xfId="21611"/>
    <cellStyle name="Normal 29 5" xfId="21612"/>
    <cellStyle name="Normal 29 5 2" xfId="21613"/>
    <cellStyle name="Normal 29 5 2 4" xfId="21614"/>
    <cellStyle name="Normal 29 6" xfId="21615"/>
    <cellStyle name="Normal 29 6 2" xfId="21616"/>
    <cellStyle name="Normal 29 7" xfId="21617"/>
    <cellStyle name="Normal 29 8" xfId="21618"/>
    <cellStyle name="Normal 3" xfId="21619"/>
    <cellStyle name="Normal 3 10" xfId="21620"/>
    <cellStyle name="Normal 3 10 10" xfId="21621"/>
    <cellStyle name="Normal 3 10 2" xfId="21622"/>
    <cellStyle name="Normal 3 10 2 2" xfId="21623"/>
    <cellStyle name="Normal 3 10 2 3" xfId="21624"/>
    <cellStyle name="Normal 3 10 2 4" xfId="21625"/>
    <cellStyle name="Normal 3 10 3" xfId="21626"/>
    <cellStyle name="Normal 3 10 4" xfId="21627"/>
    <cellStyle name="Normal 3 10 5" xfId="21628"/>
    <cellStyle name="Normal 3 10 6" xfId="21629"/>
    <cellStyle name="Normal 3 10 7" xfId="21630"/>
    <cellStyle name="Normal 3 10 8" xfId="21631"/>
    <cellStyle name="Normal 3 10 9" xfId="21632"/>
    <cellStyle name="Normal 3 11" xfId="21633"/>
    <cellStyle name="Normal 3 11 10" xfId="21634"/>
    <cellStyle name="Normal 3 11 2" xfId="21635"/>
    <cellStyle name="Normal 3 11 3" xfId="21636"/>
    <cellStyle name="Normal 3 11 4" xfId="21637"/>
    <cellStyle name="Normal 3 11 5" xfId="21638"/>
    <cellStyle name="Normal 3 11 6" xfId="21639"/>
    <cellStyle name="Normal 3 11 7" xfId="21640"/>
    <cellStyle name="Normal 3 11 8" xfId="21641"/>
    <cellStyle name="Normal 3 11 9" xfId="21642"/>
    <cellStyle name="Normal 3 12" xfId="21643"/>
    <cellStyle name="Normal 3 12 10" xfId="21644"/>
    <cellStyle name="Normal 3 12 2" xfId="21645"/>
    <cellStyle name="Normal 3 12 3" xfId="21646"/>
    <cellStyle name="Normal 3 12 4" xfId="21647"/>
    <cellStyle name="Normal 3 12 5" xfId="21648"/>
    <cellStyle name="Normal 3 12 6" xfId="21649"/>
    <cellStyle name="Normal 3 12 7" xfId="21650"/>
    <cellStyle name="Normal 3 12 8" xfId="21651"/>
    <cellStyle name="Normal 3 12 9" xfId="21652"/>
    <cellStyle name="Normal 3 13" xfId="21653"/>
    <cellStyle name="Normal 3 13 10" xfId="21654"/>
    <cellStyle name="Normal 3 13 11" xfId="21655"/>
    <cellStyle name="Normal 3 13 2" xfId="21656"/>
    <cellStyle name="Normal 3 13 3" xfId="21657"/>
    <cellStyle name="Normal 3 13 4" xfId="21658"/>
    <cellStyle name="Normal 3 13 5" xfId="21659"/>
    <cellStyle name="Normal 3 13 6" xfId="21660"/>
    <cellStyle name="Normal 3 13 7" xfId="21661"/>
    <cellStyle name="Normal 3 13 8" xfId="21662"/>
    <cellStyle name="Normal 3 13 9" xfId="21663"/>
    <cellStyle name="Normal 3 14" xfId="21664"/>
    <cellStyle name="Normal 3 14 2" xfId="21665"/>
    <cellStyle name="Normal 3 14 3" xfId="21666"/>
    <cellStyle name="Normal 3 14 4" xfId="21667"/>
    <cellStyle name="Normal 3 14 5" xfId="21668"/>
    <cellStyle name="Normal 3 14 6" xfId="21669"/>
    <cellStyle name="Normal 3 14 7" xfId="21670"/>
    <cellStyle name="Normal 3 14 8" xfId="21671"/>
    <cellStyle name="Normal 3 15" xfId="21672"/>
    <cellStyle name="Normal 3 15 2" xfId="21673"/>
    <cellStyle name="Normal 3 15 2 2" xfId="21674"/>
    <cellStyle name="Normal 3 15 3" xfId="21675"/>
    <cellStyle name="Normal 3 15 3 2" xfId="21676"/>
    <cellStyle name="Normal 3 15 4" xfId="21677"/>
    <cellStyle name="Normal 3 15 4 2" xfId="21678"/>
    <cellStyle name="Normal 3 15 5" xfId="21679"/>
    <cellStyle name="Normal 3 15 5 2" xfId="21680"/>
    <cellStyle name="Normal 3 15 6" xfId="21681"/>
    <cellStyle name="Normal 3 15 6 2" xfId="21682"/>
    <cellStyle name="Normal 3 15 7" xfId="21683"/>
    <cellStyle name="Normal 3 15 7 2" xfId="21684"/>
    <cellStyle name="Normal 3 15 8" xfId="21685"/>
    <cellStyle name="Normal 3 15 8 2" xfId="21686"/>
    <cellStyle name="Normal 3 16" xfId="21687"/>
    <cellStyle name="Normal 3 16 2" xfId="21688"/>
    <cellStyle name="Normal 3 16 2 2" xfId="21689"/>
    <cellStyle name="Normal 3 16 3" xfId="21690"/>
    <cellStyle name="Normal 3 16 3 2" xfId="21691"/>
    <cellStyle name="Normal 3 16 4" xfId="21692"/>
    <cellStyle name="Normal 3 16 4 2" xfId="21693"/>
    <cellStyle name="Normal 3 16 5" xfId="21694"/>
    <cellStyle name="Normal 3 16 5 2" xfId="21695"/>
    <cellStyle name="Normal 3 16 6" xfId="21696"/>
    <cellStyle name="Normal 3 16 6 2" xfId="21697"/>
    <cellStyle name="Normal 3 16 7" xfId="21698"/>
    <cellStyle name="Normal 3 16 7 2" xfId="21699"/>
    <cellStyle name="Normal 3 16 8" xfId="21700"/>
    <cellStyle name="Normal 3 17" xfId="21701"/>
    <cellStyle name="Normal 3 17 2" xfId="21702"/>
    <cellStyle name="Normal 3 17 2 2" xfId="21703"/>
    <cellStyle name="Normal 3 17 3" xfId="21704"/>
    <cellStyle name="Normal 3 17 3 2" xfId="21705"/>
    <cellStyle name="Normal 3 17 4" xfId="21706"/>
    <cellStyle name="Normal 3 17 5" xfId="21707"/>
    <cellStyle name="Normal 3 17 6" xfId="21708"/>
    <cellStyle name="Normal 3 17 7" xfId="21709"/>
    <cellStyle name="Normal 3 17 8" xfId="21710"/>
    <cellStyle name="Normal 3 18" xfId="21711"/>
    <cellStyle name="Normal 3 18 2" xfId="21712"/>
    <cellStyle name="Normal 3 18 2 2" xfId="21713"/>
    <cellStyle name="Normal 3 18 3" xfId="21714"/>
    <cellStyle name="Normal 3 18 4" xfId="21715"/>
    <cellStyle name="Normal 3 18 5" xfId="21716"/>
    <cellStyle name="Normal 3 18 6" xfId="21717"/>
    <cellStyle name="Normal 3 18 7" xfId="21718"/>
    <cellStyle name="Normal 3 18 7 2" xfId="21719"/>
    <cellStyle name="Normal 3 18 8" xfId="21720"/>
    <cellStyle name="Normal 3 19" xfId="21721"/>
    <cellStyle name="Normal 3 19 2" xfId="21722"/>
    <cellStyle name="Normal 3 19 3" xfId="21723"/>
    <cellStyle name="Normal 3 19 4" xfId="21724"/>
    <cellStyle name="Normal 3 19 5" xfId="21725"/>
    <cellStyle name="Normal 3 19 6" xfId="21726"/>
    <cellStyle name="Normal 3 19 7" xfId="21727"/>
    <cellStyle name="Normal 3 19 8" xfId="21728"/>
    <cellStyle name="Normal 3 2" xfId="21729"/>
    <cellStyle name="Normal 3 2 10" xfId="21730"/>
    <cellStyle name="Normal 3 2 11" xfId="21731"/>
    <cellStyle name="Normal 3 2 12" xfId="21732"/>
    <cellStyle name="Normal 3 2 13" xfId="21733"/>
    <cellStyle name="Normal 3 2 14" xfId="21734"/>
    <cellStyle name="Normal 3 2 2" xfId="21735"/>
    <cellStyle name="Normal 3 2 2 10" xfId="21736"/>
    <cellStyle name="Normal 3 2 2 11" xfId="21737"/>
    <cellStyle name="Normal 3 2 2 12" xfId="21738"/>
    <cellStyle name="Normal 3 2 2 13" xfId="21739"/>
    <cellStyle name="Normal 3 2 2 14" xfId="21740"/>
    <cellStyle name="Normal 3 2 2 15" xfId="21741"/>
    <cellStyle name="Normal 3 2 2 2" xfId="21742"/>
    <cellStyle name="Normal 3 2 2 2 2" xfId="21743"/>
    <cellStyle name="Normal 3 2 2 2 2 3" xfId="21744"/>
    <cellStyle name="Normal 3 2 2 2 2 4" xfId="21745"/>
    <cellStyle name="Normal 3 2 2 2 3" xfId="21746"/>
    <cellStyle name="Normal 3 2 2 2 4" xfId="21747"/>
    <cellStyle name="Normal 3 2 2 2 5" xfId="21748"/>
    <cellStyle name="Normal 3 2 2 2 6" xfId="21749"/>
    <cellStyle name="Normal 3 2 2 3" xfId="21750"/>
    <cellStyle name="Normal 3 2 2 3 2" xfId="21751"/>
    <cellStyle name="Normal 3 2 2 3 3" xfId="21752"/>
    <cellStyle name="Normal 3 2 2 3 4" xfId="21753"/>
    <cellStyle name="Normal 3 2 2 3 5" xfId="21754"/>
    <cellStyle name="Normal 3 2 2 4" xfId="21755"/>
    <cellStyle name="Normal 3 2 2 4 2" xfId="21756"/>
    <cellStyle name="Normal 3 2 2 5" xfId="21757"/>
    <cellStyle name="Normal 3 2 2 6" xfId="21758"/>
    <cellStyle name="Normal 3 2 2 7" xfId="21759"/>
    <cellStyle name="Normal 3 2 2 8" xfId="21760"/>
    <cellStyle name="Normal 3 2 2 9" xfId="21761"/>
    <cellStyle name="Normal 3 2 3" xfId="21762"/>
    <cellStyle name="Normal 3 2 3 2" xfId="21763"/>
    <cellStyle name="Normal 3 2 3 2 2" xfId="21764"/>
    <cellStyle name="Normal 3 2 3 2 2 2" xfId="21765"/>
    <cellStyle name="Normal 3 2 3 2 3" xfId="21766"/>
    <cellStyle name="Normal 3 2 3 2 4" xfId="21767"/>
    <cellStyle name="Normal 3 2 3 3" xfId="21768"/>
    <cellStyle name="Normal 3 2 3 3 2" xfId="21769"/>
    <cellStyle name="Normal 3 2 3 3 3" xfId="21770"/>
    <cellStyle name="Normal 3 2 4" xfId="21771"/>
    <cellStyle name="Normal 3 2 4 2 2" xfId="21772"/>
    <cellStyle name="Normal 3 2 4 2 3" xfId="21773"/>
    <cellStyle name="Normal 3 2 4 2 4" xfId="21774"/>
    <cellStyle name="Normal 3 2 5" xfId="21775"/>
    <cellStyle name="Normal 3 2 5 2" xfId="21776"/>
    <cellStyle name="Normal 3 2 5 3" xfId="21777"/>
    <cellStyle name="Normal 3 2 5 4" xfId="21778"/>
    <cellStyle name="Normal 3 2 5 5" xfId="21779"/>
    <cellStyle name="Normal 3 2 5 6" xfId="21780"/>
    <cellStyle name="Normal 3 2 5 7" xfId="21781"/>
    <cellStyle name="Normal 3 2 5 8" xfId="21782"/>
    <cellStyle name="Normal 3 2 6" xfId="21783"/>
    <cellStyle name="Normal 3 2 6 2" xfId="21784"/>
    <cellStyle name="Normal 3 2 6 3" xfId="21785"/>
    <cellStyle name="Normal 3 2 6 4" xfId="21786"/>
    <cellStyle name="Normal 3 2 6 5" xfId="21787"/>
    <cellStyle name="Normal 3 2 6 6" xfId="21788"/>
    <cellStyle name="Normal 3 2 6 7" xfId="21789"/>
    <cellStyle name="Normal 3 2 7" xfId="21790"/>
    <cellStyle name="Normal 3 2 7 2" xfId="21791"/>
    <cellStyle name="Normal 3 2 7 3" xfId="21792"/>
    <cellStyle name="Normal 3 2 7 4" xfId="21793"/>
    <cellStyle name="Normal 3 2 7 5" xfId="21794"/>
    <cellStyle name="Normal 3 2 7 6" xfId="21795"/>
    <cellStyle name="Normal 3 2 7 7" xfId="21796"/>
    <cellStyle name="Normal 3 2 8" xfId="21797"/>
    <cellStyle name="Normal 3 2 8 2" xfId="21798"/>
    <cellStyle name="Normal 3 2 8 3" xfId="21799"/>
    <cellStyle name="Normal 3 2 8 4" xfId="21800"/>
    <cellStyle name="Normal 3 2 8 5" xfId="21801"/>
    <cellStyle name="Normal 3 2 8 6" xfId="21802"/>
    <cellStyle name="Normal 3 2 9" xfId="21803"/>
    <cellStyle name="Normal 3 2 9 2" xfId="21804"/>
    <cellStyle name="Normal 3 2 9 3" xfId="21805"/>
    <cellStyle name="Normal 3 2 9 4" xfId="21806"/>
    <cellStyle name="Normal 3 2 9 5" xfId="21807"/>
    <cellStyle name="Normal 3 2 9 6" xfId="21808"/>
    <cellStyle name="Normal 3 20" xfId="21809"/>
    <cellStyle name="Normal 3 20 2" xfId="21810"/>
    <cellStyle name="Normal 3 20 2 2" xfId="21811"/>
    <cellStyle name="Normal 3 20 3" xfId="21812"/>
    <cellStyle name="Normal 3 20 3 2" xfId="21813"/>
    <cellStyle name="Normal 3 20 4" xfId="21814"/>
    <cellStyle name="Normal 3 20 4 2" xfId="21815"/>
    <cellStyle name="Normal 3 20 5" xfId="21816"/>
    <cellStyle name="Normal 3 20 5 2" xfId="21817"/>
    <cellStyle name="Normal 3 20 6" xfId="21818"/>
    <cellStyle name="Normal 3 20 6 2" xfId="21819"/>
    <cellStyle name="Normal 3 20 7" xfId="21820"/>
    <cellStyle name="Normal 3 20 7 2" xfId="21821"/>
    <cellStyle name="Normal 3 20 8" xfId="21822"/>
    <cellStyle name="Normal 3 20 8 2" xfId="21823"/>
    <cellStyle name="Normal 3 21" xfId="21824"/>
    <cellStyle name="Normal 3 21 2" xfId="21825"/>
    <cellStyle name="Normal 3 21 2 2" xfId="21826"/>
    <cellStyle name="Normal 3 21 3" xfId="21827"/>
    <cellStyle name="Normal 3 21 3 2" xfId="21828"/>
    <cellStyle name="Normal 3 21 4" xfId="21829"/>
    <cellStyle name="Normal 3 21 4 2" xfId="21830"/>
    <cellStyle name="Normal 3 21 5" xfId="21831"/>
    <cellStyle name="Normal 3 21 5 2" xfId="21832"/>
    <cellStyle name="Normal 3 21 6" xfId="21833"/>
    <cellStyle name="Normal 3 21 6 2" xfId="21834"/>
    <cellStyle name="Normal 3 21 7" xfId="21835"/>
    <cellStyle name="Normal 3 21 7 2" xfId="21836"/>
    <cellStyle name="Normal 3 21 8" xfId="21837"/>
    <cellStyle name="Normal 3 22" xfId="21838"/>
    <cellStyle name="Normal 3 22 2" xfId="21839"/>
    <cellStyle name="Normal 3 22 2 2" xfId="21840"/>
    <cellStyle name="Normal 3 22 3" xfId="21841"/>
    <cellStyle name="Normal 3 22 3 2" xfId="21842"/>
    <cellStyle name="Normal 3 22 4" xfId="21843"/>
    <cellStyle name="Normal 3 22 5" xfId="21844"/>
    <cellStyle name="Normal 3 22 6" xfId="21845"/>
    <cellStyle name="Normal 3 22 7" xfId="21846"/>
    <cellStyle name="Normal 3 22 8" xfId="21847"/>
    <cellStyle name="Normal 3 23" xfId="21848"/>
    <cellStyle name="Normal 3 23 2" xfId="21849"/>
    <cellStyle name="Normal 3 23 2 2" xfId="21850"/>
    <cellStyle name="Normal 3 23 3" xfId="21851"/>
    <cellStyle name="Normal 3 23 4" xfId="21852"/>
    <cellStyle name="Normal 3 23 5" xfId="21853"/>
    <cellStyle name="Normal 3 23 6" xfId="21854"/>
    <cellStyle name="Normal 3 23 7" xfId="21855"/>
    <cellStyle name="Normal 3 23 7 2" xfId="21856"/>
    <cellStyle name="Normal 3 23 8" xfId="21857"/>
    <cellStyle name="Normal 3 24" xfId="21858"/>
    <cellStyle name="Normal 3 24 2" xfId="21859"/>
    <cellStyle name="Normal 3 24 3" xfId="21860"/>
    <cellStyle name="Normal 3 24 4" xfId="21861"/>
    <cellStyle name="Normal 3 24 5" xfId="21862"/>
    <cellStyle name="Normal 3 24 6" xfId="21863"/>
    <cellStyle name="Normal 3 24 7" xfId="21864"/>
    <cellStyle name="Normal 3 24 8" xfId="21865"/>
    <cellStyle name="Normal 3 25" xfId="21866"/>
    <cellStyle name="Normal 3 25 2" xfId="21867"/>
    <cellStyle name="Normal 3 25 3" xfId="21868"/>
    <cellStyle name="Normal 3 25 4" xfId="21869"/>
    <cellStyle name="Normal 3 25 4 2" xfId="21870"/>
    <cellStyle name="Normal 3 25 5" xfId="21871"/>
    <cellStyle name="Normal 3 25 6" xfId="21872"/>
    <cellStyle name="Normal 3 25 7" xfId="21873"/>
    <cellStyle name="Normal 3 25 8" xfId="21874"/>
    <cellStyle name="Normal 3 26" xfId="21875"/>
    <cellStyle name="Normal 3 26 2" xfId="21876"/>
    <cellStyle name="Normal 3 26 3" xfId="21877"/>
    <cellStyle name="Normal 3 26 4" xfId="21878"/>
    <cellStyle name="Normal 3 26 5" xfId="21879"/>
    <cellStyle name="Normal 3 26 6" xfId="21880"/>
    <cellStyle name="Normal 3 26 7" xfId="21881"/>
    <cellStyle name="Normal 3 26 7 2" xfId="21882"/>
    <cellStyle name="Normal 3 26 8" xfId="21883"/>
    <cellStyle name="Normal 3 27" xfId="21884"/>
    <cellStyle name="Normal 3 27 2" xfId="21885"/>
    <cellStyle name="Normal 3 27 3" xfId="21886"/>
    <cellStyle name="Normal 3 27 4" xfId="21887"/>
    <cellStyle name="Normal 3 27 5" xfId="21888"/>
    <cellStyle name="Normal 3 27 6" xfId="21889"/>
    <cellStyle name="Normal 3 27 7" xfId="21890"/>
    <cellStyle name="Normal 3 27 8" xfId="21891"/>
    <cellStyle name="Normal 3 28" xfId="21892"/>
    <cellStyle name="Normal 3 28 2" xfId="21893"/>
    <cellStyle name="Normal 3 28 3" xfId="21894"/>
    <cellStyle name="Normal 3 28 4" xfId="21895"/>
    <cellStyle name="Normal 3 28 5" xfId="21896"/>
    <cellStyle name="Normal 3 28 6" xfId="21897"/>
    <cellStyle name="Normal 3 28 7" xfId="21898"/>
    <cellStyle name="Normal 3 28 8" xfId="21899"/>
    <cellStyle name="Normal 3 29" xfId="21900"/>
    <cellStyle name="Normal 3 29 2" xfId="21901"/>
    <cellStyle name="Normal 3 29 3" xfId="21902"/>
    <cellStyle name="Normal 3 29 4" xfId="21903"/>
    <cellStyle name="Normal 3 29 5" xfId="21904"/>
    <cellStyle name="Normal 3 29 6" xfId="21905"/>
    <cellStyle name="Normal 3 29 7" xfId="21906"/>
    <cellStyle name="Normal 3 29 8" xfId="21907"/>
    <cellStyle name="Normal 3 3" xfId="21908"/>
    <cellStyle name="Normal 3 3 10" xfId="21909"/>
    <cellStyle name="Normal 3 3 11" xfId="21910"/>
    <cellStyle name="Normal 3 3 12" xfId="21911"/>
    <cellStyle name="Normal 3 3 13" xfId="21912"/>
    <cellStyle name="Normal 3 3 2" xfId="21913"/>
    <cellStyle name="Normal 3 3 2 2" xfId="21914"/>
    <cellStyle name="Normal 3 3 2 3" xfId="21915"/>
    <cellStyle name="Normal 3 3 2 4" xfId="21916"/>
    <cellStyle name="Normal 3 3 2 5" xfId="21917"/>
    <cellStyle name="Normal 3 3 2 6" xfId="21918"/>
    <cellStyle name="Normal 3 3 2 7" xfId="21919"/>
    <cellStyle name="Normal 3 3 3" xfId="21920"/>
    <cellStyle name="Normal 3 3 3 2" xfId="21921"/>
    <cellStyle name="Normal 3 3 3 3" xfId="21922"/>
    <cellStyle name="Normal 3 3 3 4" xfId="21923"/>
    <cellStyle name="Normal 3 3 3 5" xfId="21924"/>
    <cellStyle name="Normal 3 3 3 6" xfId="21925"/>
    <cellStyle name="Normal 3 3 3 7" xfId="21926"/>
    <cellStyle name="Normal 3 3 4" xfId="21927"/>
    <cellStyle name="Normal 3 3 4 2" xfId="21928"/>
    <cellStyle name="Normal 3 3 4 3" xfId="21929"/>
    <cellStyle name="Normal 3 3 4 4" xfId="21930"/>
    <cellStyle name="Normal 3 3 4 5" xfId="21931"/>
    <cellStyle name="Normal 3 3 4 6" xfId="21932"/>
    <cellStyle name="Normal 3 3 5" xfId="21933"/>
    <cellStyle name="Normal 3 3 6" xfId="21934"/>
    <cellStyle name="Normal 3 3 7" xfId="21935"/>
    <cellStyle name="Normal 3 3 8" xfId="21936"/>
    <cellStyle name="Normal 3 3 9" xfId="21937"/>
    <cellStyle name="Normal 3 30" xfId="21938"/>
    <cellStyle name="Normal 3 30 2" xfId="21939"/>
    <cellStyle name="Normal 3 30 3" xfId="21940"/>
    <cellStyle name="Normal 3 30 4" xfId="21941"/>
    <cellStyle name="Normal 3 30 4 2" xfId="21942"/>
    <cellStyle name="Normal 3 30 5" xfId="21943"/>
    <cellStyle name="Normal 3 30 6" xfId="21944"/>
    <cellStyle name="Normal 3 30 7" xfId="21945"/>
    <cellStyle name="Normal 3 30 8" xfId="21946"/>
    <cellStyle name="Normal 3 31" xfId="21947"/>
    <cellStyle name="Normal 3 31 2" xfId="21948"/>
    <cellStyle name="Normal 3 31 3" xfId="21949"/>
    <cellStyle name="Normal 3 31 4" xfId="21950"/>
    <cellStyle name="Normal 3 31 5" xfId="21951"/>
    <cellStyle name="Normal 3 31 6" xfId="21952"/>
    <cellStyle name="Normal 3 31 7" xfId="21953"/>
    <cellStyle name="Normal 3 31 7 2" xfId="21954"/>
    <cellStyle name="Normal 3 31 8" xfId="21955"/>
    <cellStyle name="Normal 3 32" xfId="21956"/>
    <cellStyle name="Normal 3 32 2" xfId="21957"/>
    <cellStyle name="Normal 3 32 3" xfId="21958"/>
    <cellStyle name="Normal 3 32 4" xfId="21959"/>
    <cellStyle name="Normal 3 32 5" xfId="21960"/>
    <cellStyle name="Normal 3 32 6" xfId="21961"/>
    <cellStyle name="Normal 3 32 7" xfId="21962"/>
    <cellStyle name="Normal 3 32 8" xfId="21963"/>
    <cellStyle name="Normal 3 33" xfId="21964"/>
    <cellStyle name="Normal 3 33 2" xfId="21965"/>
    <cellStyle name="Normal 3 33 3" xfId="21966"/>
    <cellStyle name="Normal 3 33 4" xfId="21967"/>
    <cellStyle name="Normal 3 33 5" xfId="21968"/>
    <cellStyle name="Normal 3 33 6" xfId="21969"/>
    <cellStyle name="Normal 3 33 7" xfId="21970"/>
    <cellStyle name="Normal 3 33 8" xfId="21971"/>
    <cellStyle name="Normal 3 34" xfId="21972"/>
    <cellStyle name="Normal 3 35" xfId="21973"/>
    <cellStyle name="Normal 3 36" xfId="21974"/>
    <cellStyle name="Normal 3 36 2" xfId="21975"/>
    <cellStyle name="Normal 3 37" xfId="21976"/>
    <cellStyle name="Normal 3 38" xfId="21977"/>
    <cellStyle name="Normal 3 39" xfId="21978"/>
    <cellStyle name="Normal 3 4" xfId="21979"/>
    <cellStyle name="Normal 3 4 10" xfId="21980"/>
    <cellStyle name="Normal 3 4 11" xfId="21981"/>
    <cellStyle name="Normal 3 4 12" xfId="21982"/>
    <cellStyle name="Normal 3 4 13" xfId="21983"/>
    <cellStyle name="Normal 3 4 2" xfId="21984"/>
    <cellStyle name="Normal 3 4 2 2" xfId="21985"/>
    <cellStyle name="Normal 3 4 2 2 2" xfId="21986"/>
    <cellStyle name="Normal 3 4 2 3" xfId="21987"/>
    <cellStyle name="Normal 3 4 2 4" xfId="21988"/>
    <cellStyle name="Normal 3 4 2 5" xfId="21989"/>
    <cellStyle name="Normal 3 4 3" xfId="21990"/>
    <cellStyle name="Normal 3 4 3 2" xfId="21991"/>
    <cellStyle name="Normal 3 4 3 3" xfId="21992"/>
    <cellStyle name="Normal 3 4 4" xfId="21993"/>
    <cellStyle name="Normal 3 4 5" xfId="21994"/>
    <cellStyle name="Normal 3 4 6" xfId="21995"/>
    <cellStyle name="Normal 3 4 7" xfId="21996"/>
    <cellStyle name="Normal 3 4 8" xfId="21997"/>
    <cellStyle name="Normal 3 4 9" xfId="21998"/>
    <cellStyle name="Normal 3 40" xfId="21999"/>
    <cellStyle name="Normal 3 41" xfId="22000"/>
    <cellStyle name="Normal 3 42" xfId="22001"/>
    <cellStyle name="Normal 3 43" xfId="22002"/>
    <cellStyle name="Normal 3 44" xfId="22003"/>
    <cellStyle name="Normal 3 45" xfId="22004"/>
    <cellStyle name="Normal 3 46" xfId="22005"/>
    <cellStyle name="Normal 3 47" xfId="22006"/>
    <cellStyle name="Normal 3 48" xfId="22007"/>
    <cellStyle name="Normal 3 49" xfId="22008"/>
    <cellStyle name="Normal 3 5" xfId="22009"/>
    <cellStyle name="Normal 3 5 10" xfId="22010"/>
    <cellStyle name="Normal 3 5 11" xfId="22011"/>
    <cellStyle name="Normal 3 5 12" xfId="22012"/>
    <cellStyle name="Normal 3 5 13" xfId="22013"/>
    <cellStyle name="Normal 3 5 13 2" xfId="22014"/>
    <cellStyle name="Normal 3 5 13 2 2" xfId="22015"/>
    <cellStyle name="Normal 3 5 13 2 3" xfId="22016"/>
    <cellStyle name="Normal 3 5 14" xfId="22017"/>
    <cellStyle name="Normal 3 5 15" xfId="22018"/>
    <cellStyle name="Normal 3 5 15 2" xfId="22019"/>
    <cellStyle name="Normal 3 5 15 3" xfId="22020"/>
    <cellStyle name="Normal 3 5 16" xfId="22021"/>
    <cellStyle name="Normal 3 5 17" xfId="22022"/>
    <cellStyle name="Normal 3 5 18" xfId="22023"/>
    <cellStyle name="Normal 3 5 2" xfId="22024"/>
    <cellStyle name="Normal 3 5 2 2" xfId="22025"/>
    <cellStyle name="Normal 3 5 2 3" xfId="22026"/>
    <cellStyle name="Normal 3 5 3" xfId="22027"/>
    <cellStyle name="Normal 3 5 3 2" xfId="22028"/>
    <cellStyle name="Normal 3 5 3 3" xfId="22029"/>
    <cellStyle name="Normal 3 5 4" xfId="22030"/>
    <cellStyle name="Normal 3 5 4 2" xfId="22031"/>
    <cellStyle name="Normal 3 5 4 3" xfId="22032"/>
    <cellStyle name="Normal 3 5 5" xfId="22033"/>
    <cellStyle name="Normal 3 5 5 2" xfId="22034"/>
    <cellStyle name="Normal 3 5 6" xfId="22035"/>
    <cellStyle name="Normal 3 5 7" xfId="22036"/>
    <cellStyle name="Normal 3 5 8" xfId="22037"/>
    <cellStyle name="Normal 3 5 9" xfId="22038"/>
    <cellStyle name="Normal 3 50" xfId="22039"/>
    <cellStyle name="Normal 3 51" xfId="22040"/>
    <cellStyle name="Normal 3 52" xfId="22041"/>
    <cellStyle name="Normal 3 53" xfId="22042"/>
    <cellStyle name="Normal 3 54" xfId="22043"/>
    <cellStyle name="Normal 3 6" xfId="22044"/>
    <cellStyle name="Normal 3 6 10" xfId="22045"/>
    <cellStyle name="Normal 3 6 11" xfId="22046"/>
    <cellStyle name="Normal 3 6 2" xfId="22047"/>
    <cellStyle name="Normal 3 6 3" xfId="22048"/>
    <cellStyle name="Normal 3 6 4" xfId="22049"/>
    <cellStyle name="Normal 3 6 5" xfId="22050"/>
    <cellStyle name="Normal 3 6 6" xfId="22051"/>
    <cellStyle name="Normal 3 6 7" xfId="22052"/>
    <cellStyle name="Normal 3 6 8" xfId="22053"/>
    <cellStyle name="Normal 3 6 9" xfId="22054"/>
    <cellStyle name="Normal 3 7" xfId="22055"/>
    <cellStyle name="Normal 3 7 10" xfId="22056"/>
    <cellStyle name="Normal 3 7 2" xfId="22057"/>
    <cellStyle name="Normal 3 7 3" xfId="22058"/>
    <cellStyle name="Normal 3 7 4" xfId="22059"/>
    <cellStyle name="Normal 3 7 5" xfId="22060"/>
    <cellStyle name="Normal 3 7 6" xfId="22061"/>
    <cellStyle name="Normal 3 7 7" xfId="22062"/>
    <cellStyle name="Normal 3 7 8" xfId="22063"/>
    <cellStyle name="Normal 3 7 9" xfId="22064"/>
    <cellStyle name="Normal 3 8" xfId="22065"/>
    <cellStyle name="Normal 3 8 10" xfId="22066"/>
    <cellStyle name="Normal 3 8 2" xfId="22067"/>
    <cellStyle name="Normal 3 8 3" xfId="22068"/>
    <cellStyle name="Normal 3 8 4" xfId="22069"/>
    <cellStyle name="Normal 3 8 5" xfId="22070"/>
    <cellStyle name="Normal 3 8 6" xfId="22071"/>
    <cellStyle name="Normal 3 8 7" xfId="22072"/>
    <cellStyle name="Normal 3 8 8" xfId="22073"/>
    <cellStyle name="Normal 3 8 9" xfId="22074"/>
    <cellStyle name="Normal 3 9" xfId="22075"/>
    <cellStyle name="Normal 3 9 10" xfId="22076"/>
    <cellStyle name="Normal 3 9 2" xfId="22077"/>
    <cellStyle name="Normal 3 9 3" xfId="22078"/>
    <cellStyle name="Normal 3 9 4" xfId="22079"/>
    <cellStyle name="Normal 3 9 5" xfId="22080"/>
    <cellStyle name="Normal 3 9 6" xfId="22081"/>
    <cellStyle name="Normal 3 9 7" xfId="22082"/>
    <cellStyle name="Normal 3 9 8" xfId="22083"/>
    <cellStyle name="Normal 3 9 9" xfId="22084"/>
    <cellStyle name="Normal 3_Book1" xfId="22085"/>
    <cellStyle name="Normal 30" xfId="22086"/>
    <cellStyle name="Normal 30 10" xfId="22087"/>
    <cellStyle name="Normal 30 11" xfId="22088"/>
    <cellStyle name="Normal 30 2 2 2" xfId="22089"/>
    <cellStyle name="Normal 30 2 2 2 2" xfId="22090"/>
    <cellStyle name="Normal 30 2 2 2 3" xfId="22091"/>
    <cellStyle name="Normal 30 2 2 2 4" xfId="22092"/>
    <cellStyle name="Normal 30 2 2 3" xfId="22093"/>
    <cellStyle name="Normal 30 2 2 4" xfId="22094"/>
    <cellStyle name="Normal 30 2 2 5" xfId="22095"/>
    <cellStyle name="Normal 30 2 3 2" xfId="22096"/>
    <cellStyle name="Normal 30 2 3 3" xfId="22097"/>
    <cellStyle name="Normal 30 2 3 4" xfId="22098"/>
    <cellStyle name="Normal 30 3 2" xfId="22099"/>
    <cellStyle name="Normal 30 3 2 2" xfId="22100"/>
    <cellStyle name="Normal 30 3 2 2 2" xfId="22101"/>
    <cellStyle name="Normal 30 3 2 2 3" xfId="22102"/>
    <cellStyle name="Normal 30 3 2 2 4" xfId="22103"/>
    <cellStyle name="Normal 30 3 2 3" xfId="22104"/>
    <cellStyle name="Normal 30 3 2 4" xfId="22105"/>
    <cellStyle name="Normal 30 3 2 5" xfId="22106"/>
    <cellStyle name="Normal 30 3 3 2" xfId="22107"/>
    <cellStyle name="Normal 30 3 3 3" xfId="22108"/>
    <cellStyle name="Normal 30 4 2" xfId="22109"/>
    <cellStyle name="Normal 30 4 2 2" xfId="22110"/>
    <cellStyle name="Normal 30 4 2 3" xfId="22111"/>
    <cellStyle name="Normal 30 4 4" xfId="22112"/>
    <cellStyle name="Normal 30 4 5" xfId="22113"/>
    <cellStyle name="Normal 30 5 2 2" xfId="22114"/>
    <cellStyle name="Normal 30 5 2 3" xfId="22115"/>
    <cellStyle name="Normal 30 5 2 4" xfId="22116"/>
    <cellStyle name="Normal 30 5 5" xfId="22117"/>
    <cellStyle name="Normal 30 8 2" xfId="22118"/>
    <cellStyle name="Normal 30 8 3" xfId="22119"/>
    <cellStyle name="Normal 30 8 4" xfId="22120"/>
    <cellStyle name="Normal 31" xfId="22121"/>
    <cellStyle name="Normal 31 2 2 2" xfId="22122"/>
    <cellStyle name="Normal 31 2 2 2 2" xfId="22123"/>
    <cellStyle name="Normal 31 2 2 2 3" xfId="22124"/>
    <cellStyle name="Normal 31 2 2 2 4" xfId="22125"/>
    <cellStyle name="Normal 31 2 2 3" xfId="22126"/>
    <cellStyle name="Normal 31 2 2 4" xfId="22127"/>
    <cellStyle name="Normal 31 2 3 2" xfId="22128"/>
    <cellStyle name="Normal 31 2 3 3" xfId="22129"/>
    <cellStyle name="Normal 31 2 3 4" xfId="22130"/>
    <cellStyle name="Normal 31 3 2" xfId="22131"/>
    <cellStyle name="Normal 31 3 2 5" xfId="22132"/>
    <cellStyle name="Normal 31 3 3" xfId="22133"/>
    <cellStyle name="Normal 31 3 3 2" xfId="22134"/>
    <cellStyle name="Normal 31 3 3 3" xfId="22135"/>
    <cellStyle name="Normal 31 3 4" xfId="22136"/>
    <cellStyle name="Normal 31 3 5" xfId="22137"/>
    <cellStyle name="Normal 31 3 6" xfId="22138"/>
    <cellStyle name="Normal 31 4 5" xfId="22139"/>
    <cellStyle name="Normal 31 5 2 3" xfId="22140"/>
    <cellStyle name="Normal 31 5 2 4" xfId="22141"/>
    <cellStyle name="Normal 31 5 5" xfId="22142"/>
    <cellStyle name="Normal 31 8 2" xfId="22143"/>
    <cellStyle name="Normal 31 8 3" xfId="22144"/>
    <cellStyle name="Normal 31 8 4" xfId="22145"/>
    <cellStyle name="Normal 32" xfId="22146"/>
    <cellStyle name="Normal 32 10" xfId="22147"/>
    <cellStyle name="Normal 32 11" xfId="22148"/>
    <cellStyle name="Normal 32 2" xfId="22149"/>
    <cellStyle name="Normal 32 2 3 2" xfId="22150"/>
    <cellStyle name="Normal 32 2 3 3" xfId="22151"/>
    <cellStyle name="Normal 32 3" xfId="22152"/>
    <cellStyle name="Normal 32 3 2 2 3" xfId="22153"/>
    <cellStyle name="Normal 32 3 2 2 4" xfId="22154"/>
    <cellStyle name="Normal 32 3 2 4" xfId="22155"/>
    <cellStyle name="Normal 32 3 2 5" xfId="22156"/>
    <cellStyle name="Normal 32 3 3 2" xfId="22157"/>
    <cellStyle name="Normal 32 3 3 3" xfId="22158"/>
    <cellStyle name="Normal 32 3 3 4" xfId="22159"/>
    <cellStyle name="Normal 32 3 5" xfId="22160"/>
    <cellStyle name="Normal 32 3 6" xfId="22161"/>
    <cellStyle name="Normal 32 4" xfId="22162"/>
    <cellStyle name="Normal 32 4 2" xfId="22163"/>
    <cellStyle name="Normal 32 4 2 4" xfId="22164"/>
    <cellStyle name="Normal 32 4 3" xfId="22165"/>
    <cellStyle name="Normal 32 4 5" xfId="22166"/>
    <cellStyle name="Normal 32 5" xfId="22167"/>
    <cellStyle name="Normal 32 5 2 3" xfId="22168"/>
    <cellStyle name="Normal 32 5 2 4" xfId="22169"/>
    <cellStyle name="Normal 32 8 2" xfId="22170"/>
    <cellStyle name="Normal 32 8 3" xfId="22171"/>
    <cellStyle name="Normal 32 8 4" xfId="22172"/>
    <cellStyle name="Normal 33" xfId="22173"/>
    <cellStyle name="Normal 33 10" xfId="22174"/>
    <cellStyle name="Normal 33 11" xfId="22175"/>
    <cellStyle name="Normal 33 2" xfId="22176"/>
    <cellStyle name="Normal 33 2 2" xfId="22177"/>
    <cellStyle name="Normal 33 2 2 2" xfId="22178"/>
    <cellStyle name="Normal 33 2 2 2 2" xfId="22179"/>
    <cellStyle name="Normal 33 2 2 2 3" xfId="22180"/>
    <cellStyle name="Normal 33 2 2 2 4" xfId="22181"/>
    <cellStyle name="Normal 33 2 2 3" xfId="22182"/>
    <cellStyle name="Normal 33 2 2 4" xfId="22183"/>
    <cellStyle name="Normal 33 2 2 5" xfId="22184"/>
    <cellStyle name="Normal 33 2 3" xfId="22185"/>
    <cellStyle name="Normal 33 2 3 2" xfId="22186"/>
    <cellStyle name="Normal 33 2 3 3" xfId="22187"/>
    <cellStyle name="Normal 33 2 3 4" xfId="22188"/>
    <cellStyle name="Normal 33 2 4" xfId="22189"/>
    <cellStyle name="Normal 33 2 5" xfId="22190"/>
    <cellStyle name="Normal 33 2 6" xfId="22191"/>
    <cellStyle name="Normal 33 3 2" xfId="22192"/>
    <cellStyle name="Normal 33 3 2 2" xfId="22193"/>
    <cellStyle name="Normal 33 3 2 2 2" xfId="22194"/>
    <cellStyle name="Normal 33 3 2 2 3" xfId="22195"/>
    <cellStyle name="Normal 33 3 2 2 4" xfId="22196"/>
    <cellStyle name="Normal 33 3 2 3" xfId="22197"/>
    <cellStyle name="Normal 33 3 2 4" xfId="22198"/>
    <cellStyle name="Normal 33 3 2 5" xfId="22199"/>
    <cellStyle name="Normal 33 3 3" xfId="22200"/>
    <cellStyle name="Normal 33 3 3 2" xfId="22201"/>
    <cellStyle name="Normal 33 3 3 3" xfId="22202"/>
    <cellStyle name="Normal 33 3 3 4" xfId="22203"/>
    <cellStyle name="Normal 33 3 4" xfId="22204"/>
    <cellStyle name="Normal 33 3 5" xfId="22205"/>
    <cellStyle name="Normal 33 3 6" xfId="22206"/>
    <cellStyle name="Normal 33 4 2" xfId="22207"/>
    <cellStyle name="Normal 33 4 2 2" xfId="22208"/>
    <cellStyle name="Normal 33 4 2 3" xfId="22209"/>
    <cellStyle name="Normal 33 4 2 4" xfId="22210"/>
    <cellStyle name="Normal 33 4 3" xfId="22211"/>
    <cellStyle name="Normal 33 4 4" xfId="22212"/>
    <cellStyle name="Normal 33 4 5" xfId="22213"/>
    <cellStyle name="Normal 33 5 2 4" xfId="22214"/>
    <cellStyle name="Normal 33 5 3" xfId="22215"/>
    <cellStyle name="Normal 33 6" xfId="22216"/>
    <cellStyle name="Normal 33 6 2" xfId="22217"/>
    <cellStyle name="Normal 33 6 3" xfId="22218"/>
    <cellStyle name="Normal 33 6 4" xfId="22219"/>
    <cellStyle name="Normal 33 7" xfId="22220"/>
    <cellStyle name="Normal 33 8" xfId="22221"/>
    <cellStyle name="Normal 33 8 2" xfId="22222"/>
    <cellStyle name="Normal 33 8 3" xfId="22223"/>
    <cellStyle name="Normal 33 8 4" xfId="22224"/>
    <cellStyle name="Normal 33 9" xfId="22225"/>
    <cellStyle name="Normal 34" xfId="22226"/>
    <cellStyle name="Normal 34 10" xfId="22227"/>
    <cellStyle name="Normal 34 11" xfId="22228"/>
    <cellStyle name="Normal 34 2" xfId="22229"/>
    <cellStyle name="Normal 34 2 2" xfId="22230"/>
    <cellStyle name="Normal 34 2 2 2" xfId="22231"/>
    <cellStyle name="Normal 34 2 2 2 2" xfId="22232"/>
    <cellStyle name="Normal 34 2 2 2 3" xfId="22233"/>
    <cellStyle name="Normal 34 2 2 2 4" xfId="22234"/>
    <cellStyle name="Normal 34 2 2 4" xfId="22235"/>
    <cellStyle name="Normal 34 2 2 5" xfId="22236"/>
    <cellStyle name="Normal 34 2 3" xfId="22237"/>
    <cellStyle name="Normal 34 2 3 2" xfId="22238"/>
    <cellStyle name="Normal 34 2 3 3" xfId="22239"/>
    <cellStyle name="Normal 34 2 3 4" xfId="22240"/>
    <cellStyle name="Normal 34 2 4" xfId="22241"/>
    <cellStyle name="Normal 34 2 5" xfId="22242"/>
    <cellStyle name="Normal 34 3" xfId="22243"/>
    <cellStyle name="Normal 34 3 2" xfId="22244"/>
    <cellStyle name="Normal 34 3 2 2 2" xfId="22245"/>
    <cellStyle name="Normal 34 3 2 2 3" xfId="22246"/>
    <cellStyle name="Normal 34 3 2 2 4" xfId="22247"/>
    <cellStyle name="Normal 34 3 2 4" xfId="22248"/>
    <cellStyle name="Normal 34 3 2 5" xfId="22249"/>
    <cellStyle name="Normal 34 3 3" xfId="22250"/>
    <cellStyle name="Normal 34 3 3 2" xfId="22251"/>
    <cellStyle name="Normal 34 3 3 4" xfId="22252"/>
    <cellStyle name="Normal 34 3 4" xfId="22253"/>
    <cellStyle name="Normal 34 3 5" xfId="22254"/>
    <cellStyle name="Normal 34 3 6" xfId="22255"/>
    <cellStyle name="Normal 34 4" xfId="22256"/>
    <cellStyle name="Normal 34 4 2" xfId="22257"/>
    <cellStyle name="Normal 34 4 2 2" xfId="22258"/>
    <cellStyle name="Normal 34 4 2 3" xfId="22259"/>
    <cellStyle name="Normal 34 4 2 4" xfId="22260"/>
    <cellStyle name="Normal 34 4 3" xfId="22261"/>
    <cellStyle name="Normal 34 4 4" xfId="22262"/>
    <cellStyle name="Normal 34 4 5" xfId="22263"/>
    <cellStyle name="Normal 34 5" xfId="22264"/>
    <cellStyle name="Normal 34 5 2" xfId="22265"/>
    <cellStyle name="Normal 34 5 2 4" xfId="22266"/>
    <cellStyle name="Normal 34 6" xfId="22267"/>
    <cellStyle name="Normal 34 7" xfId="22268"/>
    <cellStyle name="Normal 34 8" xfId="22269"/>
    <cellStyle name="Normal 35" xfId="22270"/>
    <cellStyle name="Normal 35 2 2 4" xfId="22271"/>
    <cellStyle name="Normal 35 2 2 5" xfId="22272"/>
    <cellStyle name="Normal 35 2 3 4" xfId="22273"/>
    <cellStyle name="Normal 35 3 2 4" xfId="22274"/>
    <cellStyle name="Normal 35 3 2 5" xfId="22275"/>
    <cellStyle name="Normal 35 3 3 4" xfId="22276"/>
    <cellStyle name="Normal 35 4 2 4" xfId="22277"/>
    <cellStyle name="Normal 35 5 2 4" xfId="22278"/>
    <cellStyle name="Normal 36" xfId="22279"/>
    <cellStyle name="Normal 36 2 2" xfId="22280"/>
    <cellStyle name="Normal 36 2 2 2 2" xfId="22281"/>
    <cellStyle name="Normal 36 3 2" xfId="22282"/>
    <cellStyle name="Normal 36 8" xfId="22283"/>
    <cellStyle name="Normal 36 8 2" xfId="22284"/>
    <cellStyle name="Normal 36 8 3" xfId="22285"/>
    <cellStyle name="Normal 36 8 4" xfId="22286"/>
    <cellStyle name="Normal 36 9" xfId="22287"/>
    <cellStyle name="Normal 37" xfId="22288"/>
    <cellStyle name="Normal 37 11" xfId="22289"/>
    <cellStyle name="Normal 37 2 2" xfId="22290"/>
    <cellStyle name="Normal 37 2 2 4" xfId="22291"/>
    <cellStyle name="Normal 37 2 2 5" xfId="22292"/>
    <cellStyle name="Normal 37 3 2" xfId="22293"/>
    <cellStyle name="Normal 37 8" xfId="22294"/>
    <cellStyle name="Normal 37 9" xfId="22295"/>
    <cellStyle name="Normal 38" xfId="22296"/>
    <cellStyle name="Normal 38 2 2 4" xfId="22297"/>
    <cellStyle name="Normal 38 2 2 5" xfId="22298"/>
    <cellStyle name="Normal 39" xfId="22299"/>
    <cellStyle name="Normal 39 2 2 4" xfId="22300"/>
    <cellStyle name="Normal 4" xfId="22301"/>
    <cellStyle name="Normal 4 10" xfId="22302"/>
    <cellStyle name="Normal 4 11" xfId="22303"/>
    <cellStyle name="Normal 4 12" xfId="22304"/>
    <cellStyle name="Normal 4 13" xfId="22305"/>
    <cellStyle name="Normal 4 14" xfId="22306"/>
    <cellStyle name="Normal 4 15" xfId="22307"/>
    <cellStyle name="Normal 4 16" xfId="22308"/>
    <cellStyle name="Normal 4 17" xfId="22309"/>
    <cellStyle name="Normal 4 18" xfId="22310"/>
    <cellStyle name="Normal 4 18 2" xfId="22311"/>
    <cellStyle name="Normal 4 18 3" xfId="22312"/>
    <cellStyle name="Normal 4 18 4" xfId="22313"/>
    <cellStyle name="Normal 4 18 5" xfId="22314"/>
    <cellStyle name="Normal 4 18 6" xfId="22315"/>
    <cellStyle name="Normal 4 19" xfId="22316"/>
    <cellStyle name="Normal 4 2" xfId="22317"/>
    <cellStyle name="Normal 4 2 10" xfId="22318"/>
    <cellStyle name="Normal 4 2 11" xfId="22319"/>
    <cellStyle name="Normal 4 2 12" xfId="22320"/>
    <cellStyle name="Normal 4 2 13" xfId="22321"/>
    <cellStyle name="Normal 4 2 2" xfId="22322"/>
    <cellStyle name="Normal 4 2 2 10" xfId="22323"/>
    <cellStyle name="Normal 4 2 2 10 2" xfId="22324"/>
    <cellStyle name="Normal 4 2 2 10 2 2" xfId="22325"/>
    <cellStyle name="Normal 4 2 2 10 3" xfId="22326"/>
    <cellStyle name="Normal 4 2 2 11" xfId="22327"/>
    <cellStyle name="Normal 4 2 2 11 2" xfId="22328"/>
    <cellStyle name="Normal 4 2 2 12" xfId="22329"/>
    <cellStyle name="Normal 4 2 2 12 2" xfId="22330"/>
    <cellStyle name="Normal 4 2 2 13" xfId="22331"/>
    <cellStyle name="Normal 4 2 2 13 2" xfId="22332"/>
    <cellStyle name="Normal 4 2 2 14" xfId="22333"/>
    <cellStyle name="Normal 4 2 2 15" xfId="22334"/>
    <cellStyle name="Normal 4 2 2 16" xfId="22335"/>
    <cellStyle name="Normal 4 2 2 17" xfId="22336"/>
    <cellStyle name="Normal 4 2 2 18" xfId="22337"/>
    <cellStyle name="Normal 4 2 2 2" xfId="22338"/>
    <cellStyle name="Normal 4 2 2 2 2" xfId="22339"/>
    <cellStyle name="Normal 4 2 2 2 2 2" xfId="22340"/>
    <cellStyle name="Normal 4 2 2 2 2 2 2" xfId="22341"/>
    <cellStyle name="Normal 4 2 2 2 2 3" xfId="22342"/>
    <cellStyle name="Normal 4 2 2 2 3" xfId="22343"/>
    <cellStyle name="Normal 4 2 2 2 3 2" xfId="22344"/>
    <cellStyle name="Normal 4 2 2 2 3 2 2" xfId="22345"/>
    <cellStyle name="Normal 4 2 2 2 3 2 3" xfId="22346"/>
    <cellStyle name="Normal 4 2 2 2 3 3" xfId="22347"/>
    <cellStyle name="Normal 4 2 2 2 4" xfId="22348"/>
    <cellStyle name="Normal 4 2 2 2 4 2" xfId="22349"/>
    <cellStyle name="Normal 4 2 2 2 4 3" xfId="22350"/>
    <cellStyle name="Normal 4 2 2 2 5" xfId="22351"/>
    <cellStyle name="Normal 4 2 2 2 6" xfId="22352"/>
    <cellStyle name="Normal 4 2 2 3" xfId="22353"/>
    <cellStyle name="Normal 4 2 2 3 2" xfId="22354"/>
    <cellStyle name="Normal 4 2 2 3 2 2" xfId="22355"/>
    <cellStyle name="Normal 4 2 2 3 2 2 2" xfId="22356"/>
    <cellStyle name="Normal 4 2 2 3 2 3" xfId="22357"/>
    <cellStyle name="Normal 4 2 2 3 3" xfId="22358"/>
    <cellStyle name="Normal 4 2 2 3 3 2" xfId="22359"/>
    <cellStyle name="Normal 4 2 2 3 3 2 2" xfId="22360"/>
    <cellStyle name="Normal 4 2 2 3 3 3" xfId="22361"/>
    <cellStyle name="Normal 4 2 2 3 4" xfId="22362"/>
    <cellStyle name="Normal 4 2 2 3 4 2" xfId="22363"/>
    <cellStyle name="Normal 4 2 2 3 5" xfId="22364"/>
    <cellStyle name="Normal 4 2 2 3 6" xfId="22365"/>
    <cellStyle name="Normal 4 2 2 4" xfId="22366"/>
    <cellStyle name="Normal 4 2 2 4 2" xfId="22367"/>
    <cellStyle name="Normal 4 2 2 4 2 2" xfId="22368"/>
    <cellStyle name="Normal 4 2 2 4 2 2 2" xfId="22369"/>
    <cellStyle name="Normal 4 2 2 4 2 3" xfId="22370"/>
    <cellStyle name="Normal 4 2 2 4 3" xfId="22371"/>
    <cellStyle name="Normal 4 2 2 4 3 2" xfId="22372"/>
    <cellStyle name="Normal 4 2 2 4 3 2 2" xfId="22373"/>
    <cellStyle name="Normal 4 2 2 4 3 3" xfId="22374"/>
    <cellStyle name="Normal 4 2 2 4 4" xfId="22375"/>
    <cellStyle name="Normal 4 2 2 4 4 2" xfId="22376"/>
    <cellStyle name="Normal 4 2 2 4 5" xfId="22377"/>
    <cellStyle name="Normal 4 2 2 4 6" xfId="22378"/>
    <cellStyle name="Normal 4 2 2 5" xfId="22379"/>
    <cellStyle name="Normal 4 2 2 5 2" xfId="22380"/>
    <cellStyle name="Normal 4 2 2 5 2 2" xfId="22381"/>
    <cellStyle name="Normal 4 2 2 5 3" xfId="22382"/>
    <cellStyle name="Normal 4 2 2 6" xfId="22383"/>
    <cellStyle name="Normal 4 2 2 6 2" xfId="22384"/>
    <cellStyle name="Normal 4 2 2 6 2 2" xfId="22385"/>
    <cellStyle name="Normal 4 2 2 6 3" xfId="22386"/>
    <cellStyle name="Normal 4 2 2 7" xfId="22387"/>
    <cellStyle name="Normal 4 2 2 7 2" xfId="22388"/>
    <cellStyle name="Normal 4 2 2 7 2 2" xfId="22389"/>
    <cellStyle name="Normal 4 2 2 7 3" xfId="22390"/>
    <cellStyle name="Normal 4 2 2 8" xfId="22391"/>
    <cellStyle name="Normal 4 2 2 8 2" xfId="22392"/>
    <cellStyle name="Normal 4 2 2 8 2 2" xfId="22393"/>
    <cellStyle name="Normal 4 2 2 8 3" xfId="22394"/>
    <cellStyle name="Normal 4 2 2 9" xfId="22395"/>
    <cellStyle name="Normal 4 2 2 9 2" xfId="22396"/>
    <cellStyle name="Normal 4 2 2 9 2 2" xfId="22397"/>
    <cellStyle name="Normal 4 2 2 9 2 3" xfId="22398"/>
    <cellStyle name="Normal 4 2 2 9 3" xfId="22399"/>
    <cellStyle name="Normal 4 2 3" xfId="22400"/>
    <cellStyle name="Normal 4 2 4" xfId="22401"/>
    <cellStyle name="Normal 4 2 5" xfId="22402"/>
    <cellStyle name="Normal 4 2 6" xfId="22403"/>
    <cellStyle name="Normal 4 2 7" xfId="22404"/>
    <cellStyle name="Normal 4 2 8" xfId="22405"/>
    <cellStyle name="Normal 4 2 9" xfId="22406"/>
    <cellStyle name="Normal 4 20" xfId="22407"/>
    <cellStyle name="Normal 4 21" xfId="22408"/>
    <cellStyle name="Normal 4 22" xfId="22409"/>
    <cellStyle name="Normal 4 3" xfId="22410"/>
    <cellStyle name="Normal 4 3 10" xfId="22411"/>
    <cellStyle name="Normal 4 3 11" xfId="22412"/>
    <cellStyle name="Normal 4 3 12" xfId="22413"/>
    <cellStyle name="Normal 4 3 13" xfId="22414"/>
    <cellStyle name="Normal 4 3 14" xfId="22415"/>
    <cellStyle name="Normal 4 3 2" xfId="22416"/>
    <cellStyle name="Normal 4 3 2 2" xfId="22417"/>
    <cellStyle name="Normal 4 3 2 3" xfId="22418"/>
    <cellStyle name="Normal 4 3 3" xfId="22419"/>
    <cellStyle name="Normal 4 3 3 2" xfId="22420"/>
    <cellStyle name="Normal 4 3 3 3" xfId="22421"/>
    <cellStyle name="Normal 4 3 4" xfId="22422"/>
    <cellStyle name="Normal 4 3 5" xfId="22423"/>
    <cellStyle name="Normal 4 3 6" xfId="22424"/>
    <cellStyle name="Normal 4 3 7" xfId="22425"/>
    <cellStyle name="Normal 4 3 8" xfId="22426"/>
    <cellStyle name="Normal 4 3 9" xfId="22427"/>
    <cellStyle name="Normal 4 4" xfId="22428"/>
    <cellStyle name="Normal 4 4 10" xfId="22429"/>
    <cellStyle name="Normal 4 4 2" xfId="22430"/>
    <cellStyle name="Normal 4 4 3" xfId="22431"/>
    <cellStyle name="Normal 4 4 4" xfId="22432"/>
    <cellStyle name="Normal 4 4 5" xfId="22433"/>
    <cellStyle name="Normal 4 4 6" xfId="22434"/>
    <cellStyle name="Normal 4 4 7" xfId="22435"/>
    <cellStyle name="Normal 4 4 8" xfId="22436"/>
    <cellStyle name="Normal 4 4 9" xfId="22437"/>
    <cellStyle name="Normal 4 5" xfId="22438"/>
    <cellStyle name="Normal 4 5 2" xfId="22439"/>
    <cellStyle name="Normal 4 5 3" xfId="22440"/>
    <cellStyle name="Normal 4 6" xfId="22441"/>
    <cellStyle name="Normal 4 7" xfId="22442"/>
    <cellStyle name="Normal 4 8" xfId="22443"/>
    <cellStyle name="Normal 4 9" xfId="22444"/>
    <cellStyle name="Normal 4_BreakdownDataInvoice Cussons Phase III&amp;IV Week 48 (2010-12-02)" xfId="22445"/>
    <cellStyle name="Normal 40" xfId="22446"/>
    <cellStyle name="Normal 40 2 2 4" xfId="22447"/>
    <cellStyle name="Normal 40 2 2 5" xfId="22448"/>
    <cellStyle name="Normal 40 2 3 4" xfId="22449"/>
    <cellStyle name="Normal 40 3 2 4" xfId="22450"/>
    <cellStyle name="Normal 40 3 2 5" xfId="22451"/>
    <cellStyle name="Normal 40 3 3 4" xfId="22452"/>
    <cellStyle name="Normal 40 4 2 4" xfId="22453"/>
    <cellStyle name="Normal 40 5 2 4" xfId="22454"/>
    <cellStyle name="Normal 41" xfId="22455"/>
    <cellStyle name="Normal 41 2 2" xfId="22456"/>
    <cellStyle name="Normal 41 2 2 2 2" xfId="22457"/>
    <cellStyle name="Normal 41 3 2" xfId="22458"/>
    <cellStyle name="Normal 41 8" xfId="22459"/>
    <cellStyle name="Normal 41 8 2" xfId="22460"/>
    <cellStyle name="Normal 41 8 3" xfId="22461"/>
    <cellStyle name="Normal 41 8 4" xfId="22462"/>
    <cellStyle name="Normal 41 9" xfId="22463"/>
    <cellStyle name="Normal 42" xfId="22464"/>
    <cellStyle name="Normal 42 11" xfId="22465"/>
    <cellStyle name="Normal 42 2 2" xfId="22466"/>
    <cellStyle name="Normal 42 2 2 4" xfId="22467"/>
    <cellStyle name="Normal 42 2 2 5" xfId="22468"/>
    <cellStyle name="Normal 42 3 2" xfId="22469"/>
    <cellStyle name="Normal 42 8" xfId="22470"/>
    <cellStyle name="Normal 42 9" xfId="22471"/>
    <cellStyle name="Normal 43" xfId="22472"/>
    <cellStyle name="Normal 43 2 2 4" xfId="22473"/>
    <cellStyle name="Normal 43 2 2 5" xfId="22474"/>
    <cellStyle name="Normal 44" xfId="22475"/>
    <cellStyle name="Normal 44 2 2 4" xfId="22476"/>
    <cellStyle name="Normal 45" xfId="22477"/>
    <cellStyle name="Normal 45 5" xfId="22478"/>
    <cellStyle name="Normal 45 6" xfId="22479"/>
    <cellStyle name="Normal 45 7" xfId="22480"/>
    <cellStyle name="Normal 45 8" xfId="22481"/>
    <cellStyle name="Normal 45 9" xfId="22482"/>
    <cellStyle name="Normal 46" xfId="22483"/>
    <cellStyle name="Normal 47" xfId="22484"/>
    <cellStyle name="Normal 47 2 2 4" xfId="22485"/>
    <cellStyle name="Normal 47 2 2 5" xfId="22486"/>
    <cellStyle name="Normal 47 3 2 4" xfId="22487"/>
    <cellStyle name="Normal 47 3 2 5" xfId="22488"/>
    <cellStyle name="Normal 48" xfId="22489"/>
    <cellStyle name="Normal 48 2" xfId="22490"/>
    <cellStyle name="Normal 48 3" xfId="22491"/>
    <cellStyle name="Normal 48 4" xfId="22492"/>
    <cellStyle name="Normal 48 5" xfId="22493"/>
    <cellStyle name="Normal 48 6" xfId="22494"/>
    <cellStyle name="Normal 49" xfId="22495"/>
    <cellStyle name="Normal 49 2" xfId="22496"/>
    <cellStyle name="Normal 49 3" xfId="22497"/>
    <cellStyle name="Normal 49 4" xfId="22498"/>
    <cellStyle name="Normal 49 5" xfId="22499"/>
    <cellStyle name="Normal 49 6" xfId="22500"/>
    <cellStyle name="Normal 5" xfId="22501"/>
    <cellStyle name="Normal 5 10" xfId="22502"/>
    <cellStyle name="Normal 5 11" xfId="22503"/>
    <cellStyle name="Normal 5 12" xfId="22504"/>
    <cellStyle name="Normal 5 2" xfId="22505"/>
    <cellStyle name="Normal 5 2 10" xfId="22506"/>
    <cellStyle name="Normal 5 2 11" xfId="22507"/>
    <cellStyle name="Normal 5 2 12" xfId="22508"/>
    <cellStyle name="Normal 5 2 13" xfId="22509"/>
    <cellStyle name="Normal 5 2 14" xfId="22510"/>
    <cellStyle name="Normal 5 2 2" xfId="22511"/>
    <cellStyle name="Normal 5 2 3" xfId="22512"/>
    <cellStyle name="Normal 5 2 4" xfId="22513"/>
    <cellStyle name="Normal 5 2 5" xfId="22514"/>
    <cellStyle name="Normal 5 2 6" xfId="22515"/>
    <cellStyle name="Normal 5 2 7" xfId="22516"/>
    <cellStyle name="Normal 5 2 8" xfId="22517"/>
    <cellStyle name="Normal 5 2 9" xfId="22518"/>
    <cellStyle name="Normal 5 2_05. HMS Pda Okt (Wk 40-43)" xfId="22519"/>
    <cellStyle name="Normal 5 3" xfId="22520"/>
    <cellStyle name="Normal 5 3 2" xfId="22521"/>
    <cellStyle name="Normal 5 3 3" xfId="22522"/>
    <cellStyle name="Normal 5 3 4" xfId="22523"/>
    <cellStyle name="Normal 5 3 5" xfId="22524"/>
    <cellStyle name="Normal 5 3 6" xfId="22525"/>
    <cellStyle name="Normal 5 3 7" xfId="22526"/>
    <cellStyle name="Normal 5 3 8" xfId="22527"/>
    <cellStyle name="Normal 5 4" xfId="22528"/>
    <cellStyle name="Normal 5 4 2" xfId="22529"/>
    <cellStyle name="Normal 5 4 3" xfId="22530"/>
    <cellStyle name="Normal 5 4 4" xfId="22531"/>
    <cellStyle name="Normal 5 4 5" xfId="22532"/>
    <cellStyle name="Normal 5 4 6" xfId="22533"/>
    <cellStyle name="Normal 5 4 7" xfId="22534"/>
    <cellStyle name="Normal 5 4 8" xfId="22535"/>
    <cellStyle name="Normal 5 5" xfId="22536"/>
    <cellStyle name="Normal 5 6" xfId="22537"/>
    <cellStyle name="Normal 5 7" xfId="22538"/>
    <cellStyle name="Normal 5 8" xfId="22539"/>
    <cellStyle name="Normal 5 9" xfId="22540"/>
    <cellStyle name="Normal 5_PL Oktober" xfId="22541"/>
    <cellStyle name="Normal 50" xfId="22542"/>
    <cellStyle name="Normal 51" xfId="22543"/>
    <cellStyle name="Normal 51 2" xfId="22544"/>
    <cellStyle name="Normal 51 2 2" xfId="22545"/>
    <cellStyle name="Normal 51 3" xfId="22546"/>
    <cellStyle name="Normal 52" xfId="22547"/>
    <cellStyle name="Normal 53" xfId="22548"/>
    <cellStyle name="Normal 53 2" xfId="22549"/>
    <cellStyle name="Normal 53 3" xfId="22550"/>
    <cellStyle name="Normal 53 4" xfId="22551"/>
    <cellStyle name="Normal 53 5" xfId="22552"/>
    <cellStyle name="Normal 53 6" xfId="22553"/>
    <cellStyle name="Normal 53 7" xfId="22554"/>
    <cellStyle name="Normal 53 8" xfId="22555"/>
    <cellStyle name="Normal 54" xfId="22556"/>
    <cellStyle name="Normal 54 2" xfId="22557"/>
    <cellStyle name="Normal 54 2 2" xfId="22558"/>
    <cellStyle name="Normal 54 3" xfId="22559"/>
    <cellStyle name="Normal 54 3 2" xfId="22560"/>
    <cellStyle name="Normal 54 4" xfId="22561"/>
    <cellStyle name="Normal 54 4 2" xfId="22562"/>
    <cellStyle name="Normal 54 5" xfId="22563"/>
    <cellStyle name="Normal 54 5 2" xfId="22564"/>
    <cellStyle name="Normal 54 6" xfId="22565"/>
    <cellStyle name="Normal 54 7" xfId="22566"/>
    <cellStyle name="Normal 55" xfId="22567"/>
    <cellStyle name="Normal 55 2" xfId="22568"/>
    <cellStyle name="Normal 55 3" xfId="22569"/>
    <cellStyle name="Normal 55 4" xfId="22570"/>
    <cellStyle name="Normal 55 5" xfId="22571"/>
    <cellStyle name="Normal 55 6" xfId="22572"/>
    <cellStyle name="Normal 56" xfId="22573"/>
    <cellStyle name="Normal 57" xfId="22574"/>
    <cellStyle name="Normal 58" xfId="22575"/>
    <cellStyle name="Normal 59" xfId="22576"/>
    <cellStyle name="Normal 6" xfId="22577"/>
    <cellStyle name="Normal 6 10" xfId="22578"/>
    <cellStyle name="Normal 6 11" xfId="22579"/>
    <cellStyle name="Normal 6 12" xfId="22580"/>
    <cellStyle name="Normal 6 13" xfId="22581"/>
    <cellStyle name="Normal 6 14" xfId="22582"/>
    <cellStyle name="Normal 6 15" xfId="22583"/>
    <cellStyle name="Normal 6 16" xfId="22584"/>
    <cellStyle name="Normal 6 17" xfId="22585"/>
    <cellStyle name="Normal 6 2" xfId="22586"/>
    <cellStyle name="Normal 6 2 10" xfId="22587"/>
    <cellStyle name="Normal 6 2 11" xfId="22588"/>
    <cellStyle name="Normal 6 2 2" xfId="22589"/>
    <cellStyle name="Normal 6 2 2 10" xfId="22590"/>
    <cellStyle name="Normal 6 2 2 10 2" xfId="22591"/>
    <cellStyle name="Normal 6 2 2 10 2 2" xfId="22592"/>
    <cellStyle name="Normal 6 2 2 10 3" xfId="22593"/>
    <cellStyle name="Normal 6 2 2 11" xfId="22594"/>
    <cellStyle name="Normal 6 2 2 11 2" xfId="22595"/>
    <cellStyle name="Normal 6 2 2 12" xfId="22596"/>
    <cellStyle name="Normal 6 2 2 2" xfId="22597"/>
    <cellStyle name="Normal 6 2 2 2 2" xfId="22598"/>
    <cellStyle name="Normal 6 2 2 2 2 2" xfId="22599"/>
    <cellStyle name="Normal 6 2 2 2 2 2 2" xfId="22600"/>
    <cellStyle name="Normal 6 2 2 2 2 3" xfId="22601"/>
    <cellStyle name="Normal 6 2 2 2 3" xfId="22602"/>
    <cellStyle name="Normal 6 2 2 2 3 2" xfId="22603"/>
    <cellStyle name="Normal 6 2 2 2 3 2 2" xfId="22604"/>
    <cellStyle name="Normal 6 2 2 2 3 3" xfId="22605"/>
    <cellStyle name="Normal 6 2 2 2 4" xfId="22606"/>
    <cellStyle name="Normal 6 2 2 2 4 2" xfId="22607"/>
    <cellStyle name="Normal 6 2 2 2 5" xfId="22608"/>
    <cellStyle name="Normal 6 2 2 3" xfId="22609"/>
    <cellStyle name="Normal 6 2 2 3 2" xfId="22610"/>
    <cellStyle name="Normal 6 2 2 3 2 2" xfId="22611"/>
    <cellStyle name="Normal 6 2 2 3 2 2 2" xfId="22612"/>
    <cellStyle name="Normal 6 2 2 3 2 3" xfId="22613"/>
    <cellStyle name="Normal 6 2 2 3 3" xfId="22614"/>
    <cellStyle name="Normal 6 2 2 3 3 2" xfId="22615"/>
    <cellStyle name="Normal 6 2 2 3 3 2 2" xfId="22616"/>
    <cellStyle name="Normal 6 2 2 3 3 3" xfId="22617"/>
    <cellStyle name="Normal 6 2 2 3 4" xfId="22618"/>
    <cellStyle name="Normal 6 2 2 3 4 2" xfId="22619"/>
    <cellStyle name="Normal 6 2 2 3 5" xfId="22620"/>
    <cellStyle name="Normal 6 2 2 4" xfId="22621"/>
    <cellStyle name="Normal 6 2 2 4 2" xfId="22622"/>
    <cellStyle name="Normal 6 2 2 4 2 2" xfId="22623"/>
    <cellStyle name="Normal 6 2 2 4 2 2 2" xfId="22624"/>
    <cellStyle name="Normal 6 2 2 4 2 3" xfId="22625"/>
    <cellStyle name="Normal 6 2 2 4 3" xfId="22626"/>
    <cellStyle name="Normal 6 2 2 4 3 2" xfId="22627"/>
    <cellStyle name="Normal 6 2 2 4 3 2 2" xfId="22628"/>
    <cellStyle name="Normal 6 2 2 4 3 3" xfId="22629"/>
    <cellStyle name="Normal 6 2 2 4 4" xfId="22630"/>
    <cellStyle name="Normal 6 2 2 4 4 2" xfId="22631"/>
    <cellStyle name="Normal 6 2 2 4 5" xfId="22632"/>
    <cellStyle name="Normal 6 2 2 5" xfId="22633"/>
    <cellStyle name="Normal 6 2 2 5 2" xfId="22634"/>
    <cellStyle name="Normal 6 2 2 5 2 2" xfId="22635"/>
    <cellStyle name="Normal 6 2 2 5 3" xfId="22636"/>
    <cellStyle name="Normal 6 2 2 6" xfId="22637"/>
    <cellStyle name="Normal 6 2 2 6 2" xfId="22638"/>
    <cellStyle name="Normal 6 2 2 6 2 2" xfId="22639"/>
    <cellStyle name="Normal 6 2 2 6 3" xfId="22640"/>
    <cellStyle name="Normal 6 2 2 7" xfId="22641"/>
    <cellStyle name="Normal 6 2 2 7 2" xfId="22642"/>
    <cellStyle name="Normal 6 2 2 7 2 2" xfId="22643"/>
    <cellStyle name="Normal 6 2 2 7 3" xfId="22644"/>
    <cellStyle name="Normal 6 2 2 8" xfId="22645"/>
    <cellStyle name="Normal 6 2 2 8 2" xfId="22646"/>
    <cellStyle name="Normal 6 2 2 8 2 2" xfId="22647"/>
    <cellStyle name="Normal 6 2 2 8 3" xfId="22648"/>
    <cellStyle name="Normal 6 2 2 9" xfId="22649"/>
    <cellStyle name="Normal 6 2 2 9 2" xfId="22650"/>
    <cellStyle name="Normal 6 2 2 9 2 2" xfId="22651"/>
    <cellStyle name="Normal 6 2 2 9 2 3" xfId="22652"/>
    <cellStyle name="Normal 6 2 2 9 3" xfId="22653"/>
    <cellStyle name="Normal 6 2 3" xfId="22654"/>
    <cellStyle name="Normal 6 2 4" xfId="22655"/>
    <cellStyle name="Normal 6 2 5" xfId="22656"/>
    <cellStyle name="Normal 6 2 6" xfId="22657"/>
    <cellStyle name="Normal 6 2 7" xfId="22658"/>
    <cellStyle name="Normal 6 2 8" xfId="22659"/>
    <cellStyle name="Normal 6 2 9" xfId="22660"/>
    <cellStyle name="Normal 6 2 9 2" xfId="22661"/>
    <cellStyle name="Normal 6 2 9 3" xfId="22662"/>
    <cellStyle name="Normal 6 2 9 4" xfId="22663"/>
    <cellStyle name="Normal 6 2 9 5" xfId="22664"/>
    <cellStyle name="Normal 6 2 9 6" xfId="22665"/>
    <cellStyle name="Normal 6 3" xfId="22666"/>
    <cellStyle name="Normal 6 3 2" xfId="22667"/>
    <cellStyle name="Normal 6 3 2 2" xfId="22668"/>
    <cellStyle name="Normal 6 3 2 2 2" xfId="22669"/>
    <cellStyle name="Normal 6 3 2 3" xfId="22670"/>
    <cellStyle name="Normal 6 4" xfId="22671"/>
    <cellStyle name="Normal 6 5" xfId="22672"/>
    <cellStyle name="Normal 6 6" xfId="22673"/>
    <cellStyle name="Normal 6 7" xfId="22674"/>
    <cellStyle name="Normal 6 8" xfId="22675"/>
    <cellStyle name="Normal 6 9" xfId="22676"/>
    <cellStyle name="Normal 6_PL Oktober" xfId="22677"/>
    <cellStyle name="Normal 60" xfId="22678"/>
    <cellStyle name="Normal 60 2" xfId="22679"/>
    <cellStyle name="Normal 60 3" xfId="22680"/>
    <cellStyle name="Normal 61" xfId="22681"/>
    <cellStyle name="Normal 62" xfId="22682"/>
    <cellStyle name="Normal 63" xfId="22683"/>
    <cellStyle name="Normal 64" xfId="22684"/>
    <cellStyle name="Normal 65" xfId="22685"/>
    <cellStyle name="Normal 66" xfId="22686"/>
    <cellStyle name="Normal 67" xfId="22687"/>
    <cellStyle name="Normal 68" xfId="22688"/>
    <cellStyle name="Normal 69" xfId="22689"/>
    <cellStyle name="Normal 7" xfId="22690"/>
    <cellStyle name="Normal 7 10" xfId="22691"/>
    <cellStyle name="Normal 7 11" xfId="22692"/>
    <cellStyle name="Normal 7 12" xfId="22693"/>
    <cellStyle name="Normal 7 13" xfId="22694"/>
    <cellStyle name="Normal 7 2" xfId="22695"/>
    <cellStyle name="Normal 7 2 10" xfId="22696"/>
    <cellStyle name="Normal 7 2 11" xfId="22697"/>
    <cellStyle name="Normal 7 2 2" xfId="22698"/>
    <cellStyle name="Normal 7 2 3" xfId="22699"/>
    <cellStyle name="Normal 7 2 4" xfId="22700"/>
    <cellStyle name="Normal 7 2 5" xfId="22701"/>
    <cellStyle name="Normal 7 2 6" xfId="22702"/>
    <cellStyle name="Normal 7 2 7" xfId="22703"/>
    <cellStyle name="Normal 7 2 8" xfId="22704"/>
    <cellStyle name="Normal 7 2 9" xfId="22705"/>
    <cellStyle name="Normal 7 3" xfId="22706"/>
    <cellStyle name="Normal 7 3 2" xfId="22707"/>
    <cellStyle name="Normal 7 3 3" xfId="22708"/>
    <cellStyle name="Normal 7 3 4" xfId="22709"/>
    <cellStyle name="Normal 7 3 5" xfId="22710"/>
    <cellStyle name="Normal 7 3 6" xfId="22711"/>
    <cellStyle name="Normal 7 3 7" xfId="22712"/>
    <cellStyle name="Normal 7 3 8" xfId="22713"/>
    <cellStyle name="Normal 7 4" xfId="22714"/>
    <cellStyle name="Normal 7 4 2" xfId="22715"/>
    <cellStyle name="Normal 7 4 3" xfId="22716"/>
    <cellStyle name="Normal 7 4 4" xfId="22717"/>
    <cellStyle name="Normal 7 4 5" xfId="22718"/>
    <cellStyle name="Normal 7 4 6" xfId="22719"/>
    <cellStyle name="Normal 7 4 7" xfId="22720"/>
    <cellStyle name="Normal 7 4 8" xfId="22721"/>
    <cellStyle name="Normal 7 5" xfId="22722"/>
    <cellStyle name="Normal 7 6" xfId="22723"/>
    <cellStyle name="Normal 7 7" xfId="22724"/>
    <cellStyle name="Normal 7 8" xfId="22725"/>
    <cellStyle name="Normal 7 9" xfId="22726"/>
    <cellStyle name="Normal 7_PL Oktober" xfId="22727"/>
    <cellStyle name="Normal 70" xfId="22728"/>
    <cellStyle name="Normal 71" xfId="22729"/>
    <cellStyle name="Normal 72" xfId="22730"/>
    <cellStyle name="Normal 73" xfId="22731"/>
    <cellStyle name="Normal 74" xfId="22732"/>
    <cellStyle name="Normal 75" xfId="22733"/>
    <cellStyle name="Normal 76" xfId="22734"/>
    <cellStyle name="Normal 77" xfId="22735"/>
    <cellStyle name="Normal 78" xfId="22736"/>
    <cellStyle name="Normal 79" xfId="22737"/>
    <cellStyle name="Normal 8" xfId="22738"/>
    <cellStyle name="Normal 8 10" xfId="22739"/>
    <cellStyle name="Normal 8 11" xfId="22740"/>
    <cellStyle name="Normal 8 12" xfId="22741"/>
    <cellStyle name="Normal 8 13 2" xfId="22742"/>
    <cellStyle name="Normal 8 13 3" xfId="22743"/>
    <cellStyle name="Normal 8 2" xfId="22744"/>
    <cellStyle name="Normal 8 2 4 2" xfId="22745"/>
    <cellStyle name="Normal 8 3" xfId="22746"/>
    <cellStyle name="Normal 8 4" xfId="22747"/>
    <cellStyle name="Normal 8 4 5 2 2" xfId="22748"/>
    <cellStyle name="Normal 8 5" xfId="22749"/>
    <cellStyle name="Normal 8 5 4 2 3" xfId="22750"/>
    <cellStyle name="Normal 8 5 4 2 4" xfId="22751"/>
    <cellStyle name="Normal 8 5 5 2 3" xfId="22752"/>
    <cellStyle name="Normal 8 5 5 2 4" xfId="22753"/>
    <cellStyle name="Normal 8 6" xfId="22754"/>
    <cellStyle name="Normal 8 7" xfId="22755"/>
    <cellStyle name="Normal 8 8" xfId="22756"/>
    <cellStyle name="Normal 8 8 2 2 2" xfId="22757"/>
    <cellStyle name="Normal 8 9" xfId="22758"/>
    <cellStyle name="Normal 80" xfId="22759"/>
    <cellStyle name="Normal 81" xfId="22760"/>
    <cellStyle name="Normal 82" xfId="22761"/>
    <cellStyle name="Normal 83" xfId="22762"/>
    <cellStyle name="Normal 83 2" xfId="22763"/>
    <cellStyle name="Normal 83 3" xfId="22764"/>
    <cellStyle name="Normal 83 4" xfId="22765"/>
    <cellStyle name="Normal 83 5" xfId="22766"/>
    <cellStyle name="Normal 83 6" xfId="22767"/>
    <cellStyle name="Normal 84" xfId="22768"/>
    <cellStyle name="Normal 85" xfId="22769"/>
    <cellStyle name="Normal 86" xfId="22770"/>
    <cellStyle name="Normal 87" xfId="22771"/>
    <cellStyle name="Normal 88" xfId="22772"/>
    <cellStyle name="Normal 89" xfId="22773"/>
    <cellStyle name="Normal 9" xfId="22774"/>
    <cellStyle name="Normal 9 10" xfId="22775"/>
    <cellStyle name="Normal 9 10 2" xfId="22776"/>
    <cellStyle name="Normal 9 10 2 2" xfId="22777"/>
    <cellStyle name="Normal 9 10 3" xfId="22778"/>
    <cellStyle name="Normal 9 11" xfId="22779"/>
    <cellStyle name="Normal 9 11 2" xfId="22780"/>
    <cellStyle name="Normal 9 11 2 2" xfId="22781"/>
    <cellStyle name="Normal 9 11 3" xfId="22782"/>
    <cellStyle name="Normal 9 12" xfId="22783"/>
    <cellStyle name="Normal 9 12 2" xfId="22784"/>
    <cellStyle name="Normal 9 12 2 2" xfId="22785"/>
    <cellStyle name="Normal 9 12 3" xfId="22786"/>
    <cellStyle name="Normal 9 13" xfId="22787"/>
    <cellStyle name="Normal 9 13 2" xfId="22788"/>
    <cellStyle name="Normal 9 13 2 2" xfId="22789"/>
    <cellStyle name="Normal 9 13 3" xfId="22790"/>
    <cellStyle name="Normal 9 14" xfId="22791"/>
    <cellStyle name="Normal 9 14 2" xfId="22792"/>
    <cellStyle name="Normal 9 14 2 2" xfId="22793"/>
    <cellStyle name="Normal 9 14 3" xfId="22794"/>
    <cellStyle name="Normal 9 15" xfId="22795"/>
    <cellStyle name="Normal 9 15 2" xfId="22796"/>
    <cellStyle name="Normal 9 15 2 2" xfId="22797"/>
    <cellStyle name="Normal 9 15 3" xfId="22798"/>
    <cellStyle name="Normal 9 16" xfId="22799"/>
    <cellStyle name="Normal 9 16 2" xfId="22800"/>
    <cellStyle name="Normal 9 17" xfId="22801"/>
    <cellStyle name="Normal 9 18" xfId="22802"/>
    <cellStyle name="Normal 9 19" xfId="22803"/>
    <cellStyle name="Normal 9 2" xfId="22804"/>
    <cellStyle name="Normal 9 2 2" xfId="22805"/>
    <cellStyle name="Normal 9 2 3" xfId="22806"/>
    <cellStyle name="Normal 9 2 4" xfId="22807"/>
    <cellStyle name="Normal 9 2 5" xfId="22808"/>
    <cellStyle name="Normal 9 2 6" xfId="22809"/>
    <cellStyle name="Normal 9 2 7" xfId="22810"/>
    <cellStyle name="Normal 9 2 8" xfId="22811"/>
    <cellStyle name="Normal 9 3" xfId="22812"/>
    <cellStyle name="Normal 9 3 2" xfId="22813"/>
    <cellStyle name="Normal 9 3 3" xfId="22814"/>
    <cellStyle name="Normal 9 3 4" xfId="22815"/>
    <cellStyle name="Normal 9 3 5" xfId="22816"/>
    <cellStyle name="Normal 9 3 6" xfId="22817"/>
    <cellStyle name="Normal 9 3 7" xfId="22818"/>
    <cellStyle name="Normal 9 3 8" xfId="22819"/>
    <cellStyle name="Normal 9 4" xfId="22820"/>
    <cellStyle name="Normal 9 4 2" xfId="22821"/>
    <cellStyle name="Normal 9 4 3" xfId="22822"/>
    <cellStyle name="Normal 9 4 4" xfId="22823"/>
    <cellStyle name="Normal 9 4 5" xfId="22824"/>
    <cellStyle name="Normal 9 4 6" xfId="22825"/>
    <cellStyle name="Normal 9 4 7" xfId="22826"/>
    <cellStyle name="Normal 9 4 8" xfId="22827"/>
    <cellStyle name="Normal 9 5" xfId="22828"/>
    <cellStyle name="Normal 9 6" xfId="22829"/>
    <cellStyle name="Normal 9 6 10" xfId="22830"/>
    <cellStyle name="Normal 9 6 10 2" xfId="22831"/>
    <cellStyle name="Normal 9 6 10 2 2" xfId="22832"/>
    <cellStyle name="Normal 9 6 10 3" xfId="22833"/>
    <cellStyle name="Normal 9 6 11" xfId="22834"/>
    <cellStyle name="Normal 9 6 11 2" xfId="22835"/>
    <cellStyle name="Normal 9 6 12" xfId="22836"/>
    <cellStyle name="Normal 9 6 2" xfId="22837"/>
    <cellStyle name="Normal 9 6 2 2" xfId="22838"/>
    <cellStyle name="Normal 9 6 2 2 2" xfId="22839"/>
    <cellStyle name="Normal 9 6 2 2 2 2" xfId="22840"/>
    <cellStyle name="Normal 9 6 2 2 2 3" xfId="22841"/>
    <cellStyle name="Normal 9 6 2 2 3" xfId="22842"/>
    <cellStyle name="Normal 9 6 2 3" xfId="22843"/>
    <cellStyle name="Normal 9 6 2 3 2" xfId="22844"/>
    <cellStyle name="Normal 9 6 2 3 2 2" xfId="22845"/>
    <cellStyle name="Normal 9 6 2 3 2 3" xfId="22846"/>
    <cellStyle name="Normal 9 6 2 3 3" xfId="22847"/>
    <cellStyle name="Normal 9 6 2 4" xfId="22848"/>
    <cellStyle name="Normal 9 6 2 4 2" xfId="22849"/>
    <cellStyle name="Normal 9 6 2 5" xfId="22850"/>
    <cellStyle name="Normal 9 6 3" xfId="22851"/>
    <cellStyle name="Normal 9 6 3 2" xfId="22852"/>
    <cellStyle name="Normal 9 6 3 2 2" xfId="22853"/>
    <cellStyle name="Normal 9 6 3 2 2 2" xfId="22854"/>
    <cellStyle name="Normal 9 6 3 2 3" xfId="22855"/>
    <cellStyle name="Normal 9 6 3 3" xfId="22856"/>
    <cellStyle name="Normal 9 6 3 3 2" xfId="22857"/>
    <cellStyle name="Normal 9 6 3 3 2 2" xfId="22858"/>
    <cellStyle name="Normal 9 6 3 3 3" xfId="22859"/>
    <cellStyle name="Normal 9 6 3 4" xfId="22860"/>
    <cellStyle name="Normal 9 6 3 4 2" xfId="22861"/>
    <cellStyle name="Normal 9 6 3 5" xfId="22862"/>
    <cellStyle name="Normal 9 6 4" xfId="22863"/>
    <cellStyle name="Normal 9 6 4 2" xfId="22864"/>
    <cellStyle name="Normal 9 6 4 2 2" xfId="22865"/>
    <cellStyle name="Normal 9 6 4 2 2 2" xfId="22866"/>
    <cellStyle name="Normal 9 6 4 2 3" xfId="22867"/>
    <cellStyle name="Normal 9 6 4 3" xfId="22868"/>
    <cellStyle name="Normal 9 6 4 3 2" xfId="22869"/>
    <cellStyle name="Normal 9 6 4 3 2 2" xfId="22870"/>
    <cellStyle name="Normal 9 6 4 3 3" xfId="22871"/>
    <cellStyle name="Normal 9 6 4 4" xfId="22872"/>
    <cellStyle name="Normal 9 6 4 4 2" xfId="22873"/>
    <cellStyle name="Normal 9 6 4 5" xfId="22874"/>
    <cellStyle name="Normal 9 6 5" xfId="22875"/>
    <cellStyle name="Normal 9 6 5 2" xfId="22876"/>
    <cellStyle name="Normal 9 6 5 2 2" xfId="22877"/>
    <cellStyle name="Normal 9 6 5 3" xfId="22878"/>
    <cellStyle name="Normal 9 6 6" xfId="22879"/>
    <cellStyle name="Normal 9 6 6 2" xfId="22880"/>
    <cellStyle name="Normal 9 6 6 2 2" xfId="22881"/>
    <cellStyle name="Normal 9 6 6 3" xfId="22882"/>
    <cellStyle name="Normal 9 6 7" xfId="22883"/>
    <cellStyle name="Normal 9 6 7 2" xfId="22884"/>
    <cellStyle name="Normal 9 6 7 2 2" xfId="22885"/>
    <cellStyle name="Normal 9 6 7 3" xfId="22886"/>
    <cellStyle name="Normal 9 6 8" xfId="22887"/>
    <cellStyle name="Normal 9 6 8 2" xfId="22888"/>
    <cellStyle name="Normal 9 6 8 2 2" xfId="22889"/>
    <cellStyle name="Normal 9 6 8 3" xfId="22890"/>
    <cellStyle name="Normal 9 6 9" xfId="22891"/>
    <cellStyle name="Normal 9 6 9 2" xfId="22892"/>
    <cellStyle name="Normal 9 6 9 2 2" xfId="22893"/>
    <cellStyle name="Normal 9 6 9 3" xfId="22894"/>
    <cellStyle name="Normal 9 7" xfId="22895"/>
    <cellStyle name="Normal 9 7 2" xfId="22896"/>
    <cellStyle name="Normal 9 7 2 2" xfId="22897"/>
    <cellStyle name="Normal 9 7 2 2 2" xfId="22898"/>
    <cellStyle name="Normal 9 7 2 3" xfId="22899"/>
    <cellStyle name="Normal 9 7 3" xfId="22900"/>
    <cellStyle name="Normal 9 7 3 2" xfId="22901"/>
    <cellStyle name="Normal 9 7 3 2 2" xfId="22902"/>
    <cellStyle name="Normal 9 7 3 3" xfId="22903"/>
    <cellStyle name="Normal 9 7 4" xfId="22904"/>
    <cellStyle name="Normal 9 7 4 2" xfId="22905"/>
    <cellStyle name="Normal 9 7 5" xfId="22906"/>
    <cellStyle name="Normal 9 8" xfId="22907"/>
    <cellStyle name="Normal 9 8 2" xfId="22908"/>
    <cellStyle name="Normal 9 8 2 2" xfId="22909"/>
    <cellStyle name="Normal 9 8 2 2 2" xfId="22910"/>
    <cellStyle name="Normal 9 8 2 3" xfId="22911"/>
    <cellStyle name="Normal 9 8 3" xfId="22912"/>
    <cellStyle name="Normal 9 8 3 2" xfId="22913"/>
    <cellStyle name="Normal 9 8 3 2 2" xfId="22914"/>
    <cellStyle name="Normal 9 8 3 3" xfId="22915"/>
    <cellStyle name="Normal 9 8 3 4" xfId="22916"/>
    <cellStyle name="Normal 9 8 4" xfId="22917"/>
    <cellStyle name="Normal 9 8 4 2" xfId="22918"/>
    <cellStyle name="Normal 9 8 5" xfId="22919"/>
    <cellStyle name="Normal 9 9" xfId="22920"/>
    <cellStyle name="Normal 9 9 2" xfId="22921"/>
    <cellStyle name="Normal 9 9 2 2" xfId="22922"/>
    <cellStyle name="Normal 9 9 2 2 2" xfId="22923"/>
    <cellStyle name="Normal 9 9 2 3" xfId="22924"/>
    <cellStyle name="Normal 9 9 3" xfId="22925"/>
    <cellStyle name="Normal 9 9 3 2" xfId="22926"/>
    <cellStyle name="Normal 9 9 3 2 2" xfId="22927"/>
    <cellStyle name="Normal 9 9 3 3" xfId="22928"/>
    <cellStyle name="Normal 9 9 4" xfId="22929"/>
    <cellStyle name="Normal 9 9 4 2" xfId="22930"/>
    <cellStyle name="Normal 9 9 5" xfId="22931"/>
    <cellStyle name="Normal 90" xfId="22932"/>
    <cellStyle name="Normal 91" xfId="22933"/>
    <cellStyle name="Normal 92" xfId="22934"/>
    <cellStyle name="Normal 93" xfId="22935"/>
    <cellStyle name="Normal 94" xfId="22936"/>
    <cellStyle name="Normal 95" xfId="22937"/>
    <cellStyle name="Normal 96" xfId="22938"/>
    <cellStyle name="Normal 97" xfId="22939"/>
    <cellStyle name="Normal 98" xfId="22940"/>
    <cellStyle name="Normal 99" xfId="22941"/>
    <cellStyle name="Normal1" xfId="22942"/>
    <cellStyle name="Note 1" xfId="22943"/>
    <cellStyle name="Note 1 10" xfId="22944"/>
    <cellStyle name="Note 1 11" xfId="22945"/>
    <cellStyle name="Note 1 12" xfId="22946"/>
    <cellStyle name="Note 1 13" xfId="22947"/>
    <cellStyle name="Note 1 14" xfId="22948"/>
    <cellStyle name="Note 1 15" xfId="22949"/>
    <cellStyle name="Note 1 16" xfId="22950"/>
    <cellStyle name="Note 1 2" xfId="22951"/>
    <cellStyle name="Note 1 2 2" xfId="22952"/>
    <cellStyle name="Note 1 2 3" xfId="22953"/>
    <cellStyle name="Note 1 2 4" xfId="22954"/>
    <cellStyle name="Note 1 3" xfId="22955"/>
    <cellStyle name="Note 1 4" xfId="22956"/>
    <cellStyle name="Note 1 5" xfId="22957"/>
    <cellStyle name="Note 1 6" xfId="22958"/>
    <cellStyle name="Note 1 7" xfId="22959"/>
    <cellStyle name="Note 1 8" xfId="22960"/>
    <cellStyle name="Note 1 9" xfId="22961"/>
    <cellStyle name="Note 10 2" xfId="22962"/>
    <cellStyle name="Note 10 2 10" xfId="22963"/>
    <cellStyle name="Note 10 2 11" xfId="22964"/>
    <cellStyle name="Note 10 2 12" xfId="22965"/>
    <cellStyle name="Note 10 2 13" xfId="22966"/>
    <cellStyle name="Note 10 2 14" xfId="22967"/>
    <cellStyle name="Note 10 2 15" xfId="22968"/>
    <cellStyle name="Note 10 2 16" xfId="22969"/>
    <cellStyle name="Note 10 2 17" xfId="22970"/>
    <cellStyle name="Note 10 2 18" xfId="22971"/>
    <cellStyle name="Note 10 2 19" xfId="22972"/>
    <cellStyle name="Note 10 2 2" xfId="22973"/>
    <cellStyle name="Note 10 2 2 10" xfId="22974"/>
    <cellStyle name="Note 10 2 2 11" xfId="22975"/>
    <cellStyle name="Note 10 2 2 12" xfId="22976"/>
    <cellStyle name="Note 10 2 2 13" xfId="22977"/>
    <cellStyle name="Note 10 2 2 14" xfId="22978"/>
    <cellStyle name="Note 10 2 2 15" xfId="22979"/>
    <cellStyle name="Note 10 2 2 16" xfId="22980"/>
    <cellStyle name="Note 10 2 2 2" xfId="22981"/>
    <cellStyle name="Note 10 2 2 2 2" xfId="22982"/>
    <cellStyle name="Note 10 2 2 2 3" xfId="22983"/>
    <cellStyle name="Note 10 2 2 2 4" xfId="22984"/>
    <cellStyle name="Note 10 2 2 3" xfId="22985"/>
    <cellStyle name="Note 10 2 2 4" xfId="22986"/>
    <cellStyle name="Note 10 2 2 5" xfId="22987"/>
    <cellStyle name="Note 10 2 2 6" xfId="22988"/>
    <cellStyle name="Note 10 2 2 7" xfId="22989"/>
    <cellStyle name="Note 10 2 2 8" xfId="22990"/>
    <cellStyle name="Note 10 2 2 9" xfId="22991"/>
    <cellStyle name="Note 10 2 20" xfId="22992"/>
    <cellStyle name="Note 10 2 21" xfId="22993"/>
    <cellStyle name="Note 10 2 22" xfId="22994"/>
    <cellStyle name="Note 10 2 23" xfId="22995"/>
    <cellStyle name="Note 10 2 3" xfId="22996"/>
    <cellStyle name="Note 10 2 3 10" xfId="22997"/>
    <cellStyle name="Note 10 2 3 11" xfId="22998"/>
    <cellStyle name="Note 10 2 3 12" xfId="22999"/>
    <cellStyle name="Note 10 2 3 13" xfId="23000"/>
    <cellStyle name="Note 10 2 3 14" xfId="23001"/>
    <cellStyle name="Note 10 2 3 15" xfId="23002"/>
    <cellStyle name="Note 10 2 3 16" xfId="23003"/>
    <cellStyle name="Note 10 2 3 2" xfId="23004"/>
    <cellStyle name="Note 10 2 3 2 2" xfId="23005"/>
    <cellStyle name="Note 10 2 3 2 3" xfId="23006"/>
    <cellStyle name="Note 10 2 3 2 4" xfId="23007"/>
    <cellStyle name="Note 10 2 3 3" xfId="23008"/>
    <cellStyle name="Note 10 2 3 4" xfId="23009"/>
    <cellStyle name="Note 10 2 3 5" xfId="23010"/>
    <cellStyle name="Note 10 2 3 6" xfId="23011"/>
    <cellStyle name="Note 10 2 3 7" xfId="23012"/>
    <cellStyle name="Note 10 2 3 8" xfId="23013"/>
    <cellStyle name="Note 10 2 3 9" xfId="23014"/>
    <cellStyle name="Note 10 2 4" xfId="23015"/>
    <cellStyle name="Note 10 2 4 10" xfId="23016"/>
    <cellStyle name="Note 10 2 4 11" xfId="23017"/>
    <cellStyle name="Note 10 2 4 12" xfId="23018"/>
    <cellStyle name="Note 10 2 4 13" xfId="23019"/>
    <cellStyle name="Note 10 2 4 14" xfId="23020"/>
    <cellStyle name="Note 10 2 4 15" xfId="23021"/>
    <cellStyle name="Note 10 2 4 16" xfId="23022"/>
    <cellStyle name="Note 10 2 4 2" xfId="23023"/>
    <cellStyle name="Note 10 2 4 2 2" xfId="23024"/>
    <cellStyle name="Note 10 2 4 2 3" xfId="23025"/>
    <cellStyle name="Note 10 2 4 2 4" xfId="23026"/>
    <cellStyle name="Note 10 2 4 3" xfId="23027"/>
    <cellStyle name="Note 10 2 4 4" xfId="23028"/>
    <cellStyle name="Note 10 2 4 5" xfId="23029"/>
    <cellStyle name="Note 10 2 4 6" xfId="23030"/>
    <cellStyle name="Note 10 2 4 7" xfId="23031"/>
    <cellStyle name="Note 10 2 4 8" xfId="23032"/>
    <cellStyle name="Note 10 2 4 9" xfId="23033"/>
    <cellStyle name="Note 10 2 5" xfId="23034"/>
    <cellStyle name="Note 10 2 5 10" xfId="23035"/>
    <cellStyle name="Note 10 2 5 11" xfId="23036"/>
    <cellStyle name="Note 10 2 5 12" xfId="23037"/>
    <cellStyle name="Note 10 2 5 13" xfId="23038"/>
    <cellStyle name="Note 10 2 5 14" xfId="23039"/>
    <cellStyle name="Note 10 2 5 15" xfId="23040"/>
    <cellStyle name="Note 10 2 5 16" xfId="23041"/>
    <cellStyle name="Note 10 2 5 2" xfId="23042"/>
    <cellStyle name="Note 10 2 5 2 2" xfId="23043"/>
    <cellStyle name="Note 10 2 5 2 3" xfId="23044"/>
    <cellStyle name="Note 10 2 5 2 4" xfId="23045"/>
    <cellStyle name="Note 10 2 5 3" xfId="23046"/>
    <cellStyle name="Note 10 2 5 4" xfId="23047"/>
    <cellStyle name="Note 10 2 5 5" xfId="23048"/>
    <cellStyle name="Note 10 2 5 6" xfId="23049"/>
    <cellStyle name="Note 10 2 5 7" xfId="23050"/>
    <cellStyle name="Note 10 2 5 8" xfId="23051"/>
    <cellStyle name="Note 10 2 5 9" xfId="23052"/>
    <cellStyle name="Note 10 2 6" xfId="23053"/>
    <cellStyle name="Note 10 2 6 10" xfId="23054"/>
    <cellStyle name="Note 10 2 6 11" xfId="23055"/>
    <cellStyle name="Note 10 2 6 12" xfId="23056"/>
    <cellStyle name="Note 10 2 6 13" xfId="23057"/>
    <cellStyle name="Note 10 2 6 14" xfId="23058"/>
    <cellStyle name="Note 10 2 6 15" xfId="23059"/>
    <cellStyle name="Note 10 2 6 16" xfId="23060"/>
    <cellStyle name="Note 10 2 6 2" xfId="23061"/>
    <cellStyle name="Note 10 2 6 2 2" xfId="23062"/>
    <cellStyle name="Note 10 2 6 2 3" xfId="23063"/>
    <cellStyle name="Note 10 2 6 2 4" xfId="23064"/>
    <cellStyle name="Note 10 2 6 3" xfId="23065"/>
    <cellStyle name="Note 10 2 6 4" xfId="23066"/>
    <cellStyle name="Note 10 2 6 5" xfId="23067"/>
    <cellStyle name="Note 10 2 6 6" xfId="23068"/>
    <cellStyle name="Note 10 2 6 7" xfId="23069"/>
    <cellStyle name="Note 10 2 6 8" xfId="23070"/>
    <cellStyle name="Note 10 2 6 9" xfId="23071"/>
    <cellStyle name="Note 10 2 7" xfId="23072"/>
    <cellStyle name="Note 10 2 7 10" xfId="23073"/>
    <cellStyle name="Note 10 2 7 11" xfId="23074"/>
    <cellStyle name="Note 10 2 7 12" xfId="23075"/>
    <cellStyle name="Note 10 2 7 13" xfId="23076"/>
    <cellStyle name="Note 10 2 7 14" xfId="23077"/>
    <cellStyle name="Note 10 2 7 15" xfId="23078"/>
    <cellStyle name="Note 10 2 7 16" xfId="23079"/>
    <cellStyle name="Note 10 2 7 2" xfId="23080"/>
    <cellStyle name="Note 10 2 7 2 2" xfId="23081"/>
    <cellStyle name="Note 10 2 7 2 3" xfId="23082"/>
    <cellStyle name="Note 10 2 7 2 4" xfId="23083"/>
    <cellStyle name="Note 10 2 7 3" xfId="23084"/>
    <cellStyle name="Note 10 2 7 4" xfId="23085"/>
    <cellStyle name="Note 10 2 7 5" xfId="23086"/>
    <cellStyle name="Note 10 2 7 6" xfId="23087"/>
    <cellStyle name="Note 10 2 7 7" xfId="23088"/>
    <cellStyle name="Note 10 2 7 8" xfId="23089"/>
    <cellStyle name="Note 10 2 7 9" xfId="23090"/>
    <cellStyle name="Note 10 2 8" xfId="23091"/>
    <cellStyle name="Note 10 2 8 10" xfId="23092"/>
    <cellStyle name="Note 10 2 8 11" xfId="23093"/>
    <cellStyle name="Note 10 2 8 12" xfId="23094"/>
    <cellStyle name="Note 10 2 8 13" xfId="23095"/>
    <cellStyle name="Note 10 2 8 14" xfId="23096"/>
    <cellStyle name="Note 10 2 8 15" xfId="23097"/>
    <cellStyle name="Note 10 2 8 16" xfId="23098"/>
    <cellStyle name="Note 10 2 8 2" xfId="23099"/>
    <cellStyle name="Note 10 2 8 2 2" xfId="23100"/>
    <cellStyle name="Note 10 2 8 2 3" xfId="23101"/>
    <cellStyle name="Note 10 2 8 2 4" xfId="23102"/>
    <cellStyle name="Note 10 2 8 3" xfId="23103"/>
    <cellStyle name="Note 10 2 8 4" xfId="23104"/>
    <cellStyle name="Note 10 2 8 5" xfId="23105"/>
    <cellStyle name="Note 10 2 8 6" xfId="23106"/>
    <cellStyle name="Note 10 2 8 7" xfId="23107"/>
    <cellStyle name="Note 10 2 8 8" xfId="23108"/>
    <cellStyle name="Note 10 2 8 9" xfId="23109"/>
    <cellStyle name="Note 10 2 9" xfId="23110"/>
    <cellStyle name="Note 10 2 9 2" xfId="23111"/>
    <cellStyle name="Note 10 2 9 3" xfId="23112"/>
    <cellStyle name="Note 10 2 9 4" xfId="23113"/>
    <cellStyle name="Note 10 3" xfId="23114"/>
    <cellStyle name="Note 10 3 10" xfId="23115"/>
    <cellStyle name="Note 10 3 11" xfId="23116"/>
    <cellStyle name="Note 10 3 12" xfId="23117"/>
    <cellStyle name="Note 10 3 13" xfId="23118"/>
    <cellStyle name="Note 10 3 14" xfId="23119"/>
    <cellStyle name="Note 10 3 15" xfId="23120"/>
    <cellStyle name="Note 10 3 16" xfId="23121"/>
    <cellStyle name="Note 10 3 17" xfId="23122"/>
    <cellStyle name="Note 10 3 18" xfId="23123"/>
    <cellStyle name="Note 10 3 19" xfId="23124"/>
    <cellStyle name="Note 10 3 2" xfId="23125"/>
    <cellStyle name="Note 10 3 2 10" xfId="23126"/>
    <cellStyle name="Note 10 3 2 11" xfId="23127"/>
    <cellStyle name="Note 10 3 2 12" xfId="23128"/>
    <cellStyle name="Note 10 3 2 13" xfId="23129"/>
    <cellStyle name="Note 10 3 2 14" xfId="23130"/>
    <cellStyle name="Note 10 3 2 15" xfId="23131"/>
    <cellStyle name="Note 10 3 2 16" xfId="23132"/>
    <cellStyle name="Note 10 3 2 2" xfId="23133"/>
    <cellStyle name="Note 10 3 2 2 2" xfId="23134"/>
    <cellStyle name="Note 10 3 2 2 3" xfId="23135"/>
    <cellStyle name="Note 10 3 2 2 4" xfId="23136"/>
    <cellStyle name="Note 10 3 2 3" xfId="23137"/>
    <cellStyle name="Note 10 3 2 4" xfId="23138"/>
    <cellStyle name="Note 10 3 2 5" xfId="23139"/>
    <cellStyle name="Note 10 3 2 6" xfId="23140"/>
    <cellStyle name="Note 10 3 2 7" xfId="23141"/>
    <cellStyle name="Note 10 3 2 8" xfId="23142"/>
    <cellStyle name="Note 10 3 2 9" xfId="23143"/>
    <cellStyle name="Note 10 3 20" xfId="23144"/>
    <cellStyle name="Note 10 3 21" xfId="23145"/>
    <cellStyle name="Note 10 3 22" xfId="23146"/>
    <cellStyle name="Note 10 3 23" xfId="23147"/>
    <cellStyle name="Note 10 3 3" xfId="23148"/>
    <cellStyle name="Note 10 3 3 10" xfId="23149"/>
    <cellStyle name="Note 10 3 3 11" xfId="23150"/>
    <cellStyle name="Note 10 3 3 12" xfId="23151"/>
    <cellStyle name="Note 10 3 3 13" xfId="23152"/>
    <cellStyle name="Note 10 3 3 14" xfId="23153"/>
    <cellStyle name="Note 10 3 3 15" xfId="23154"/>
    <cellStyle name="Note 10 3 3 16" xfId="23155"/>
    <cellStyle name="Note 10 3 3 2" xfId="23156"/>
    <cellStyle name="Note 10 3 3 2 2" xfId="23157"/>
    <cellStyle name="Note 10 3 3 2 3" xfId="23158"/>
    <cellStyle name="Note 10 3 3 2 4" xfId="23159"/>
    <cellStyle name="Note 10 3 3 3" xfId="23160"/>
    <cellStyle name="Note 10 3 3 4" xfId="23161"/>
    <cellStyle name="Note 10 3 3 5" xfId="23162"/>
    <cellStyle name="Note 10 3 3 6" xfId="23163"/>
    <cellStyle name="Note 10 3 3 7" xfId="23164"/>
    <cellStyle name="Note 10 3 3 8" xfId="23165"/>
    <cellStyle name="Note 10 3 3 9" xfId="23166"/>
    <cellStyle name="Note 10 3 4" xfId="23167"/>
    <cellStyle name="Note 10 3 4 10" xfId="23168"/>
    <cellStyle name="Note 10 3 4 11" xfId="23169"/>
    <cellStyle name="Note 10 3 4 12" xfId="23170"/>
    <cellStyle name="Note 10 3 4 13" xfId="23171"/>
    <cellStyle name="Note 10 3 4 14" xfId="23172"/>
    <cellStyle name="Note 10 3 4 15" xfId="23173"/>
    <cellStyle name="Note 10 3 4 16" xfId="23174"/>
    <cellStyle name="Note 10 3 4 2" xfId="23175"/>
    <cellStyle name="Note 10 3 4 2 2" xfId="23176"/>
    <cellStyle name="Note 10 3 4 2 3" xfId="23177"/>
    <cellStyle name="Note 10 3 4 2 4" xfId="23178"/>
    <cellStyle name="Note 10 3 4 3" xfId="23179"/>
    <cellStyle name="Note 10 3 4 4" xfId="23180"/>
    <cellStyle name="Note 10 3 4 5" xfId="23181"/>
    <cellStyle name="Note 10 3 4 6" xfId="23182"/>
    <cellStyle name="Note 10 3 4 7" xfId="23183"/>
    <cellStyle name="Note 10 3 4 8" xfId="23184"/>
    <cellStyle name="Note 10 3 4 9" xfId="23185"/>
    <cellStyle name="Note 10 3 5" xfId="23186"/>
    <cellStyle name="Note 10 3 5 10" xfId="23187"/>
    <cellStyle name="Note 10 3 5 11" xfId="23188"/>
    <cellStyle name="Note 10 3 5 12" xfId="23189"/>
    <cellStyle name="Note 10 3 5 13" xfId="23190"/>
    <cellStyle name="Note 10 3 5 14" xfId="23191"/>
    <cellStyle name="Note 10 3 5 15" xfId="23192"/>
    <cellStyle name="Note 10 3 5 16" xfId="23193"/>
    <cellStyle name="Note 10 3 5 2" xfId="23194"/>
    <cellStyle name="Note 10 3 5 2 2" xfId="23195"/>
    <cellStyle name="Note 10 3 5 2 3" xfId="23196"/>
    <cellStyle name="Note 10 3 5 2 4" xfId="23197"/>
    <cellStyle name="Note 10 3 5 3" xfId="23198"/>
    <cellStyle name="Note 10 3 5 4" xfId="23199"/>
    <cellStyle name="Note 10 3 5 5" xfId="23200"/>
    <cellStyle name="Note 10 3 5 6" xfId="23201"/>
    <cellStyle name="Note 10 3 5 7" xfId="23202"/>
    <cellStyle name="Note 10 3 5 8" xfId="23203"/>
    <cellStyle name="Note 10 3 5 9" xfId="23204"/>
    <cellStyle name="Note 10 3 6" xfId="23205"/>
    <cellStyle name="Note 10 3 6 10" xfId="23206"/>
    <cellStyle name="Note 10 3 6 11" xfId="23207"/>
    <cellStyle name="Note 10 3 6 12" xfId="23208"/>
    <cellStyle name="Note 10 3 6 13" xfId="23209"/>
    <cellStyle name="Note 10 3 6 14" xfId="23210"/>
    <cellStyle name="Note 10 3 6 15" xfId="23211"/>
    <cellStyle name="Note 10 3 6 16" xfId="23212"/>
    <cellStyle name="Note 10 3 6 2" xfId="23213"/>
    <cellStyle name="Note 10 3 6 2 2" xfId="23214"/>
    <cellStyle name="Note 10 3 6 2 3" xfId="23215"/>
    <cellStyle name="Note 10 3 6 2 4" xfId="23216"/>
    <cellStyle name="Note 10 3 6 3" xfId="23217"/>
    <cellStyle name="Note 10 3 6 4" xfId="23218"/>
    <cellStyle name="Note 10 3 6 5" xfId="23219"/>
    <cellStyle name="Note 10 3 6 6" xfId="23220"/>
    <cellStyle name="Note 10 3 6 7" xfId="23221"/>
    <cellStyle name="Note 10 3 6 8" xfId="23222"/>
    <cellStyle name="Note 10 3 6 9" xfId="23223"/>
    <cellStyle name="Note 10 3 7" xfId="23224"/>
    <cellStyle name="Note 10 3 7 10" xfId="23225"/>
    <cellStyle name="Note 10 3 7 11" xfId="23226"/>
    <cellStyle name="Note 10 3 7 12" xfId="23227"/>
    <cellStyle name="Note 10 3 7 13" xfId="23228"/>
    <cellStyle name="Note 10 3 7 14" xfId="23229"/>
    <cellStyle name="Note 10 3 7 15" xfId="23230"/>
    <cellStyle name="Note 10 3 7 16" xfId="23231"/>
    <cellStyle name="Note 10 3 7 2" xfId="23232"/>
    <cellStyle name="Note 10 3 7 2 2" xfId="23233"/>
    <cellStyle name="Note 10 3 7 2 3" xfId="23234"/>
    <cellStyle name="Note 10 3 7 2 4" xfId="23235"/>
    <cellStyle name="Note 10 3 7 3" xfId="23236"/>
    <cellStyle name="Note 10 3 7 4" xfId="23237"/>
    <cellStyle name="Note 10 3 7 5" xfId="23238"/>
    <cellStyle name="Note 10 3 7 6" xfId="23239"/>
    <cellStyle name="Note 10 3 7 7" xfId="23240"/>
    <cellStyle name="Note 10 3 7 8" xfId="23241"/>
    <cellStyle name="Note 10 3 7 9" xfId="23242"/>
    <cellStyle name="Note 10 3 8" xfId="23243"/>
    <cellStyle name="Note 10 3 8 10" xfId="23244"/>
    <cellStyle name="Note 10 3 8 11" xfId="23245"/>
    <cellStyle name="Note 10 3 8 12" xfId="23246"/>
    <cellStyle name="Note 10 3 8 13" xfId="23247"/>
    <cellStyle name="Note 10 3 8 14" xfId="23248"/>
    <cellStyle name="Note 10 3 8 15" xfId="23249"/>
    <cellStyle name="Note 10 3 8 16" xfId="23250"/>
    <cellStyle name="Note 10 3 8 2" xfId="23251"/>
    <cellStyle name="Note 10 3 8 2 2" xfId="23252"/>
    <cellStyle name="Note 10 3 8 2 3" xfId="23253"/>
    <cellStyle name="Note 10 3 8 2 4" xfId="23254"/>
    <cellStyle name="Note 10 3 8 3" xfId="23255"/>
    <cellStyle name="Note 10 3 8 4" xfId="23256"/>
    <cellStyle name="Note 10 3 8 5" xfId="23257"/>
    <cellStyle name="Note 10 3 8 6" xfId="23258"/>
    <cellStyle name="Note 10 3 8 7" xfId="23259"/>
    <cellStyle name="Note 10 3 8 8" xfId="23260"/>
    <cellStyle name="Note 10 3 8 9" xfId="23261"/>
    <cellStyle name="Note 10 3 9" xfId="23262"/>
    <cellStyle name="Note 10 3 9 2" xfId="23263"/>
    <cellStyle name="Note 10 3 9 3" xfId="23264"/>
    <cellStyle name="Note 10 3 9 4" xfId="23265"/>
    <cellStyle name="Note 10 4" xfId="23266"/>
    <cellStyle name="Note 10 4 10" xfId="23267"/>
    <cellStyle name="Note 10 4 11" xfId="23268"/>
    <cellStyle name="Note 10 4 12" xfId="23269"/>
    <cellStyle name="Note 10 4 13" xfId="23270"/>
    <cellStyle name="Note 10 4 14" xfId="23271"/>
    <cellStyle name="Note 10 4 15" xfId="23272"/>
    <cellStyle name="Note 10 4 16" xfId="23273"/>
    <cellStyle name="Note 10 4 17" xfId="23274"/>
    <cellStyle name="Note 10 4 18" xfId="23275"/>
    <cellStyle name="Note 10 4 19" xfId="23276"/>
    <cellStyle name="Note 10 4 2" xfId="23277"/>
    <cellStyle name="Note 10 4 2 10" xfId="23278"/>
    <cellStyle name="Note 10 4 2 11" xfId="23279"/>
    <cellStyle name="Note 10 4 2 12" xfId="23280"/>
    <cellStyle name="Note 10 4 2 13" xfId="23281"/>
    <cellStyle name="Note 10 4 2 14" xfId="23282"/>
    <cellStyle name="Note 10 4 2 15" xfId="23283"/>
    <cellStyle name="Note 10 4 2 16" xfId="23284"/>
    <cellStyle name="Note 10 4 2 2" xfId="23285"/>
    <cellStyle name="Note 10 4 2 2 2" xfId="23286"/>
    <cellStyle name="Note 10 4 2 2 3" xfId="23287"/>
    <cellStyle name="Note 10 4 2 2 4" xfId="23288"/>
    <cellStyle name="Note 10 4 2 3" xfId="23289"/>
    <cellStyle name="Note 10 4 2 4" xfId="23290"/>
    <cellStyle name="Note 10 4 2 5" xfId="23291"/>
    <cellStyle name="Note 10 4 2 6" xfId="23292"/>
    <cellStyle name="Note 10 4 2 7" xfId="23293"/>
    <cellStyle name="Note 10 4 2 8" xfId="23294"/>
    <cellStyle name="Note 10 4 2 9" xfId="23295"/>
    <cellStyle name="Note 10 4 20" xfId="23296"/>
    <cellStyle name="Note 10 4 21" xfId="23297"/>
    <cellStyle name="Note 10 4 22" xfId="23298"/>
    <cellStyle name="Note 10 4 23" xfId="23299"/>
    <cellStyle name="Note 10 4 3" xfId="23300"/>
    <cellStyle name="Note 10 4 3 10" xfId="23301"/>
    <cellStyle name="Note 10 4 3 11" xfId="23302"/>
    <cellStyle name="Note 10 4 3 12" xfId="23303"/>
    <cellStyle name="Note 10 4 3 13" xfId="23304"/>
    <cellStyle name="Note 10 4 3 14" xfId="23305"/>
    <cellStyle name="Note 10 4 3 15" xfId="23306"/>
    <cellStyle name="Note 10 4 3 16" xfId="23307"/>
    <cellStyle name="Note 10 4 3 2" xfId="23308"/>
    <cellStyle name="Note 10 4 3 2 2" xfId="23309"/>
    <cellStyle name="Note 10 4 3 2 3" xfId="23310"/>
    <cellStyle name="Note 10 4 3 2 4" xfId="23311"/>
    <cellStyle name="Note 10 4 3 3" xfId="23312"/>
    <cellStyle name="Note 10 4 3 4" xfId="23313"/>
    <cellStyle name="Note 10 4 3 5" xfId="23314"/>
    <cellStyle name="Note 10 4 3 6" xfId="23315"/>
    <cellStyle name="Note 10 4 3 7" xfId="23316"/>
    <cellStyle name="Note 10 4 3 8" xfId="23317"/>
    <cellStyle name="Note 10 4 3 9" xfId="23318"/>
    <cellStyle name="Note 10 4 4" xfId="23319"/>
    <cellStyle name="Note 10 4 4 10" xfId="23320"/>
    <cellStyle name="Note 10 4 4 11" xfId="23321"/>
    <cellStyle name="Note 10 4 4 12" xfId="23322"/>
    <cellStyle name="Note 10 4 4 13" xfId="23323"/>
    <cellStyle name="Note 10 4 4 14" xfId="23324"/>
    <cellStyle name="Note 10 4 4 15" xfId="23325"/>
    <cellStyle name="Note 10 4 4 16" xfId="23326"/>
    <cellStyle name="Note 10 4 4 2" xfId="23327"/>
    <cellStyle name="Note 10 4 4 2 2" xfId="23328"/>
    <cellStyle name="Note 10 4 4 2 3" xfId="23329"/>
    <cellStyle name="Note 10 4 4 2 4" xfId="23330"/>
    <cellStyle name="Note 10 4 4 3" xfId="23331"/>
    <cellStyle name="Note 10 4 4 4" xfId="23332"/>
    <cellStyle name="Note 10 4 4 5" xfId="23333"/>
    <cellStyle name="Note 10 4 4 6" xfId="23334"/>
    <cellStyle name="Note 10 4 4 7" xfId="23335"/>
    <cellStyle name="Note 10 4 4 8" xfId="23336"/>
    <cellStyle name="Note 10 4 4 9" xfId="23337"/>
    <cellStyle name="Note 10 4 5" xfId="23338"/>
    <cellStyle name="Note 10 4 5 10" xfId="23339"/>
    <cellStyle name="Note 10 4 5 11" xfId="23340"/>
    <cellStyle name="Note 10 4 5 12" xfId="23341"/>
    <cellStyle name="Note 10 4 5 13" xfId="23342"/>
    <cellStyle name="Note 10 4 5 14" xfId="23343"/>
    <cellStyle name="Note 10 4 5 15" xfId="23344"/>
    <cellStyle name="Note 10 4 5 16" xfId="23345"/>
    <cellStyle name="Note 10 4 5 2" xfId="23346"/>
    <cellStyle name="Note 10 4 5 2 2" xfId="23347"/>
    <cellStyle name="Note 10 4 5 2 3" xfId="23348"/>
    <cellStyle name="Note 10 4 5 2 4" xfId="23349"/>
    <cellStyle name="Note 10 4 5 3" xfId="23350"/>
    <cellStyle name="Note 10 4 5 4" xfId="23351"/>
    <cellStyle name="Note 10 4 5 5" xfId="23352"/>
    <cellStyle name="Note 10 4 5 6" xfId="23353"/>
    <cellStyle name="Note 10 4 5 7" xfId="23354"/>
    <cellStyle name="Note 10 4 5 8" xfId="23355"/>
    <cellStyle name="Note 10 4 5 9" xfId="23356"/>
    <cellStyle name="Note 10 4 6" xfId="23357"/>
    <cellStyle name="Note 10 4 6 10" xfId="23358"/>
    <cellStyle name="Note 10 4 6 11" xfId="23359"/>
    <cellStyle name="Note 10 4 6 12" xfId="23360"/>
    <cellStyle name="Note 10 4 6 13" xfId="23361"/>
    <cellStyle name="Note 10 4 6 14" xfId="23362"/>
    <cellStyle name="Note 10 4 6 15" xfId="23363"/>
    <cellStyle name="Note 10 4 6 16" xfId="23364"/>
    <cellStyle name="Note 10 4 6 2" xfId="23365"/>
    <cellStyle name="Note 10 4 6 2 2" xfId="23366"/>
    <cellStyle name="Note 10 4 6 2 3" xfId="23367"/>
    <cellStyle name="Note 10 4 6 2 4" xfId="23368"/>
    <cellStyle name="Note 10 4 6 3" xfId="23369"/>
    <cellStyle name="Note 10 4 6 4" xfId="23370"/>
    <cellStyle name="Note 10 4 6 5" xfId="23371"/>
    <cellStyle name="Note 10 4 6 6" xfId="23372"/>
    <cellStyle name="Note 10 4 6 7" xfId="23373"/>
    <cellStyle name="Note 10 4 6 8" xfId="23374"/>
    <cellStyle name="Note 10 4 6 9" xfId="23375"/>
    <cellStyle name="Note 10 4 7" xfId="23376"/>
    <cellStyle name="Note 10 4 7 10" xfId="23377"/>
    <cellStyle name="Note 10 4 7 11" xfId="23378"/>
    <cellStyle name="Note 10 4 7 12" xfId="23379"/>
    <cellStyle name="Note 10 4 7 13" xfId="23380"/>
    <cellStyle name="Note 10 4 7 14" xfId="23381"/>
    <cellStyle name="Note 10 4 7 15" xfId="23382"/>
    <cellStyle name="Note 10 4 7 16" xfId="23383"/>
    <cellStyle name="Note 10 4 7 2" xfId="23384"/>
    <cellStyle name="Note 10 4 7 2 2" xfId="23385"/>
    <cellStyle name="Note 10 4 7 2 3" xfId="23386"/>
    <cellStyle name="Note 10 4 7 2 4" xfId="23387"/>
    <cellStyle name="Note 10 4 7 3" xfId="23388"/>
    <cellStyle name="Note 10 4 7 4" xfId="23389"/>
    <cellStyle name="Note 10 4 7 5" xfId="23390"/>
    <cellStyle name="Note 10 4 7 6" xfId="23391"/>
    <cellStyle name="Note 10 4 7 7" xfId="23392"/>
    <cellStyle name="Note 10 4 7 8" xfId="23393"/>
    <cellStyle name="Note 10 4 7 9" xfId="23394"/>
    <cellStyle name="Note 10 4 8" xfId="23395"/>
    <cellStyle name="Note 10 4 8 10" xfId="23396"/>
    <cellStyle name="Note 10 4 8 11" xfId="23397"/>
    <cellStyle name="Note 10 4 8 12" xfId="23398"/>
    <cellStyle name="Note 10 4 8 13" xfId="23399"/>
    <cellStyle name="Note 10 4 8 14" xfId="23400"/>
    <cellStyle name="Note 10 4 8 15" xfId="23401"/>
    <cellStyle name="Note 10 4 8 16" xfId="23402"/>
    <cellStyle name="Note 10 4 8 2" xfId="23403"/>
    <cellStyle name="Note 10 4 8 2 2" xfId="23404"/>
    <cellStyle name="Note 10 4 8 2 3" xfId="23405"/>
    <cellStyle name="Note 10 4 8 2 4" xfId="23406"/>
    <cellStyle name="Note 10 4 8 3" xfId="23407"/>
    <cellStyle name="Note 10 4 8 4" xfId="23408"/>
    <cellStyle name="Note 10 4 8 5" xfId="23409"/>
    <cellStyle name="Note 10 4 8 6" xfId="23410"/>
    <cellStyle name="Note 10 4 8 7" xfId="23411"/>
    <cellStyle name="Note 10 4 8 8" xfId="23412"/>
    <cellStyle name="Note 10 4 8 9" xfId="23413"/>
    <cellStyle name="Note 10 4 9" xfId="23414"/>
    <cellStyle name="Note 10 4 9 2" xfId="23415"/>
    <cellStyle name="Note 10 4 9 3" xfId="23416"/>
    <cellStyle name="Note 10 4 9 4" xfId="23417"/>
    <cellStyle name="Note 11 2" xfId="23418"/>
    <cellStyle name="Note 11 2 10" xfId="23419"/>
    <cellStyle name="Note 11 2 11" xfId="23420"/>
    <cellStyle name="Note 11 2 12" xfId="23421"/>
    <cellStyle name="Note 11 2 13" xfId="23422"/>
    <cellStyle name="Note 11 2 14" xfId="23423"/>
    <cellStyle name="Note 11 2 15" xfId="23424"/>
    <cellStyle name="Note 11 2 16" xfId="23425"/>
    <cellStyle name="Note 11 2 17" xfId="23426"/>
    <cellStyle name="Note 11 2 18" xfId="23427"/>
    <cellStyle name="Note 11 2 19" xfId="23428"/>
    <cellStyle name="Note 11 2 2" xfId="23429"/>
    <cellStyle name="Note 11 2 2 10" xfId="23430"/>
    <cellStyle name="Note 11 2 2 11" xfId="23431"/>
    <cellStyle name="Note 11 2 2 12" xfId="23432"/>
    <cellStyle name="Note 11 2 2 13" xfId="23433"/>
    <cellStyle name="Note 11 2 2 14" xfId="23434"/>
    <cellStyle name="Note 11 2 2 15" xfId="23435"/>
    <cellStyle name="Note 11 2 2 16" xfId="23436"/>
    <cellStyle name="Note 11 2 2 2" xfId="23437"/>
    <cellStyle name="Note 11 2 2 2 2" xfId="23438"/>
    <cellStyle name="Note 11 2 2 2 3" xfId="23439"/>
    <cellStyle name="Note 11 2 2 2 4" xfId="23440"/>
    <cellStyle name="Note 11 2 2 3" xfId="23441"/>
    <cellStyle name="Note 11 2 2 4" xfId="23442"/>
    <cellStyle name="Note 11 2 2 5" xfId="23443"/>
    <cellStyle name="Note 11 2 2 6" xfId="23444"/>
    <cellStyle name="Note 11 2 2 7" xfId="23445"/>
    <cellStyle name="Note 11 2 2 8" xfId="23446"/>
    <cellStyle name="Note 11 2 2 9" xfId="23447"/>
    <cellStyle name="Note 11 2 20" xfId="23448"/>
    <cellStyle name="Note 11 2 21" xfId="23449"/>
    <cellStyle name="Note 11 2 22" xfId="23450"/>
    <cellStyle name="Note 11 2 23" xfId="23451"/>
    <cellStyle name="Note 11 2 3" xfId="23452"/>
    <cellStyle name="Note 11 2 3 10" xfId="23453"/>
    <cellStyle name="Note 11 2 3 11" xfId="23454"/>
    <cellStyle name="Note 11 2 3 12" xfId="23455"/>
    <cellStyle name="Note 11 2 3 13" xfId="23456"/>
    <cellStyle name="Note 11 2 3 14" xfId="23457"/>
    <cellStyle name="Note 11 2 3 15" xfId="23458"/>
    <cellStyle name="Note 11 2 3 16" xfId="23459"/>
    <cellStyle name="Note 11 2 3 2" xfId="23460"/>
    <cellStyle name="Note 11 2 3 2 2" xfId="23461"/>
    <cellStyle name="Note 11 2 3 2 3" xfId="23462"/>
    <cellStyle name="Note 11 2 3 2 4" xfId="23463"/>
    <cellStyle name="Note 11 2 3 3" xfId="23464"/>
    <cellStyle name="Note 11 2 3 4" xfId="23465"/>
    <cellStyle name="Note 11 2 3 5" xfId="23466"/>
    <cellStyle name="Note 11 2 3 6" xfId="23467"/>
    <cellStyle name="Note 11 2 3 7" xfId="23468"/>
    <cellStyle name="Note 11 2 3 8" xfId="23469"/>
    <cellStyle name="Note 11 2 3 9" xfId="23470"/>
    <cellStyle name="Note 11 2 4" xfId="23471"/>
    <cellStyle name="Note 11 2 4 10" xfId="23472"/>
    <cellStyle name="Note 11 2 4 11" xfId="23473"/>
    <cellStyle name="Note 11 2 4 12" xfId="23474"/>
    <cellStyle name="Note 11 2 4 13" xfId="23475"/>
    <cellStyle name="Note 11 2 4 14" xfId="23476"/>
    <cellStyle name="Note 11 2 4 15" xfId="23477"/>
    <cellStyle name="Note 11 2 4 16" xfId="23478"/>
    <cellStyle name="Note 11 2 4 2" xfId="23479"/>
    <cellStyle name="Note 11 2 4 2 2" xfId="23480"/>
    <cellStyle name="Note 11 2 4 2 3" xfId="23481"/>
    <cellStyle name="Note 11 2 4 2 4" xfId="23482"/>
    <cellStyle name="Note 11 2 4 3" xfId="23483"/>
    <cellStyle name="Note 11 2 4 4" xfId="23484"/>
    <cellStyle name="Note 11 2 4 5" xfId="23485"/>
    <cellStyle name="Note 11 2 4 6" xfId="23486"/>
    <cellStyle name="Note 11 2 4 7" xfId="23487"/>
    <cellStyle name="Note 11 2 4 8" xfId="23488"/>
    <cellStyle name="Note 11 2 4 9" xfId="23489"/>
    <cellStyle name="Note 11 2 5" xfId="23490"/>
    <cellStyle name="Note 11 2 5 10" xfId="23491"/>
    <cellStyle name="Note 11 2 5 11" xfId="23492"/>
    <cellStyle name="Note 11 2 5 12" xfId="23493"/>
    <cellStyle name="Note 11 2 5 13" xfId="23494"/>
    <cellStyle name="Note 11 2 5 14" xfId="23495"/>
    <cellStyle name="Note 11 2 5 15" xfId="23496"/>
    <cellStyle name="Note 11 2 5 16" xfId="23497"/>
    <cellStyle name="Note 11 2 5 2" xfId="23498"/>
    <cellStyle name="Note 11 2 5 2 2" xfId="23499"/>
    <cellStyle name="Note 11 2 5 2 3" xfId="23500"/>
    <cellStyle name="Note 11 2 5 2 4" xfId="23501"/>
    <cellStyle name="Note 11 2 5 3" xfId="23502"/>
    <cellStyle name="Note 11 2 5 4" xfId="23503"/>
    <cellStyle name="Note 11 2 5 5" xfId="23504"/>
    <cellStyle name="Note 11 2 5 6" xfId="23505"/>
    <cellStyle name="Note 11 2 5 7" xfId="23506"/>
    <cellStyle name="Note 11 2 5 8" xfId="23507"/>
    <cellStyle name="Note 11 2 5 9" xfId="23508"/>
    <cellStyle name="Note 11 2 6" xfId="23509"/>
    <cellStyle name="Note 11 2 6 10" xfId="23510"/>
    <cellStyle name="Note 11 2 6 11" xfId="23511"/>
    <cellStyle name="Note 11 2 6 12" xfId="23512"/>
    <cellStyle name="Note 11 2 6 13" xfId="23513"/>
    <cellStyle name="Note 11 2 6 14" xfId="23514"/>
    <cellStyle name="Note 11 2 6 15" xfId="23515"/>
    <cellStyle name="Note 11 2 6 16" xfId="23516"/>
    <cellStyle name="Note 11 2 6 2" xfId="23517"/>
    <cellStyle name="Note 11 2 6 2 2" xfId="23518"/>
    <cellStyle name="Note 11 2 6 2 3" xfId="23519"/>
    <cellStyle name="Note 11 2 6 2 4" xfId="23520"/>
    <cellStyle name="Note 11 2 6 3" xfId="23521"/>
    <cellStyle name="Note 11 2 6 4" xfId="23522"/>
    <cellStyle name="Note 11 2 6 5" xfId="23523"/>
    <cellStyle name="Note 11 2 6 6" xfId="23524"/>
    <cellStyle name="Note 11 2 6 7" xfId="23525"/>
    <cellStyle name="Note 11 2 6 8" xfId="23526"/>
    <cellStyle name="Note 11 2 6 9" xfId="23527"/>
    <cellStyle name="Note 11 2 7" xfId="23528"/>
    <cellStyle name="Note 11 2 7 10" xfId="23529"/>
    <cellStyle name="Note 11 2 7 11" xfId="23530"/>
    <cellStyle name="Note 11 2 7 12" xfId="23531"/>
    <cellStyle name="Note 11 2 7 13" xfId="23532"/>
    <cellStyle name="Note 11 2 7 14" xfId="23533"/>
    <cellStyle name="Note 11 2 7 15" xfId="23534"/>
    <cellStyle name="Note 11 2 7 16" xfId="23535"/>
    <cellStyle name="Note 11 2 7 2" xfId="23536"/>
    <cellStyle name="Note 11 2 7 2 2" xfId="23537"/>
    <cellStyle name="Note 11 2 7 2 3" xfId="23538"/>
    <cellStyle name="Note 11 2 7 2 4" xfId="23539"/>
    <cellStyle name="Note 11 2 7 3" xfId="23540"/>
    <cellStyle name="Note 11 2 7 4" xfId="23541"/>
    <cellStyle name="Note 11 2 7 5" xfId="23542"/>
    <cellStyle name="Note 11 2 7 6" xfId="23543"/>
    <cellStyle name="Note 11 2 7 7" xfId="23544"/>
    <cellStyle name="Note 11 2 7 8" xfId="23545"/>
    <cellStyle name="Note 11 2 7 9" xfId="23546"/>
    <cellStyle name="Note 11 2 8" xfId="23547"/>
    <cellStyle name="Note 11 2 8 10" xfId="23548"/>
    <cellStyle name="Note 11 2 8 11" xfId="23549"/>
    <cellStyle name="Note 11 2 8 12" xfId="23550"/>
    <cellStyle name="Note 11 2 8 13" xfId="23551"/>
    <cellStyle name="Note 11 2 8 14" xfId="23552"/>
    <cellStyle name="Note 11 2 8 15" xfId="23553"/>
    <cellStyle name="Note 11 2 8 16" xfId="23554"/>
    <cellStyle name="Note 11 2 8 2" xfId="23555"/>
    <cellStyle name="Note 11 2 8 2 2" xfId="23556"/>
    <cellStyle name="Note 11 2 8 2 3" xfId="23557"/>
    <cellStyle name="Note 11 2 8 2 4" xfId="23558"/>
    <cellStyle name="Note 11 2 8 3" xfId="23559"/>
    <cellStyle name="Note 11 2 8 4" xfId="23560"/>
    <cellStyle name="Note 11 2 8 5" xfId="23561"/>
    <cellStyle name="Note 11 2 8 6" xfId="23562"/>
    <cellStyle name="Note 11 2 8 7" xfId="23563"/>
    <cellStyle name="Note 11 2 8 8" xfId="23564"/>
    <cellStyle name="Note 11 2 8 9" xfId="23565"/>
    <cellStyle name="Note 11 2 9" xfId="23566"/>
    <cellStyle name="Note 11 2 9 2" xfId="23567"/>
    <cellStyle name="Note 11 2 9 3" xfId="23568"/>
    <cellStyle name="Note 11 2 9 4" xfId="23569"/>
    <cellStyle name="Note 11 3" xfId="23570"/>
    <cellStyle name="Note 11 3 10" xfId="23571"/>
    <cellStyle name="Note 11 3 11" xfId="23572"/>
    <cellStyle name="Note 11 3 12" xfId="23573"/>
    <cellStyle name="Note 11 3 13" xfId="23574"/>
    <cellStyle name="Note 11 3 14" xfId="23575"/>
    <cellStyle name="Note 11 3 15" xfId="23576"/>
    <cellStyle name="Note 11 3 16" xfId="23577"/>
    <cellStyle name="Note 11 3 17" xfId="23578"/>
    <cellStyle name="Note 11 3 18" xfId="23579"/>
    <cellStyle name="Note 11 3 19" xfId="23580"/>
    <cellStyle name="Note 11 3 2" xfId="23581"/>
    <cellStyle name="Note 11 3 2 10" xfId="23582"/>
    <cellStyle name="Note 11 3 2 11" xfId="23583"/>
    <cellStyle name="Note 11 3 2 12" xfId="23584"/>
    <cellStyle name="Note 11 3 2 13" xfId="23585"/>
    <cellStyle name="Note 11 3 2 14" xfId="23586"/>
    <cellStyle name="Note 11 3 2 15" xfId="23587"/>
    <cellStyle name="Note 11 3 2 16" xfId="23588"/>
    <cellStyle name="Note 11 3 2 2" xfId="23589"/>
    <cellStyle name="Note 11 3 2 2 2" xfId="23590"/>
    <cellStyle name="Note 11 3 2 2 3" xfId="23591"/>
    <cellStyle name="Note 11 3 2 2 4" xfId="23592"/>
    <cellStyle name="Note 11 3 2 3" xfId="23593"/>
    <cellStyle name="Note 11 3 2 4" xfId="23594"/>
    <cellStyle name="Note 11 3 2 5" xfId="23595"/>
    <cellStyle name="Note 11 3 2 6" xfId="23596"/>
    <cellStyle name="Note 11 3 2 7" xfId="23597"/>
    <cellStyle name="Note 11 3 2 8" xfId="23598"/>
    <cellStyle name="Note 11 3 2 9" xfId="23599"/>
    <cellStyle name="Note 11 3 20" xfId="23600"/>
    <cellStyle name="Note 11 3 21" xfId="23601"/>
    <cellStyle name="Note 11 3 22" xfId="23602"/>
    <cellStyle name="Note 11 3 23" xfId="23603"/>
    <cellStyle name="Note 11 3 3" xfId="23604"/>
    <cellStyle name="Note 11 3 3 10" xfId="23605"/>
    <cellStyle name="Note 11 3 3 11" xfId="23606"/>
    <cellStyle name="Note 11 3 3 12" xfId="23607"/>
    <cellStyle name="Note 11 3 3 13" xfId="23608"/>
    <cellStyle name="Note 11 3 3 14" xfId="23609"/>
    <cellStyle name="Note 11 3 3 15" xfId="23610"/>
    <cellStyle name="Note 11 3 3 16" xfId="23611"/>
    <cellStyle name="Note 11 3 3 2" xfId="23612"/>
    <cellStyle name="Note 11 3 3 2 2" xfId="23613"/>
    <cellStyle name="Note 11 3 3 2 3" xfId="23614"/>
    <cellStyle name="Note 11 3 3 2 4" xfId="23615"/>
    <cellStyle name="Note 11 3 3 3" xfId="23616"/>
    <cellStyle name="Note 11 3 3 4" xfId="23617"/>
    <cellStyle name="Note 11 3 3 5" xfId="23618"/>
    <cellStyle name="Note 11 3 3 6" xfId="23619"/>
    <cellStyle name="Note 11 3 3 7" xfId="23620"/>
    <cellStyle name="Note 11 3 3 8" xfId="23621"/>
    <cellStyle name="Note 11 3 3 9" xfId="23622"/>
    <cellStyle name="Note 11 3 4" xfId="23623"/>
    <cellStyle name="Note 11 3 4 10" xfId="23624"/>
    <cellStyle name="Note 11 3 4 11" xfId="23625"/>
    <cellStyle name="Note 11 3 4 12" xfId="23626"/>
    <cellStyle name="Note 11 3 4 13" xfId="23627"/>
    <cellStyle name="Note 11 3 4 14" xfId="23628"/>
    <cellStyle name="Note 11 3 4 15" xfId="23629"/>
    <cellStyle name="Note 11 3 4 16" xfId="23630"/>
    <cellStyle name="Note 11 3 4 2" xfId="23631"/>
    <cellStyle name="Note 11 3 4 2 2" xfId="23632"/>
    <cellStyle name="Note 11 3 4 2 3" xfId="23633"/>
    <cellStyle name="Note 11 3 4 2 4" xfId="23634"/>
    <cellStyle name="Note 11 3 4 3" xfId="23635"/>
    <cellStyle name="Note 11 3 4 4" xfId="23636"/>
    <cellStyle name="Note 11 3 4 5" xfId="23637"/>
    <cellStyle name="Note 11 3 4 6" xfId="23638"/>
    <cellStyle name="Note 11 3 4 7" xfId="23639"/>
    <cellStyle name="Note 11 3 4 8" xfId="23640"/>
    <cellStyle name="Note 11 3 4 9" xfId="23641"/>
    <cellStyle name="Note 11 3 5" xfId="23642"/>
    <cellStyle name="Note 11 3 5 10" xfId="23643"/>
    <cellStyle name="Note 11 3 5 11" xfId="23644"/>
    <cellStyle name="Note 11 3 5 12" xfId="23645"/>
    <cellStyle name="Note 11 3 5 13" xfId="23646"/>
    <cellStyle name="Note 11 3 5 14" xfId="23647"/>
    <cellStyle name="Note 11 3 5 15" xfId="23648"/>
    <cellStyle name="Note 11 3 5 16" xfId="23649"/>
    <cellStyle name="Note 11 3 5 2" xfId="23650"/>
    <cellStyle name="Note 11 3 5 2 2" xfId="23651"/>
    <cellStyle name="Note 11 3 5 2 3" xfId="23652"/>
    <cellStyle name="Note 11 3 5 2 4" xfId="23653"/>
    <cellStyle name="Note 11 3 5 3" xfId="23654"/>
    <cellStyle name="Note 11 3 5 4" xfId="23655"/>
    <cellStyle name="Note 11 3 5 5" xfId="23656"/>
    <cellStyle name="Note 11 3 5 6" xfId="23657"/>
    <cellStyle name="Note 11 3 5 7" xfId="23658"/>
    <cellStyle name="Note 11 3 5 8" xfId="23659"/>
    <cellStyle name="Note 11 3 5 9" xfId="23660"/>
    <cellStyle name="Note 11 3 6" xfId="23661"/>
    <cellStyle name="Note 11 3 6 10" xfId="23662"/>
    <cellStyle name="Note 11 3 6 11" xfId="23663"/>
    <cellStyle name="Note 11 3 6 12" xfId="23664"/>
    <cellStyle name="Note 11 3 6 13" xfId="23665"/>
    <cellStyle name="Note 11 3 6 14" xfId="23666"/>
    <cellStyle name="Note 11 3 6 15" xfId="23667"/>
    <cellStyle name="Note 11 3 6 16" xfId="23668"/>
    <cellStyle name="Note 11 3 6 2" xfId="23669"/>
    <cellStyle name="Note 11 3 6 2 2" xfId="23670"/>
    <cellStyle name="Note 11 3 6 2 3" xfId="23671"/>
    <cellStyle name="Note 11 3 6 2 4" xfId="23672"/>
    <cellStyle name="Note 11 3 6 3" xfId="23673"/>
    <cellStyle name="Note 11 3 6 4" xfId="23674"/>
    <cellStyle name="Note 11 3 6 5" xfId="23675"/>
    <cellStyle name="Note 11 3 6 6" xfId="23676"/>
    <cellStyle name="Note 11 3 6 7" xfId="23677"/>
    <cellStyle name="Note 11 3 6 8" xfId="23678"/>
    <cellStyle name="Note 11 3 6 9" xfId="23679"/>
    <cellStyle name="Note 11 3 7" xfId="23680"/>
    <cellStyle name="Note 11 3 7 10" xfId="23681"/>
    <cellStyle name="Note 11 3 7 11" xfId="23682"/>
    <cellStyle name="Note 11 3 7 12" xfId="23683"/>
    <cellStyle name="Note 11 3 7 13" xfId="23684"/>
    <cellStyle name="Note 11 3 7 14" xfId="23685"/>
    <cellStyle name="Note 11 3 7 15" xfId="23686"/>
    <cellStyle name="Note 11 3 7 16" xfId="23687"/>
    <cellStyle name="Note 11 3 7 2" xfId="23688"/>
    <cellStyle name="Note 11 3 7 2 2" xfId="23689"/>
    <cellStyle name="Note 11 3 7 2 3" xfId="23690"/>
    <cellStyle name="Note 11 3 7 2 4" xfId="23691"/>
    <cellStyle name="Note 11 3 7 3" xfId="23692"/>
    <cellStyle name="Note 11 3 7 4" xfId="23693"/>
    <cellStyle name="Note 11 3 7 5" xfId="23694"/>
    <cellStyle name="Note 11 3 7 6" xfId="23695"/>
    <cellStyle name="Note 11 3 7 7" xfId="23696"/>
    <cellStyle name="Note 11 3 7 8" xfId="23697"/>
    <cellStyle name="Note 11 3 7 9" xfId="23698"/>
    <cellStyle name="Note 11 3 8" xfId="23699"/>
    <cellStyle name="Note 11 3 8 10" xfId="23700"/>
    <cellStyle name="Note 11 3 8 11" xfId="23701"/>
    <cellStyle name="Note 11 3 8 12" xfId="23702"/>
    <cellStyle name="Note 11 3 8 13" xfId="23703"/>
    <cellStyle name="Note 11 3 8 14" xfId="23704"/>
    <cellStyle name="Note 11 3 8 15" xfId="23705"/>
    <cellStyle name="Note 11 3 8 16" xfId="23706"/>
    <cellStyle name="Note 11 3 8 2" xfId="23707"/>
    <cellStyle name="Note 11 3 8 2 2" xfId="23708"/>
    <cellStyle name="Note 11 3 8 2 3" xfId="23709"/>
    <cellStyle name="Note 11 3 8 2 4" xfId="23710"/>
    <cellStyle name="Note 11 3 8 3" xfId="23711"/>
    <cellStyle name="Note 11 3 8 4" xfId="23712"/>
    <cellStyle name="Note 11 3 8 5" xfId="23713"/>
    <cellStyle name="Note 11 3 8 6" xfId="23714"/>
    <cellStyle name="Note 11 3 8 7" xfId="23715"/>
    <cellStyle name="Note 11 3 8 8" xfId="23716"/>
    <cellStyle name="Note 11 3 8 9" xfId="23717"/>
    <cellStyle name="Note 11 3 9" xfId="23718"/>
    <cellStyle name="Note 11 3 9 2" xfId="23719"/>
    <cellStyle name="Note 11 3 9 3" xfId="23720"/>
    <cellStyle name="Note 11 3 9 4" xfId="23721"/>
    <cellStyle name="Note 11 4" xfId="23722"/>
    <cellStyle name="Note 11 4 10" xfId="23723"/>
    <cellStyle name="Note 11 4 11" xfId="23724"/>
    <cellStyle name="Note 11 4 12" xfId="23725"/>
    <cellStyle name="Note 11 4 13" xfId="23726"/>
    <cellStyle name="Note 11 4 14" xfId="23727"/>
    <cellStyle name="Note 11 4 15" xfId="23728"/>
    <cellStyle name="Note 11 4 16" xfId="23729"/>
    <cellStyle name="Note 11 4 17" xfId="23730"/>
    <cellStyle name="Note 11 4 18" xfId="23731"/>
    <cellStyle name="Note 11 4 19" xfId="23732"/>
    <cellStyle name="Note 11 4 2" xfId="23733"/>
    <cellStyle name="Note 11 4 2 10" xfId="23734"/>
    <cellStyle name="Note 11 4 2 11" xfId="23735"/>
    <cellStyle name="Note 11 4 2 12" xfId="23736"/>
    <cellStyle name="Note 11 4 2 13" xfId="23737"/>
    <cellStyle name="Note 11 4 2 14" xfId="23738"/>
    <cellStyle name="Note 11 4 2 15" xfId="23739"/>
    <cellStyle name="Note 11 4 2 16" xfId="23740"/>
    <cellStyle name="Note 11 4 2 2" xfId="23741"/>
    <cellStyle name="Note 11 4 2 2 2" xfId="23742"/>
    <cellStyle name="Note 11 4 2 2 3" xfId="23743"/>
    <cellStyle name="Note 11 4 2 2 4" xfId="23744"/>
    <cellStyle name="Note 11 4 2 3" xfId="23745"/>
    <cellStyle name="Note 11 4 2 4" xfId="23746"/>
    <cellStyle name="Note 11 4 2 5" xfId="23747"/>
    <cellStyle name="Note 11 4 2 6" xfId="23748"/>
    <cellStyle name="Note 11 4 2 7" xfId="23749"/>
    <cellStyle name="Note 11 4 2 8" xfId="23750"/>
    <cellStyle name="Note 11 4 2 9" xfId="23751"/>
    <cellStyle name="Note 11 4 20" xfId="23752"/>
    <cellStyle name="Note 11 4 21" xfId="23753"/>
    <cellStyle name="Note 11 4 22" xfId="23754"/>
    <cellStyle name="Note 11 4 23" xfId="23755"/>
    <cellStyle name="Note 11 4 3" xfId="23756"/>
    <cellStyle name="Note 11 4 3 10" xfId="23757"/>
    <cellStyle name="Note 11 4 3 11" xfId="23758"/>
    <cellStyle name="Note 11 4 3 12" xfId="23759"/>
    <cellStyle name="Note 11 4 3 13" xfId="23760"/>
    <cellStyle name="Note 11 4 3 14" xfId="23761"/>
    <cellStyle name="Note 11 4 3 15" xfId="23762"/>
    <cellStyle name="Note 11 4 3 16" xfId="23763"/>
    <cellStyle name="Note 11 4 3 2" xfId="23764"/>
    <cellStyle name="Note 11 4 3 2 2" xfId="23765"/>
    <cellStyle name="Note 11 4 3 2 3" xfId="23766"/>
    <cellStyle name="Note 11 4 3 2 4" xfId="23767"/>
    <cellStyle name="Note 11 4 3 3" xfId="23768"/>
    <cellStyle name="Note 11 4 3 4" xfId="23769"/>
    <cellStyle name="Note 11 4 3 5" xfId="23770"/>
    <cellStyle name="Note 11 4 3 6" xfId="23771"/>
    <cellStyle name="Note 11 4 3 7" xfId="23772"/>
    <cellStyle name="Note 11 4 3 8" xfId="23773"/>
    <cellStyle name="Note 11 4 3 9" xfId="23774"/>
    <cellStyle name="Note 11 4 4" xfId="23775"/>
    <cellStyle name="Note 11 4 4 10" xfId="23776"/>
    <cellStyle name="Note 11 4 4 11" xfId="23777"/>
    <cellStyle name="Note 11 4 4 12" xfId="23778"/>
    <cellStyle name="Note 11 4 4 13" xfId="23779"/>
    <cellStyle name="Note 11 4 4 14" xfId="23780"/>
    <cellStyle name="Note 11 4 4 15" xfId="23781"/>
    <cellStyle name="Note 11 4 4 16" xfId="23782"/>
    <cellStyle name="Note 11 4 4 2" xfId="23783"/>
    <cellStyle name="Note 11 4 4 2 2" xfId="23784"/>
    <cellStyle name="Note 11 4 4 2 3" xfId="23785"/>
    <cellStyle name="Note 11 4 4 2 4" xfId="23786"/>
    <cellStyle name="Note 11 4 4 3" xfId="23787"/>
    <cellStyle name="Note 11 4 4 4" xfId="23788"/>
    <cellStyle name="Note 11 4 4 5" xfId="23789"/>
    <cellStyle name="Note 11 4 4 6" xfId="23790"/>
    <cellStyle name="Note 11 4 4 7" xfId="23791"/>
    <cellStyle name="Note 11 4 4 8" xfId="23792"/>
    <cellStyle name="Note 11 4 4 9" xfId="23793"/>
    <cellStyle name="Note 11 4 5" xfId="23794"/>
    <cellStyle name="Note 11 4 5 10" xfId="23795"/>
    <cellStyle name="Note 11 4 5 11" xfId="23796"/>
    <cellStyle name="Note 11 4 5 12" xfId="23797"/>
    <cellStyle name="Note 11 4 5 13" xfId="23798"/>
    <cellStyle name="Note 11 4 5 14" xfId="23799"/>
    <cellStyle name="Note 11 4 5 15" xfId="23800"/>
    <cellStyle name="Note 11 4 5 16" xfId="23801"/>
    <cellStyle name="Note 11 4 5 2" xfId="23802"/>
    <cellStyle name="Note 11 4 5 2 2" xfId="23803"/>
    <cellStyle name="Note 11 4 5 2 3" xfId="23804"/>
    <cellStyle name="Note 11 4 5 2 4" xfId="23805"/>
    <cellStyle name="Note 11 4 5 3" xfId="23806"/>
    <cellStyle name="Note 11 4 5 4" xfId="23807"/>
    <cellStyle name="Note 11 4 5 5" xfId="23808"/>
    <cellStyle name="Note 11 4 5 6" xfId="23809"/>
    <cellStyle name="Note 11 4 5 7" xfId="23810"/>
    <cellStyle name="Note 11 4 5 8" xfId="23811"/>
    <cellStyle name="Note 11 4 5 9" xfId="23812"/>
    <cellStyle name="Note 11 4 6" xfId="23813"/>
    <cellStyle name="Note 11 4 6 10" xfId="23814"/>
    <cellStyle name="Note 11 4 6 11" xfId="23815"/>
    <cellStyle name="Note 11 4 6 12" xfId="23816"/>
    <cellStyle name="Note 11 4 6 13" xfId="23817"/>
    <cellStyle name="Note 11 4 6 14" xfId="23818"/>
    <cellStyle name="Note 11 4 6 15" xfId="23819"/>
    <cellStyle name="Note 11 4 6 16" xfId="23820"/>
    <cellStyle name="Note 11 4 6 2" xfId="23821"/>
    <cellStyle name="Note 11 4 6 2 2" xfId="23822"/>
    <cellStyle name="Note 11 4 6 2 3" xfId="23823"/>
    <cellStyle name="Note 11 4 6 2 4" xfId="23824"/>
    <cellStyle name="Note 11 4 6 3" xfId="23825"/>
    <cellStyle name="Note 11 4 6 4" xfId="23826"/>
    <cellStyle name="Note 11 4 6 5" xfId="23827"/>
    <cellStyle name="Note 11 4 6 6" xfId="23828"/>
    <cellStyle name="Note 11 4 6 7" xfId="23829"/>
    <cellStyle name="Note 11 4 6 8" xfId="23830"/>
    <cellStyle name="Note 11 4 6 9" xfId="23831"/>
    <cellStyle name="Note 11 4 7" xfId="23832"/>
    <cellStyle name="Note 11 4 7 10" xfId="23833"/>
    <cellStyle name="Note 11 4 7 11" xfId="23834"/>
    <cellStyle name="Note 11 4 7 12" xfId="23835"/>
    <cellStyle name="Note 11 4 7 13" xfId="23836"/>
    <cellStyle name="Note 11 4 7 14" xfId="23837"/>
    <cellStyle name="Note 11 4 7 15" xfId="23838"/>
    <cellStyle name="Note 11 4 7 16" xfId="23839"/>
    <cellStyle name="Note 11 4 7 2" xfId="23840"/>
    <cellStyle name="Note 11 4 7 2 2" xfId="23841"/>
    <cellStyle name="Note 11 4 7 2 3" xfId="23842"/>
    <cellStyle name="Note 11 4 7 2 4" xfId="23843"/>
    <cellStyle name="Note 11 4 7 3" xfId="23844"/>
    <cellStyle name="Note 11 4 7 4" xfId="23845"/>
    <cellStyle name="Note 11 4 7 5" xfId="23846"/>
    <cellStyle name="Note 11 4 7 6" xfId="23847"/>
    <cellStyle name="Note 11 4 7 7" xfId="23848"/>
    <cellStyle name="Note 11 4 7 8" xfId="23849"/>
    <cellStyle name="Note 11 4 7 9" xfId="23850"/>
    <cellStyle name="Note 11 4 8" xfId="23851"/>
    <cellStyle name="Note 11 4 8 10" xfId="23852"/>
    <cellStyle name="Note 11 4 8 11" xfId="23853"/>
    <cellStyle name="Note 11 4 8 12" xfId="23854"/>
    <cellStyle name="Note 11 4 8 13" xfId="23855"/>
    <cellStyle name="Note 11 4 8 14" xfId="23856"/>
    <cellStyle name="Note 11 4 8 15" xfId="23857"/>
    <cellStyle name="Note 11 4 8 16" xfId="23858"/>
    <cellStyle name="Note 11 4 8 2" xfId="23859"/>
    <cellStyle name="Note 11 4 8 2 2" xfId="23860"/>
    <cellStyle name="Note 11 4 8 2 3" xfId="23861"/>
    <cellStyle name="Note 11 4 8 2 4" xfId="23862"/>
    <cellStyle name="Note 11 4 8 3" xfId="23863"/>
    <cellStyle name="Note 11 4 8 4" xfId="23864"/>
    <cellStyle name="Note 11 4 8 5" xfId="23865"/>
    <cellStyle name="Note 11 4 8 6" xfId="23866"/>
    <cellStyle name="Note 11 4 8 7" xfId="23867"/>
    <cellStyle name="Note 11 4 8 8" xfId="23868"/>
    <cellStyle name="Note 11 4 8 9" xfId="23869"/>
    <cellStyle name="Note 11 4 9" xfId="23870"/>
    <cellStyle name="Note 11 4 9 2" xfId="23871"/>
    <cellStyle name="Note 11 4 9 3" xfId="23872"/>
    <cellStyle name="Note 11 4 9 4" xfId="23873"/>
    <cellStyle name="Note 12 2" xfId="23874"/>
    <cellStyle name="Note 12 2 10" xfId="23875"/>
    <cellStyle name="Note 12 2 11" xfId="23876"/>
    <cellStyle name="Note 12 2 12" xfId="23877"/>
    <cellStyle name="Note 12 2 13" xfId="23878"/>
    <cellStyle name="Note 12 2 14" xfId="23879"/>
    <cellStyle name="Note 12 2 15" xfId="23880"/>
    <cellStyle name="Note 12 2 16" xfId="23881"/>
    <cellStyle name="Note 12 2 17" xfId="23882"/>
    <cellStyle name="Note 12 2 18" xfId="23883"/>
    <cellStyle name="Note 12 2 19" xfId="23884"/>
    <cellStyle name="Note 12 2 2" xfId="23885"/>
    <cellStyle name="Note 12 2 2 10" xfId="23886"/>
    <cellStyle name="Note 12 2 2 11" xfId="23887"/>
    <cellStyle name="Note 12 2 2 12" xfId="23888"/>
    <cellStyle name="Note 12 2 2 13" xfId="23889"/>
    <cellStyle name="Note 12 2 2 14" xfId="23890"/>
    <cellStyle name="Note 12 2 2 15" xfId="23891"/>
    <cellStyle name="Note 12 2 2 16" xfId="23892"/>
    <cellStyle name="Note 12 2 2 2" xfId="23893"/>
    <cellStyle name="Note 12 2 2 2 2" xfId="23894"/>
    <cellStyle name="Note 12 2 2 2 3" xfId="23895"/>
    <cellStyle name="Note 12 2 2 2 4" xfId="23896"/>
    <cellStyle name="Note 12 2 2 3" xfId="23897"/>
    <cellStyle name="Note 12 2 2 4" xfId="23898"/>
    <cellStyle name="Note 12 2 2 5" xfId="23899"/>
    <cellStyle name="Note 12 2 2 6" xfId="23900"/>
    <cellStyle name="Note 12 2 2 7" xfId="23901"/>
    <cellStyle name="Note 12 2 2 8" xfId="23902"/>
    <cellStyle name="Note 12 2 2 9" xfId="23903"/>
    <cellStyle name="Note 12 2 20" xfId="23904"/>
    <cellStyle name="Note 12 2 21" xfId="23905"/>
    <cellStyle name="Note 12 2 22" xfId="23906"/>
    <cellStyle name="Note 12 2 23" xfId="23907"/>
    <cellStyle name="Note 12 2 3" xfId="23908"/>
    <cellStyle name="Note 12 2 3 10" xfId="23909"/>
    <cellStyle name="Note 12 2 3 11" xfId="23910"/>
    <cellStyle name="Note 12 2 3 12" xfId="23911"/>
    <cellStyle name="Note 12 2 3 13" xfId="23912"/>
    <cellStyle name="Note 12 2 3 14" xfId="23913"/>
    <cellStyle name="Note 12 2 3 15" xfId="23914"/>
    <cellStyle name="Note 12 2 3 16" xfId="23915"/>
    <cellStyle name="Note 12 2 3 2" xfId="23916"/>
    <cellStyle name="Note 12 2 3 2 2" xfId="23917"/>
    <cellStyle name="Note 12 2 3 2 3" xfId="23918"/>
    <cellStyle name="Note 12 2 3 2 4" xfId="23919"/>
    <cellStyle name="Note 12 2 3 3" xfId="23920"/>
    <cellStyle name="Note 12 2 3 4" xfId="23921"/>
    <cellStyle name="Note 12 2 3 5" xfId="23922"/>
    <cellStyle name="Note 12 2 3 6" xfId="23923"/>
    <cellStyle name="Note 12 2 3 7" xfId="23924"/>
    <cellStyle name="Note 12 2 3 8" xfId="23925"/>
    <cellStyle name="Note 12 2 3 9" xfId="23926"/>
    <cellStyle name="Note 12 2 4" xfId="23927"/>
    <cellStyle name="Note 12 2 4 10" xfId="23928"/>
    <cellStyle name="Note 12 2 4 11" xfId="23929"/>
    <cellStyle name="Note 12 2 4 12" xfId="23930"/>
    <cellStyle name="Note 12 2 4 13" xfId="23931"/>
    <cellStyle name="Note 12 2 4 14" xfId="23932"/>
    <cellStyle name="Note 12 2 4 15" xfId="23933"/>
    <cellStyle name="Note 12 2 4 16" xfId="23934"/>
    <cellStyle name="Note 12 2 4 2" xfId="23935"/>
    <cellStyle name="Note 12 2 4 2 2" xfId="23936"/>
    <cellStyle name="Note 12 2 4 2 3" xfId="23937"/>
    <cellStyle name="Note 12 2 4 2 4" xfId="23938"/>
    <cellStyle name="Note 12 2 4 3" xfId="23939"/>
    <cellStyle name="Note 12 2 4 4" xfId="23940"/>
    <cellStyle name="Note 12 2 4 5" xfId="23941"/>
    <cellStyle name="Note 12 2 4 6" xfId="23942"/>
    <cellStyle name="Note 12 2 4 7" xfId="23943"/>
    <cellStyle name="Note 12 2 4 8" xfId="23944"/>
    <cellStyle name="Note 12 2 4 9" xfId="23945"/>
    <cellStyle name="Note 12 2 5" xfId="23946"/>
    <cellStyle name="Note 12 2 5 10" xfId="23947"/>
    <cellStyle name="Note 12 2 5 11" xfId="23948"/>
    <cellStyle name="Note 12 2 5 12" xfId="23949"/>
    <cellStyle name="Note 12 2 5 13" xfId="23950"/>
    <cellStyle name="Note 12 2 5 14" xfId="23951"/>
    <cellStyle name="Note 12 2 5 15" xfId="23952"/>
    <cellStyle name="Note 12 2 5 16" xfId="23953"/>
    <cellStyle name="Note 12 2 5 2" xfId="23954"/>
    <cellStyle name="Note 12 2 5 2 2" xfId="23955"/>
    <cellStyle name="Note 12 2 5 2 3" xfId="23956"/>
    <cellStyle name="Note 12 2 5 2 4" xfId="23957"/>
    <cellStyle name="Note 12 2 5 3" xfId="23958"/>
    <cellStyle name="Note 12 2 5 4" xfId="23959"/>
    <cellStyle name="Note 12 2 5 5" xfId="23960"/>
    <cellStyle name="Note 12 2 5 6" xfId="23961"/>
    <cellStyle name="Note 12 2 5 7" xfId="23962"/>
    <cellStyle name="Note 12 2 5 8" xfId="23963"/>
    <cellStyle name="Note 12 2 5 9" xfId="23964"/>
    <cellStyle name="Note 12 2 6" xfId="23965"/>
    <cellStyle name="Note 12 2 6 10" xfId="23966"/>
    <cellStyle name="Note 12 2 6 11" xfId="23967"/>
    <cellStyle name="Note 12 2 6 12" xfId="23968"/>
    <cellStyle name="Note 12 2 6 13" xfId="23969"/>
    <cellStyle name="Note 12 2 6 14" xfId="23970"/>
    <cellStyle name="Note 12 2 6 15" xfId="23971"/>
    <cellStyle name="Note 12 2 6 16" xfId="23972"/>
    <cellStyle name="Note 12 2 6 2" xfId="23973"/>
    <cellStyle name="Note 12 2 6 2 2" xfId="23974"/>
    <cellStyle name="Note 12 2 6 2 3" xfId="23975"/>
    <cellStyle name="Note 12 2 6 2 4" xfId="23976"/>
    <cellStyle name="Note 12 2 6 3" xfId="23977"/>
    <cellStyle name="Note 12 2 6 4" xfId="23978"/>
    <cellStyle name="Note 12 2 6 5" xfId="23979"/>
    <cellStyle name="Note 12 2 6 6" xfId="23980"/>
    <cellStyle name="Note 12 2 6 7" xfId="23981"/>
    <cellStyle name="Note 12 2 6 8" xfId="23982"/>
    <cellStyle name="Note 12 2 6 9" xfId="23983"/>
    <cellStyle name="Note 12 2 7" xfId="23984"/>
    <cellStyle name="Note 12 2 7 10" xfId="23985"/>
    <cellStyle name="Note 12 2 7 11" xfId="23986"/>
    <cellStyle name="Note 12 2 7 12" xfId="23987"/>
    <cellStyle name="Note 12 2 7 13" xfId="23988"/>
    <cellStyle name="Note 12 2 7 14" xfId="23989"/>
    <cellStyle name="Note 12 2 7 15" xfId="23990"/>
    <cellStyle name="Note 12 2 7 16" xfId="23991"/>
    <cellStyle name="Note 12 2 7 2" xfId="23992"/>
    <cellStyle name="Note 12 2 7 2 2" xfId="23993"/>
    <cellStyle name="Note 12 2 7 2 3" xfId="23994"/>
    <cellStyle name="Note 12 2 7 2 4" xfId="23995"/>
    <cellStyle name="Note 12 2 7 3" xfId="23996"/>
    <cellStyle name="Note 12 2 7 4" xfId="23997"/>
    <cellStyle name="Note 12 2 7 5" xfId="23998"/>
    <cellStyle name="Note 12 2 7 6" xfId="23999"/>
    <cellStyle name="Note 12 2 7 7" xfId="24000"/>
    <cellStyle name="Note 12 2 7 8" xfId="24001"/>
    <cellStyle name="Note 12 2 7 9" xfId="24002"/>
    <cellStyle name="Note 12 2 8" xfId="24003"/>
    <cellStyle name="Note 12 2 8 10" xfId="24004"/>
    <cellStyle name="Note 12 2 8 11" xfId="24005"/>
    <cellStyle name="Note 12 2 8 12" xfId="24006"/>
    <cellStyle name="Note 12 2 8 13" xfId="24007"/>
    <cellStyle name="Note 12 2 8 14" xfId="24008"/>
    <cellStyle name="Note 12 2 8 15" xfId="24009"/>
    <cellStyle name="Note 12 2 8 16" xfId="24010"/>
    <cellStyle name="Note 12 2 8 2" xfId="24011"/>
    <cellStyle name="Note 12 2 8 2 2" xfId="24012"/>
    <cellStyle name="Note 12 2 8 2 3" xfId="24013"/>
    <cellStyle name="Note 12 2 8 2 4" xfId="24014"/>
    <cellStyle name="Note 12 2 8 3" xfId="24015"/>
    <cellStyle name="Note 12 2 8 4" xfId="24016"/>
    <cellStyle name="Note 12 2 8 5" xfId="24017"/>
    <cellStyle name="Note 12 2 8 6" xfId="24018"/>
    <cellStyle name="Note 12 2 8 7" xfId="24019"/>
    <cellStyle name="Note 12 2 8 8" xfId="24020"/>
    <cellStyle name="Note 12 2 8 9" xfId="24021"/>
    <cellStyle name="Note 12 2 9" xfId="24022"/>
    <cellStyle name="Note 12 2 9 2" xfId="24023"/>
    <cellStyle name="Note 12 2 9 3" xfId="24024"/>
    <cellStyle name="Note 12 2 9 4" xfId="24025"/>
    <cellStyle name="Note 12 3" xfId="24026"/>
    <cellStyle name="Note 12 3 10" xfId="24027"/>
    <cellStyle name="Note 12 3 11" xfId="24028"/>
    <cellStyle name="Note 12 3 12" xfId="24029"/>
    <cellStyle name="Note 12 3 13" xfId="24030"/>
    <cellStyle name="Note 12 3 14" xfId="24031"/>
    <cellStyle name="Note 12 3 15" xfId="24032"/>
    <cellStyle name="Note 12 3 16" xfId="24033"/>
    <cellStyle name="Note 12 3 17" xfId="24034"/>
    <cellStyle name="Note 12 3 18" xfId="24035"/>
    <cellStyle name="Note 12 3 19" xfId="24036"/>
    <cellStyle name="Note 12 3 2" xfId="24037"/>
    <cellStyle name="Note 12 3 2 10" xfId="24038"/>
    <cellStyle name="Note 12 3 2 11" xfId="24039"/>
    <cellStyle name="Note 12 3 2 12" xfId="24040"/>
    <cellStyle name="Note 12 3 2 13" xfId="24041"/>
    <cellStyle name="Note 12 3 2 14" xfId="24042"/>
    <cellStyle name="Note 12 3 2 15" xfId="24043"/>
    <cellStyle name="Note 12 3 2 16" xfId="24044"/>
    <cellStyle name="Note 12 3 2 2" xfId="24045"/>
    <cellStyle name="Note 12 3 2 2 2" xfId="24046"/>
    <cellStyle name="Note 12 3 2 2 3" xfId="24047"/>
    <cellStyle name="Note 12 3 2 2 4" xfId="24048"/>
    <cellStyle name="Note 12 3 2 3" xfId="24049"/>
    <cellStyle name="Note 12 3 2 4" xfId="24050"/>
    <cellStyle name="Note 12 3 2 5" xfId="24051"/>
    <cellStyle name="Note 12 3 2 6" xfId="24052"/>
    <cellStyle name="Note 12 3 2 7" xfId="24053"/>
    <cellStyle name="Note 12 3 2 8" xfId="24054"/>
    <cellStyle name="Note 12 3 2 9" xfId="24055"/>
    <cellStyle name="Note 12 3 20" xfId="24056"/>
    <cellStyle name="Note 12 3 21" xfId="24057"/>
    <cellStyle name="Note 12 3 22" xfId="24058"/>
    <cellStyle name="Note 12 3 23" xfId="24059"/>
    <cellStyle name="Note 12 3 3" xfId="24060"/>
    <cellStyle name="Note 12 3 3 10" xfId="24061"/>
    <cellStyle name="Note 12 3 3 11" xfId="24062"/>
    <cellStyle name="Note 12 3 3 12" xfId="24063"/>
    <cellStyle name="Note 12 3 3 13" xfId="24064"/>
    <cellStyle name="Note 12 3 3 14" xfId="24065"/>
    <cellStyle name="Note 12 3 3 15" xfId="24066"/>
    <cellStyle name="Note 12 3 3 16" xfId="24067"/>
    <cellStyle name="Note 12 3 3 2" xfId="24068"/>
    <cellStyle name="Note 12 3 3 2 2" xfId="24069"/>
    <cellStyle name="Note 12 3 3 2 3" xfId="24070"/>
    <cellStyle name="Note 12 3 3 2 4" xfId="24071"/>
    <cellStyle name="Note 12 3 3 3" xfId="24072"/>
    <cellStyle name="Note 12 3 3 4" xfId="24073"/>
    <cellStyle name="Note 12 3 3 5" xfId="24074"/>
    <cellStyle name="Note 12 3 3 6" xfId="24075"/>
    <cellStyle name="Note 12 3 3 7" xfId="24076"/>
    <cellStyle name="Note 12 3 3 8" xfId="24077"/>
    <cellStyle name="Note 12 3 3 9" xfId="24078"/>
    <cellStyle name="Note 12 3 4" xfId="24079"/>
    <cellStyle name="Note 12 3 4 10" xfId="24080"/>
    <cellStyle name="Note 12 3 4 11" xfId="24081"/>
    <cellStyle name="Note 12 3 4 12" xfId="24082"/>
    <cellStyle name="Note 12 3 4 13" xfId="24083"/>
    <cellStyle name="Note 12 3 4 14" xfId="24084"/>
    <cellStyle name="Note 12 3 4 15" xfId="24085"/>
    <cellStyle name="Note 12 3 4 16" xfId="24086"/>
    <cellStyle name="Note 12 3 4 2" xfId="24087"/>
    <cellStyle name="Note 12 3 4 2 2" xfId="24088"/>
    <cellStyle name="Note 12 3 4 2 3" xfId="24089"/>
    <cellStyle name="Note 12 3 4 2 4" xfId="24090"/>
    <cellStyle name="Note 12 3 4 3" xfId="24091"/>
    <cellStyle name="Note 12 3 4 4" xfId="24092"/>
    <cellStyle name="Note 12 3 4 5" xfId="24093"/>
    <cellStyle name="Note 12 3 4 6" xfId="24094"/>
    <cellStyle name="Note 12 3 4 7" xfId="24095"/>
    <cellStyle name="Note 12 3 4 8" xfId="24096"/>
    <cellStyle name="Note 12 3 4 9" xfId="24097"/>
    <cellStyle name="Note 12 3 5" xfId="24098"/>
    <cellStyle name="Note 12 3 5 10" xfId="24099"/>
    <cellStyle name="Note 12 3 5 11" xfId="24100"/>
    <cellStyle name="Note 12 3 5 12" xfId="24101"/>
    <cellStyle name="Note 12 3 5 13" xfId="24102"/>
    <cellStyle name="Note 12 3 5 14" xfId="24103"/>
    <cellStyle name="Note 12 3 5 15" xfId="24104"/>
    <cellStyle name="Note 12 3 5 16" xfId="24105"/>
    <cellStyle name="Note 12 3 5 2" xfId="24106"/>
    <cellStyle name="Note 12 3 5 2 2" xfId="24107"/>
    <cellStyle name="Note 12 3 5 2 3" xfId="24108"/>
    <cellStyle name="Note 12 3 5 2 4" xfId="24109"/>
    <cellStyle name="Note 12 3 5 3" xfId="24110"/>
    <cellStyle name="Note 12 3 5 4" xfId="24111"/>
    <cellStyle name="Note 12 3 5 5" xfId="24112"/>
    <cellStyle name="Note 12 3 5 6" xfId="24113"/>
    <cellStyle name="Note 12 3 5 7" xfId="24114"/>
    <cellStyle name="Note 12 3 5 8" xfId="24115"/>
    <cellStyle name="Note 12 3 5 9" xfId="24116"/>
    <cellStyle name="Note 12 3 6" xfId="24117"/>
    <cellStyle name="Note 12 3 6 10" xfId="24118"/>
    <cellStyle name="Note 12 3 6 11" xfId="24119"/>
    <cellStyle name="Note 12 3 6 12" xfId="24120"/>
    <cellStyle name="Note 12 3 6 13" xfId="24121"/>
    <cellStyle name="Note 12 3 6 14" xfId="24122"/>
    <cellStyle name="Note 12 3 6 15" xfId="24123"/>
    <cellStyle name="Note 12 3 6 16" xfId="24124"/>
    <cellStyle name="Note 12 3 6 2" xfId="24125"/>
    <cellStyle name="Note 12 3 6 2 2" xfId="24126"/>
    <cellStyle name="Note 12 3 6 2 3" xfId="24127"/>
    <cellStyle name="Note 12 3 6 2 4" xfId="24128"/>
    <cellStyle name="Note 12 3 6 3" xfId="24129"/>
    <cellStyle name="Note 12 3 6 4" xfId="24130"/>
    <cellStyle name="Note 12 3 6 5" xfId="24131"/>
    <cellStyle name="Note 12 3 6 6" xfId="24132"/>
    <cellStyle name="Note 12 3 6 7" xfId="24133"/>
    <cellStyle name="Note 12 3 6 8" xfId="24134"/>
    <cellStyle name="Note 12 3 6 9" xfId="24135"/>
    <cellStyle name="Note 12 3 7" xfId="24136"/>
    <cellStyle name="Note 12 3 7 10" xfId="24137"/>
    <cellStyle name="Note 12 3 7 11" xfId="24138"/>
    <cellStyle name="Note 12 3 7 12" xfId="24139"/>
    <cellStyle name="Note 12 3 7 13" xfId="24140"/>
    <cellStyle name="Note 12 3 7 14" xfId="24141"/>
    <cellStyle name="Note 12 3 7 15" xfId="24142"/>
    <cellStyle name="Note 12 3 7 16" xfId="24143"/>
    <cellStyle name="Note 12 3 7 2" xfId="24144"/>
    <cellStyle name="Note 12 3 7 2 2" xfId="24145"/>
    <cellStyle name="Note 12 3 7 2 3" xfId="24146"/>
    <cellStyle name="Note 12 3 7 2 4" xfId="24147"/>
    <cellStyle name="Note 12 3 7 3" xfId="24148"/>
    <cellStyle name="Note 12 3 7 4" xfId="24149"/>
    <cellStyle name="Note 12 3 7 5" xfId="24150"/>
    <cellStyle name="Note 12 3 7 6" xfId="24151"/>
    <cellStyle name="Note 12 3 7 7" xfId="24152"/>
    <cellStyle name="Note 12 3 7 8" xfId="24153"/>
    <cellStyle name="Note 12 3 7 9" xfId="24154"/>
    <cellStyle name="Note 12 3 8" xfId="24155"/>
    <cellStyle name="Note 12 3 8 10" xfId="24156"/>
    <cellStyle name="Note 12 3 8 11" xfId="24157"/>
    <cellStyle name="Note 12 3 8 12" xfId="24158"/>
    <cellStyle name="Note 12 3 8 13" xfId="24159"/>
    <cellStyle name="Note 12 3 8 14" xfId="24160"/>
    <cellStyle name="Note 12 3 8 15" xfId="24161"/>
    <cellStyle name="Note 12 3 8 16" xfId="24162"/>
    <cellStyle name="Note 12 3 8 2" xfId="24163"/>
    <cellStyle name="Note 12 3 8 2 2" xfId="24164"/>
    <cellStyle name="Note 12 3 8 2 3" xfId="24165"/>
    <cellStyle name="Note 12 3 8 2 4" xfId="24166"/>
    <cellStyle name="Note 12 3 8 3" xfId="24167"/>
    <cellStyle name="Note 12 3 8 4" xfId="24168"/>
    <cellStyle name="Note 12 3 8 5" xfId="24169"/>
    <cellStyle name="Note 12 3 8 6" xfId="24170"/>
    <cellStyle name="Note 12 3 8 7" xfId="24171"/>
    <cellStyle name="Note 12 3 8 8" xfId="24172"/>
    <cellStyle name="Note 12 3 8 9" xfId="24173"/>
    <cellStyle name="Note 12 3 9" xfId="24174"/>
    <cellStyle name="Note 12 3 9 2" xfId="24175"/>
    <cellStyle name="Note 12 3 9 3" xfId="24176"/>
    <cellStyle name="Note 12 3 9 4" xfId="24177"/>
    <cellStyle name="Note 12 4" xfId="24178"/>
    <cellStyle name="Note 12 4 10" xfId="24179"/>
    <cellStyle name="Note 12 4 11" xfId="24180"/>
    <cellStyle name="Note 12 4 12" xfId="24181"/>
    <cellStyle name="Note 12 4 13" xfId="24182"/>
    <cellStyle name="Note 12 4 14" xfId="24183"/>
    <cellStyle name="Note 12 4 15" xfId="24184"/>
    <cellStyle name="Note 12 4 16" xfId="24185"/>
    <cellStyle name="Note 12 4 17" xfId="24186"/>
    <cellStyle name="Note 12 4 18" xfId="24187"/>
    <cellStyle name="Note 12 4 19" xfId="24188"/>
    <cellStyle name="Note 12 4 2" xfId="24189"/>
    <cellStyle name="Note 12 4 2 10" xfId="24190"/>
    <cellStyle name="Note 12 4 2 11" xfId="24191"/>
    <cellStyle name="Note 12 4 2 12" xfId="24192"/>
    <cellStyle name="Note 12 4 2 13" xfId="24193"/>
    <cellStyle name="Note 12 4 2 14" xfId="24194"/>
    <cellStyle name="Note 12 4 2 15" xfId="24195"/>
    <cellStyle name="Note 12 4 2 16" xfId="24196"/>
    <cellStyle name="Note 12 4 2 2" xfId="24197"/>
    <cellStyle name="Note 12 4 2 2 2" xfId="24198"/>
    <cellStyle name="Note 12 4 2 2 3" xfId="24199"/>
    <cellStyle name="Note 12 4 2 2 4" xfId="24200"/>
    <cellStyle name="Note 12 4 2 3" xfId="24201"/>
    <cellStyle name="Note 12 4 2 4" xfId="24202"/>
    <cellStyle name="Note 12 4 2 5" xfId="24203"/>
    <cellStyle name="Note 12 4 2 6" xfId="24204"/>
    <cellStyle name="Note 12 4 2 7" xfId="24205"/>
    <cellStyle name="Note 12 4 2 8" xfId="24206"/>
    <cellStyle name="Note 12 4 2 9" xfId="24207"/>
    <cellStyle name="Note 12 4 20" xfId="24208"/>
    <cellStyle name="Note 12 4 21" xfId="24209"/>
    <cellStyle name="Note 12 4 22" xfId="24210"/>
    <cellStyle name="Note 12 4 23" xfId="24211"/>
    <cellStyle name="Note 12 4 3" xfId="24212"/>
    <cellStyle name="Note 12 4 3 10" xfId="24213"/>
    <cellStyle name="Note 12 4 3 11" xfId="24214"/>
    <cellStyle name="Note 12 4 3 12" xfId="24215"/>
    <cellStyle name="Note 12 4 3 13" xfId="24216"/>
    <cellStyle name="Note 12 4 3 14" xfId="24217"/>
    <cellStyle name="Note 12 4 3 15" xfId="24218"/>
    <cellStyle name="Note 12 4 3 16" xfId="24219"/>
    <cellStyle name="Note 12 4 3 2" xfId="24220"/>
    <cellStyle name="Note 12 4 3 2 2" xfId="24221"/>
    <cellStyle name="Note 12 4 3 2 3" xfId="24222"/>
    <cellStyle name="Note 12 4 3 2 4" xfId="24223"/>
    <cellStyle name="Note 12 4 3 3" xfId="24224"/>
    <cellStyle name="Note 12 4 3 4" xfId="24225"/>
    <cellStyle name="Note 12 4 3 5" xfId="24226"/>
    <cellStyle name="Note 12 4 3 6" xfId="24227"/>
    <cellStyle name="Note 12 4 3 7" xfId="24228"/>
    <cellStyle name="Note 12 4 3 8" xfId="24229"/>
    <cellStyle name="Note 12 4 3 9" xfId="24230"/>
    <cellStyle name="Note 12 4 4" xfId="24231"/>
    <cellStyle name="Note 12 4 4 10" xfId="24232"/>
    <cellStyle name="Note 12 4 4 11" xfId="24233"/>
    <cellStyle name="Note 12 4 4 12" xfId="24234"/>
    <cellStyle name="Note 12 4 4 13" xfId="24235"/>
    <cellStyle name="Note 12 4 4 14" xfId="24236"/>
    <cellStyle name="Note 12 4 4 15" xfId="24237"/>
    <cellStyle name="Note 12 4 4 16" xfId="24238"/>
    <cellStyle name="Note 12 4 4 2" xfId="24239"/>
    <cellStyle name="Note 12 4 4 2 2" xfId="24240"/>
    <cellStyle name="Note 12 4 4 2 3" xfId="24241"/>
    <cellStyle name="Note 12 4 4 2 4" xfId="24242"/>
    <cellStyle name="Note 12 4 4 3" xfId="24243"/>
    <cellStyle name="Note 12 4 4 4" xfId="24244"/>
    <cellStyle name="Note 12 4 4 5" xfId="24245"/>
    <cellStyle name="Note 12 4 4 6" xfId="24246"/>
    <cellStyle name="Note 12 4 4 7" xfId="24247"/>
    <cellStyle name="Note 12 4 4 8" xfId="24248"/>
    <cellStyle name="Note 12 4 4 9" xfId="24249"/>
    <cellStyle name="Note 12 4 5" xfId="24250"/>
    <cellStyle name="Note 12 4 5 10" xfId="24251"/>
    <cellStyle name="Note 12 4 5 11" xfId="24252"/>
    <cellStyle name="Note 12 4 5 12" xfId="24253"/>
    <cellStyle name="Note 12 4 5 13" xfId="24254"/>
    <cellStyle name="Note 12 4 5 14" xfId="24255"/>
    <cellStyle name="Note 12 4 5 15" xfId="24256"/>
    <cellStyle name="Note 12 4 5 16" xfId="24257"/>
    <cellStyle name="Note 12 4 5 2" xfId="24258"/>
    <cellStyle name="Note 12 4 5 2 2" xfId="24259"/>
    <cellStyle name="Note 12 4 5 2 3" xfId="24260"/>
    <cellStyle name="Note 12 4 5 2 4" xfId="24261"/>
    <cellStyle name="Note 12 4 5 3" xfId="24262"/>
    <cellStyle name="Note 12 4 5 4" xfId="24263"/>
    <cellStyle name="Note 12 4 5 5" xfId="24264"/>
    <cellStyle name="Note 12 4 5 6" xfId="24265"/>
    <cellStyle name="Note 12 4 5 7" xfId="24266"/>
    <cellStyle name="Note 12 4 5 8" xfId="24267"/>
    <cellStyle name="Note 12 4 5 9" xfId="24268"/>
    <cellStyle name="Note 12 4 6" xfId="24269"/>
    <cellStyle name="Note 12 4 6 10" xfId="24270"/>
    <cellStyle name="Note 12 4 6 11" xfId="24271"/>
    <cellStyle name="Note 12 4 6 12" xfId="24272"/>
    <cellStyle name="Note 12 4 6 13" xfId="24273"/>
    <cellStyle name="Note 12 4 6 14" xfId="24274"/>
    <cellStyle name="Note 12 4 6 15" xfId="24275"/>
    <cellStyle name="Note 12 4 6 16" xfId="24276"/>
    <cellStyle name="Note 12 4 6 2" xfId="24277"/>
    <cellStyle name="Note 12 4 6 2 2" xfId="24278"/>
    <cellStyle name="Note 12 4 6 2 3" xfId="24279"/>
    <cellStyle name="Note 12 4 6 2 4" xfId="24280"/>
    <cellStyle name="Note 12 4 6 3" xfId="24281"/>
    <cellStyle name="Note 12 4 6 4" xfId="24282"/>
    <cellStyle name="Note 12 4 6 5" xfId="24283"/>
    <cellStyle name="Note 12 4 6 6" xfId="24284"/>
    <cellStyle name="Note 12 4 6 7" xfId="24285"/>
    <cellStyle name="Note 12 4 6 8" xfId="24286"/>
    <cellStyle name="Note 12 4 6 9" xfId="24287"/>
    <cellStyle name="Note 12 4 7" xfId="24288"/>
    <cellStyle name="Note 12 4 7 10" xfId="24289"/>
    <cellStyle name="Note 12 4 7 11" xfId="24290"/>
    <cellStyle name="Note 12 4 7 12" xfId="24291"/>
    <cellStyle name="Note 12 4 7 13" xfId="24292"/>
    <cellStyle name="Note 12 4 7 14" xfId="24293"/>
    <cellStyle name="Note 12 4 7 15" xfId="24294"/>
    <cellStyle name="Note 12 4 7 16" xfId="24295"/>
    <cellStyle name="Note 12 4 7 2" xfId="24296"/>
    <cellStyle name="Note 12 4 7 2 2" xfId="24297"/>
    <cellStyle name="Note 12 4 7 2 3" xfId="24298"/>
    <cellStyle name="Note 12 4 7 2 4" xfId="24299"/>
    <cellStyle name="Note 12 4 7 3" xfId="24300"/>
    <cellStyle name="Note 12 4 7 4" xfId="24301"/>
    <cellStyle name="Note 12 4 7 5" xfId="24302"/>
    <cellStyle name="Note 12 4 7 6" xfId="24303"/>
    <cellStyle name="Note 12 4 7 7" xfId="24304"/>
    <cellStyle name="Note 12 4 7 8" xfId="24305"/>
    <cellStyle name="Note 12 4 7 9" xfId="24306"/>
    <cellStyle name="Note 12 4 8" xfId="24307"/>
    <cellStyle name="Note 12 4 8 10" xfId="24308"/>
    <cellStyle name="Note 12 4 8 11" xfId="24309"/>
    <cellStyle name="Note 12 4 8 12" xfId="24310"/>
    <cellStyle name="Note 12 4 8 13" xfId="24311"/>
    <cellStyle name="Note 12 4 8 14" xfId="24312"/>
    <cellStyle name="Note 12 4 8 15" xfId="24313"/>
    <cellStyle name="Note 12 4 8 16" xfId="24314"/>
    <cellStyle name="Note 12 4 8 2" xfId="24315"/>
    <cellStyle name="Note 12 4 8 2 2" xfId="24316"/>
    <cellStyle name="Note 12 4 8 2 3" xfId="24317"/>
    <cellStyle name="Note 12 4 8 2 4" xfId="24318"/>
    <cellStyle name="Note 12 4 8 3" xfId="24319"/>
    <cellStyle name="Note 12 4 8 4" xfId="24320"/>
    <cellStyle name="Note 12 4 8 5" xfId="24321"/>
    <cellStyle name="Note 12 4 8 6" xfId="24322"/>
    <cellStyle name="Note 12 4 8 7" xfId="24323"/>
    <cellStyle name="Note 12 4 8 8" xfId="24324"/>
    <cellStyle name="Note 12 4 8 9" xfId="24325"/>
    <cellStyle name="Note 12 4 9" xfId="24326"/>
    <cellStyle name="Note 12 4 9 2" xfId="24327"/>
    <cellStyle name="Note 12 4 9 3" xfId="24328"/>
    <cellStyle name="Note 12 4 9 4" xfId="24329"/>
    <cellStyle name="Note 13 2" xfId="24330"/>
    <cellStyle name="Note 13 2 10" xfId="24331"/>
    <cellStyle name="Note 13 2 11" xfId="24332"/>
    <cellStyle name="Note 13 2 12" xfId="24333"/>
    <cellStyle name="Note 13 2 13" xfId="24334"/>
    <cellStyle name="Note 13 2 14" xfId="24335"/>
    <cellStyle name="Note 13 2 15" xfId="24336"/>
    <cellStyle name="Note 13 2 16" xfId="24337"/>
    <cellStyle name="Note 13 2 17" xfId="24338"/>
    <cellStyle name="Note 13 2 18" xfId="24339"/>
    <cellStyle name="Note 13 2 19" xfId="24340"/>
    <cellStyle name="Note 13 2 2" xfId="24341"/>
    <cellStyle name="Note 13 2 2 10" xfId="24342"/>
    <cellStyle name="Note 13 2 2 11" xfId="24343"/>
    <cellStyle name="Note 13 2 2 12" xfId="24344"/>
    <cellStyle name="Note 13 2 2 13" xfId="24345"/>
    <cellStyle name="Note 13 2 2 14" xfId="24346"/>
    <cellStyle name="Note 13 2 2 15" xfId="24347"/>
    <cellStyle name="Note 13 2 2 16" xfId="24348"/>
    <cellStyle name="Note 13 2 2 2" xfId="24349"/>
    <cellStyle name="Note 13 2 2 2 2" xfId="24350"/>
    <cellStyle name="Note 13 2 2 2 3" xfId="24351"/>
    <cellStyle name="Note 13 2 2 2 4" xfId="24352"/>
    <cellStyle name="Note 13 2 2 3" xfId="24353"/>
    <cellStyle name="Note 13 2 2 4" xfId="24354"/>
    <cellStyle name="Note 13 2 2 5" xfId="24355"/>
    <cellStyle name="Note 13 2 2 6" xfId="24356"/>
    <cellStyle name="Note 13 2 2 7" xfId="24357"/>
    <cellStyle name="Note 13 2 2 8" xfId="24358"/>
    <cellStyle name="Note 13 2 2 9" xfId="24359"/>
    <cellStyle name="Note 13 2 20" xfId="24360"/>
    <cellStyle name="Note 13 2 21" xfId="24361"/>
    <cellStyle name="Note 13 2 22" xfId="24362"/>
    <cellStyle name="Note 13 2 23" xfId="24363"/>
    <cellStyle name="Note 13 2 3" xfId="24364"/>
    <cellStyle name="Note 13 2 3 10" xfId="24365"/>
    <cellStyle name="Note 13 2 3 11" xfId="24366"/>
    <cellStyle name="Note 13 2 3 12" xfId="24367"/>
    <cellStyle name="Note 13 2 3 13" xfId="24368"/>
    <cellStyle name="Note 13 2 3 14" xfId="24369"/>
    <cellStyle name="Note 13 2 3 15" xfId="24370"/>
    <cellStyle name="Note 13 2 3 16" xfId="24371"/>
    <cellStyle name="Note 13 2 3 2" xfId="24372"/>
    <cellStyle name="Note 13 2 3 2 2" xfId="24373"/>
    <cellStyle name="Note 13 2 3 2 3" xfId="24374"/>
    <cellStyle name="Note 13 2 3 2 4" xfId="24375"/>
    <cellStyle name="Note 13 2 3 3" xfId="24376"/>
    <cellStyle name="Note 13 2 3 4" xfId="24377"/>
    <cellStyle name="Note 13 2 3 5" xfId="24378"/>
    <cellStyle name="Note 13 2 3 6" xfId="24379"/>
    <cellStyle name="Note 13 2 3 7" xfId="24380"/>
    <cellStyle name="Note 13 2 3 8" xfId="24381"/>
    <cellStyle name="Note 13 2 3 9" xfId="24382"/>
    <cellStyle name="Note 13 2 4" xfId="24383"/>
    <cellStyle name="Note 13 2 4 10" xfId="24384"/>
    <cellStyle name="Note 13 2 4 11" xfId="24385"/>
    <cellStyle name="Note 13 2 4 12" xfId="24386"/>
    <cellStyle name="Note 13 2 4 13" xfId="24387"/>
    <cellStyle name="Note 13 2 4 14" xfId="24388"/>
    <cellStyle name="Note 13 2 4 15" xfId="24389"/>
    <cellStyle name="Note 13 2 4 16" xfId="24390"/>
    <cellStyle name="Note 13 2 4 2" xfId="24391"/>
    <cellStyle name="Note 13 2 4 2 2" xfId="24392"/>
    <cellStyle name="Note 13 2 4 2 3" xfId="24393"/>
    <cellStyle name="Note 13 2 4 2 4" xfId="24394"/>
    <cellStyle name="Note 13 2 4 3" xfId="24395"/>
    <cellStyle name="Note 13 2 4 4" xfId="24396"/>
    <cellStyle name="Note 13 2 4 5" xfId="24397"/>
    <cellStyle name="Note 13 2 4 6" xfId="24398"/>
    <cellStyle name="Note 13 2 4 7" xfId="24399"/>
    <cellStyle name="Note 13 2 4 8" xfId="24400"/>
    <cellStyle name="Note 13 2 4 9" xfId="24401"/>
    <cellStyle name="Note 13 2 5" xfId="24402"/>
    <cellStyle name="Note 13 2 5 10" xfId="24403"/>
    <cellStyle name="Note 13 2 5 11" xfId="24404"/>
    <cellStyle name="Note 13 2 5 12" xfId="24405"/>
    <cellStyle name="Note 13 2 5 13" xfId="24406"/>
    <cellStyle name="Note 13 2 5 14" xfId="24407"/>
    <cellStyle name="Note 13 2 5 15" xfId="24408"/>
    <cellStyle name="Note 13 2 5 16" xfId="24409"/>
    <cellStyle name="Note 13 2 5 2" xfId="24410"/>
    <cellStyle name="Note 13 2 5 2 2" xfId="24411"/>
    <cellStyle name="Note 13 2 5 2 3" xfId="24412"/>
    <cellStyle name="Note 13 2 5 2 4" xfId="24413"/>
    <cellStyle name="Note 13 2 5 3" xfId="24414"/>
    <cellStyle name="Note 13 2 5 4" xfId="24415"/>
    <cellStyle name="Note 13 2 5 5" xfId="24416"/>
    <cellStyle name="Note 13 2 5 6" xfId="24417"/>
    <cellStyle name="Note 13 2 5 7" xfId="24418"/>
    <cellStyle name="Note 13 2 5 8" xfId="24419"/>
    <cellStyle name="Note 13 2 5 9" xfId="24420"/>
    <cellStyle name="Note 13 2 6" xfId="24421"/>
    <cellStyle name="Note 13 2 6 10" xfId="24422"/>
    <cellStyle name="Note 13 2 6 11" xfId="24423"/>
    <cellStyle name="Note 13 2 6 12" xfId="24424"/>
    <cellStyle name="Note 13 2 6 13" xfId="24425"/>
    <cellStyle name="Note 13 2 6 14" xfId="24426"/>
    <cellStyle name="Note 13 2 6 15" xfId="24427"/>
    <cellStyle name="Note 13 2 6 16" xfId="24428"/>
    <cellStyle name="Note 13 2 6 2" xfId="24429"/>
    <cellStyle name="Note 13 2 6 2 2" xfId="24430"/>
    <cellStyle name="Note 13 2 6 2 3" xfId="24431"/>
    <cellStyle name="Note 13 2 6 2 4" xfId="24432"/>
    <cellStyle name="Note 13 2 6 3" xfId="24433"/>
    <cellStyle name="Note 13 2 6 4" xfId="24434"/>
    <cellStyle name="Note 13 2 6 5" xfId="24435"/>
    <cellStyle name="Note 13 2 6 6" xfId="24436"/>
    <cellStyle name="Note 13 2 6 7" xfId="24437"/>
    <cellStyle name="Note 13 2 6 8" xfId="24438"/>
    <cellStyle name="Note 13 2 6 9" xfId="24439"/>
    <cellStyle name="Note 13 2 7" xfId="24440"/>
    <cellStyle name="Note 13 2 7 10" xfId="24441"/>
    <cellStyle name="Note 13 2 7 11" xfId="24442"/>
    <cellStyle name="Note 13 2 7 12" xfId="24443"/>
    <cellStyle name="Note 13 2 7 13" xfId="24444"/>
    <cellStyle name="Note 13 2 7 14" xfId="24445"/>
    <cellStyle name="Note 13 2 7 15" xfId="24446"/>
    <cellStyle name="Note 13 2 7 16" xfId="24447"/>
    <cellStyle name="Note 13 2 7 2" xfId="24448"/>
    <cellStyle name="Note 13 2 7 2 2" xfId="24449"/>
    <cellStyle name="Note 13 2 7 2 3" xfId="24450"/>
    <cellStyle name="Note 13 2 7 2 4" xfId="24451"/>
    <cellStyle name="Note 13 2 7 3" xfId="24452"/>
    <cellStyle name="Note 13 2 7 4" xfId="24453"/>
    <cellStyle name="Note 13 2 7 5" xfId="24454"/>
    <cellStyle name="Note 13 2 7 6" xfId="24455"/>
    <cellStyle name="Note 13 2 7 7" xfId="24456"/>
    <cellStyle name="Note 13 2 7 8" xfId="24457"/>
    <cellStyle name="Note 13 2 7 9" xfId="24458"/>
    <cellStyle name="Note 13 2 8" xfId="24459"/>
    <cellStyle name="Note 13 2 8 10" xfId="24460"/>
    <cellStyle name="Note 13 2 8 11" xfId="24461"/>
    <cellStyle name="Note 13 2 8 12" xfId="24462"/>
    <cellStyle name="Note 13 2 8 13" xfId="24463"/>
    <cellStyle name="Note 13 2 8 14" xfId="24464"/>
    <cellStyle name="Note 13 2 8 15" xfId="24465"/>
    <cellStyle name="Note 13 2 8 16" xfId="24466"/>
    <cellStyle name="Note 13 2 8 2" xfId="24467"/>
    <cellStyle name="Note 13 2 8 2 2" xfId="24468"/>
    <cellStyle name="Note 13 2 8 2 3" xfId="24469"/>
    <cellStyle name="Note 13 2 8 2 4" xfId="24470"/>
    <cellStyle name="Note 13 2 8 3" xfId="24471"/>
    <cellStyle name="Note 13 2 8 4" xfId="24472"/>
    <cellStyle name="Note 13 2 8 5" xfId="24473"/>
    <cellStyle name="Note 13 2 8 6" xfId="24474"/>
    <cellStyle name="Note 13 2 8 7" xfId="24475"/>
    <cellStyle name="Note 13 2 8 8" xfId="24476"/>
    <cellStyle name="Note 13 2 8 9" xfId="24477"/>
    <cellStyle name="Note 13 2 9" xfId="24478"/>
    <cellStyle name="Note 13 2 9 2" xfId="24479"/>
    <cellStyle name="Note 13 2 9 3" xfId="24480"/>
    <cellStyle name="Note 13 2 9 4" xfId="24481"/>
    <cellStyle name="Note 13 3" xfId="24482"/>
    <cellStyle name="Note 13 3 10" xfId="24483"/>
    <cellStyle name="Note 13 3 11" xfId="24484"/>
    <cellStyle name="Note 13 3 12" xfId="24485"/>
    <cellStyle name="Note 13 3 13" xfId="24486"/>
    <cellStyle name="Note 13 3 14" xfId="24487"/>
    <cellStyle name="Note 13 3 15" xfId="24488"/>
    <cellStyle name="Note 13 3 16" xfId="24489"/>
    <cellStyle name="Note 13 3 17" xfId="24490"/>
    <cellStyle name="Note 13 3 18" xfId="24491"/>
    <cellStyle name="Note 13 3 19" xfId="24492"/>
    <cellStyle name="Note 13 3 2" xfId="24493"/>
    <cellStyle name="Note 13 3 2 10" xfId="24494"/>
    <cellStyle name="Note 13 3 2 11" xfId="24495"/>
    <cellStyle name="Note 13 3 2 12" xfId="24496"/>
    <cellStyle name="Note 13 3 2 13" xfId="24497"/>
    <cellStyle name="Note 13 3 2 14" xfId="24498"/>
    <cellStyle name="Note 13 3 2 15" xfId="24499"/>
    <cellStyle name="Note 13 3 2 16" xfId="24500"/>
    <cellStyle name="Note 13 3 2 2" xfId="24501"/>
    <cellStyle name="Note 13 3 2 2 2" xfId="24502"/>
    <cellStyle name="Note 13 3 2 2 3" xfId="24503"/>
    <cellStyle name="Note 13 3 2 2 4" xfId="24504"/>
    <cellStyle name="Note 13 3 2 3" xfId="24505"/>
    <cellStyle name="Note 13 3 2 4" xfId="24506"/>
    <cellStyle name="Note 13 3 2 5" xfId="24507"/>
    <cellStyle name="Note 13 3 2 6" xfId="24508"/>
    <cellStyle name="Note 13 3 2 7" xfId="24509"/>
    <cellStyle name="Note 13 3 2 8" xfId="24510"/>
    <cellStyle name="Note 13 3 2 9" xfId="24511"/>
    <cellStyle name="Note 13 3 20" xfId="24512"/>
    <cellStyle name="Note 13 3 21" xfId="24513"/>
    <cellStyle name="Note 13 3 22" xfId="24514"/>
    <cellStyle name="Note 13 3 23" xfId="24515"/>
    <cellStyle name="Note 13 3 3" xfId="24516"/>
    <cellStyle name="Note 13 3 3 10" xfId="24517"/>
    <cellStyle name="Note 13 3 3 11" xfId="24518"/>
    <cellStyle name="Note 13 3 3 12" xfId="24519"/>
    <cellStyle name="Note 13 3 3 13" xfId="24520"/>
    <cellStyle name="Note 13 3 3 14" xfId="24521"/>
    <cellStyle name="Note 13 3 3 15" xfId="24522"/>
    <cellStyle name="Note 13 3 3 16" xfId="24523"/>
    <cellStyle name="Note 13 3 3 2" xfId="24524"/>
    <cellStyle name="Note 13 3 3 2 2" xfId="24525"/>
    <cellStyle name="Note 13 3 3 2 3" xfId="24526"/>
    <cellStyle name="Note 13 3 3 2 4" xfId="24527"/>
    <cellStyle name="Note 13 3 3 3" xfId="24528"/>
    <cellStyle name="Note 13 3 3 4" xfId="24529"/>
    <cellStyle name="Note 13 3 3 5" xfId="24530"/>
    <cellStyle name="Note 13 3 3 6" xfId="24531"/>
    <cellStyle name="Note 13 3 3 7" xfId="24532"/>
    <cellStyle name="Note 13 3 3 8" xfId="24533"/>
    <cellStyle name="Note 13 3 3 9" xfId="24534"/>
    <cellStyle name="Note 13 3 4" xfId="24535"/>
    <cellStyle name="Note 13 3 4 10" xfId="24536"/>
    <cellStyle name="Note 13 3 4 11" xfId="24537"/>
    <cellStyle name="Note 13 3 4 12" xfId="24538"/>
    <cellStyle name="Note 13 3 4 13" xfId="24539"/>
    <cellStyle name="Note 13 3 4 14" xfId="24540"/>
    <cellStyle name="Note 13 3 4 15" xfId="24541"/>
    <cellStyle name="Note 13 3 4 16" xfId="24542"/>
    <cellStyle name="Note 13 3 4 2" xfId="24543"/>
    <cellStyle name="Note 13 3 4 2 2" xfId="24544"/>
    <cellStyle name="Note 13 3 4 2 3" xfId="24545"/>
    <cellStyle name="Note 13 3 4 2 4" xfId="24546"/>
    <cellStyle name="Note 13 3 4 3" xfId="24547"/>
    <cellStyle name="Note 13 3 4 4" xfId="24548"/>
    <cellStyle name="Note 13 3 4 5" xfId="24549"/>
    <cellStyle name="Note 13 3 4 6" xfId="24550"/>
    <cellStyle name="Note 13 3 4 7" xfId="24551"/>
    <cellStyle name="Note 13 3 4 8" xfId="24552"/>
    <cellStyle name="Note 13 3 4 9" xfId="24553"/>
    <cellStyle name="Note 13 3 5" xfId="24554"/>
    <cellStyle name="Note 13 3 5 10" xfId="24555"/>
    <cellStyle name="Note 13 3 5 11" xfId="24556"/>
    <cellStyle name="Note 13 3 5 12" xfId="24557"/>
    <cellStyle name="Note 13 3 5 13" xfId="24558"/>
    <cellStyle name="Note 13 3 5 14" xfId="24559"/>
    <cellStyle name="Note 13 3 5 15" xfId="24560"/>
    <cellStyle name="Note 13 3 5 16" xfId="24561"/>
    <cellStyle name="Note 13 3 5 2" xfId="24562"/>
    <cellStyle name="Note 13 3 5 2 2" xfId="24563"/>
    <cellStyle name="Note 13 3 5 2 3" xfId="24564"/>
    <cellStyle name="Note 13 3 5 2 4" xfId="24565"/>
    <cellStyle name="Note 13 3 5 3" xfId="24566"/>
    <cellStyle name="Note 13 3 5 4" xfId="24567"/>
    <cellStyle name="Note 13 3 5 5" xfId="24568"/>
    <cellStyle name="Note 13 3 5 6" xfId="24569"/>
    <cellStyle name="Note 13 3 5 7" xfId="24570"/>
    <cellStyle name="Note 13 3 5 8" xfId="24571"/>
    <cellStyle name="Note 13 3 5 9" xfId="24572"/>
    <cellStyle name="Note 13 3 6" xfId="24573"/>
    <cellStyle name="Note 13 3 6 10" xfId="24574"/>
    <cellStyle name="Note 13 3 6 11" xfId="24575"/>
    <cellStyle name="Note 13 3 6 12" xfId="24576"/>
    <cellStyle name="Note 13 3 6 13" xfId="24577"/>
    <cellStyle name="Note 13 3 6 14" xfId="24578"/>
    <cellStyle name="Note 13 3 6 15" xfId="24579"/>
    <cellStyle name="Note 13 3 6 16" xfId="24580"/>
    <cellStyle name="Note 13 3 6 2" xfId="24581"/>
    <cellStyle name="Note 13 3 6 2 2" xfId="24582"/>
    <cellStyle name="Note 13 3 6 2 3" xfId="24583"/>
    <cellStyle name="Note 13 3 6 2 4" xfId="24584"/>
    <cellStyle name="Note 13 3 6 3" xfId="24585"/>
    <cellStyle name="Note 13 3 6 4" xfId="24586"/>
    <cellStyle name="Note 13 3 6 5" xfId="24587"/>
    <cellStyle name="Note 13 3 6 6" xfId="24588"/>
    <cellStyle name="Note 13 3 6 7" xfId="24589"/>
    <cellStyle name="Note 13 3 6 8" xfId="24590"/>
    <cellStyle name="Note 13 3 6 9" xfId="24591"/>
    <cellStyle name="Note 13 3 7" xfId="24592"/>
    <cellStyle name="Note 13 3 7 10" xfId="24593"/>
    <cellStyle name="Note 13 3 7 11" xfId="24594"/>
    <cellStyle name="Note 13 3 7 12" xfId="24595"/>
    <cellStyle name="Note 13 3 7 13" xfId="24596"/>
    <cellStyle name="Note 13 3 7 14" xfId="24597"/>
    <cellStyle name="Note 13 3 7 15" xfId="24598"/>
    <cellStyle name="Note 13 3 7 16" xfId="24599"/>
    <cellStyle name="Note 13 3 7 2" xfId="24600"/>
    <cellStyle name="Note 13 3 7 2 2" xfId="24601"/>
    <cellStyle name="Note 13 3 7 2 3" xfId="24602"/>
    <cellStyle name="Note 13 3 7 2 4" xfId="24603"/>
    <cellStyle name="Note 13 3 7 3" xfId="24604"/>
    <cellStyle name="Note 13 3 7 4" xfId="24605"/>
    <cellStyle name="Note 13 3 7 5" xfId="24606"/>
    <cellStyle name="Note 13 3 7 6" xfId="24607"/>
    <cellStyle name="Note 13 3 7 7" xfId="24608"/>
    <cellStyle name="Note 13 3 7 8" xfId="24609"/>
    <cellStyle name="Note 13 3 7 9" xfId="24610"/>
    <cellStyle name="Note 13 3 8" xfId="24611"/>
    <cellStyle name="Note 13 3 8 10" xfId="24612"/>
    <cellStyle name="Note 13 3 8 11" xfId="24613"/>
    <cellStyle name="Note 13 3 8 12" xfId="24614"/>
    <cellStyle name="Note 13 3 8 13" xfId="24615"/>
    <cellStyle name="Note 13 3 8 14" xfId="24616"/>
    <cellStyle name="Note 13 3 8 15" xfId="24617"/>
    <cellStyle name="Note 13 3 8 16" xfId="24618"/>
    <cellStyle name="Note 13 3 8 2" xfId="24619"/>
    <cellStyle name="Note 13 3 8 2 2" xfId="24620"/>
    <cellStyle name="Note 13 3 8 2 3" xfId="24621"/>
    <cellStyle name="Note 13 3 8 2 4" xfId="24622"/>
    <cellStyle name="Note 13 3 8 3" xfId="24623"/>
    <cellStyle name="Note 13 3 8 4" xfId="24624"/>
    <cellStyle name="Note 13 3 8 5" xfId="24625"/>
    <cellStyle name="Note 13 3 8 6" xfId="24626"/>
    <cellStyle name="Note 13 3 8 7" xfId="24627"/>
    <cellStyle name="Note 13 3 8 8" xfId="24628"/>
    <cellStyle name="Note 13 3 8 9" xfId="24629"/>
    <cellStyle name="Note 13 3 9" xfId="24630"/>
    <cellStyle name="Note 13 3 9 2" xfId="24631"/>
    <cellStyle name="Note 13 3 9 3" xfId="24632"/>
    <cellStyle name="Note 13 3 9 4" xfId="24633"/>
    <cellStyle name="Note 13 4" xfId="24634"/>
    <cellStyle name="Note 13 4 10" xfId="24635"/>
    <cellStyle name="Note 13 4 11" xfId="24636"/>
    <cellStyle name="Note 13 4 12" xfId="24637"/>
    <cellStyle name="Note 13 4 13" xfId="24638"/>
    <cellStyle name="Note 13 4 14" xfId="24639"/>
    <cellStyle name="Note 13 4 15" xfId="24640"/>
    <cellStyle name="Note 13 4 16" xfId="24641"/>
    <cellStyle name="Note 13 4 17" xfId="24642"/>
    <cellStyle name="Note 13 4 18" xfId="24643"/>
    <cellStyle name="Note 13 4 19" xfId="24644"/>
    <cellStyle name="Note 13 4 2" xfId="24645"/>
    <cellStyle name="Note 13 4 2 10" xfId="24646"/>
    <cellStyle name="Note 13 4 2 11" xfId="24647"/>
    <cellStyle name="Note 13 4 2 12" xfId="24648"/>
    <cellStyle name="Note 13 4 2 13" xfId="24649"/>
    <cellStyle name="Note 13 4 2 14" xfId="24650"/>
    <cellStyle name="Note 13 4 2 15" xfId="24651"/>
    <cellStyle name="Note 13 4 2 16" xfId="24652"/>
    <cellStyle name="Note 13 4 2 2" xfId="24653"/>
    <cellStyle name="Note 13 4 2 2 2" xfId="24654"/>
    <cellStyle name="Note 13 4 2 2 3" xfId="24655"/>
    <cellStyle name="Note 13 4 2 2 4" xfId="24656"/>
    <cellStyle name="Note 13 4 2 3" xfId="24657"/>
    <cellStyle name="Note 13 4 2 4" xfId="24658"/>
    <cellStyle name="Note 13 4 2 5" xfId="24659"/>
    <cellStyle name="Note 13 4 2 6" xfId="24660"/>
    <cellStyle name="Note 13 4 2 7" xfId="24661"/>
    <cellStyle name="Note 13 4 2 8" xfId="24662"/>
    <cellStyle name="Note 13 4 2 9" xfId="24663"/>
    <cellStyle name="Note 13 4 20" xfId="24664"/>
    <cellStyle name="Note 13 4 21" xfId="24665"/>
    <cellStyle name="Note 13 4 22" xfId="24666"/>
    <cellStyle name="Note 13 4 23" xfId="24667"/>
    <cellStyle name="Note 13 4 3" xfId="24668"/>
    <cellStyle name="Note 13 4 3 10" xfId="24669"/>
    <cellStyle name="Note 13 4 3 11" xfId="24670"/>
    <cellStyle name="Note 13 4 3 12" xfId="24671"/>
    <cellStyle name="Note 13 4 3 13" xfId="24672"/>
    <cellStyle name="Note 13 4 3 14" xfId="24673"/>
    <cellStyle name="Note 13 4 3 15" xfId="24674"/>
    <cellStyle name="Note 13 4 3 16" xfId="24675"/>
    <cellStyle name="Note 13 4 3 2" xfId="24676"/>
    <cellStyle name="Note 13 4 3 2 2" xfId="24677"/>
    <cellStyle name="Note 13 4 3 2 3" xfId="24678"/>
    <cellStyle name="Note 13 4 3 2 4" xfId="24679"/>
    <cellStyle name="Note 13 4 3 3" xfId="24680"/>
    <cellStyle name="Note 13 4 3 4" xfId="24681"/>
    <cellStyle name="Note 13 4 3 5" xfId="24682"/>
    <cellStyle name="Note 13 4 3 6" xfId="24683"/>
    <cellStyle name="Note 13 4 3 7" xfId="24684"/>
    <cellStyle name="Note 13 4 3 8" xfId="24685"/>
    <cellStyle name="Note 13 4 3 9" xfId="24686"/>
    <cellStyle name="Note 13 4 4" xfId="24687"/>
    <cellStyle name="Note 13 4 4 10" xfId="24688"/>
    <cellStyle name="Note 13 4 4 11" xfId="24689"/>
    <cellStyle name="Note 13 4 4 12" xfId="24690"/>
    <cellStyle name="Note 13 4 4 13" xfId="24691"/>
    <cellStyle name="Note 13 4 4 14" xfId="24692"/>
    <cellStyle name="Note 13 4 4 15" xfId="24693"/>
    <cellStyle name="Note 13 4 4 16" xfId="24694"/>
    <cellStyle name="Note 13 4 4 2" xfId="24695"/>
    <cellStyle name="Note 13 4 4 2 2" xfId="24696"/>
    <cellStyle name="Note 13 4 4 2 3" xfId="24697"/>
    <cellStyle name="Note 13 4 4 2 4" xfId="24698"/>
    <cellStyle name="Note 13 4 4 3" xfId="24699"/>
    <cellStyle name="Note 13 4 4 4" xfId="24700"/>
    <cellStyle name="Note 13 4 4 5" xfId="24701"/>
    <cellStyle name="Note 13 4 4 6" xfId="24702"/>
    <cellStyle name="Note 13 4 4 7" xfId="24703"/>
    <cellStyle name="Note 13 4 4 8" xfId="24704"/>
    <cellStyle name="Note 13 4 4 9" xfId="24705"/>
    <cellStyle name="Note 13 4 5" xfId="24706"/>
    <cellStyle name="Note 13 4 5 10" xfId="24707"/>
    <cellStyle name="Note 13 4 5 11" xfId="24708"/>
    <cellStyle name="Note 13 4 5 12" xfId="24709"/>
    <cellStyle name="Note 13 4 5 13" xfId="24710"/>
    <cellStyle name="Note 13 4 5 14" xfId="24711"/>
    <cellStyle name="Note 13 4 5 15" xfId="24712"/>
    <cellStyle name="Note 13 4 5 16" xfId="24713"/>
    <cellStyle name="Note 13 4 5 2" xfId="24714"/>
    <cellStyle name="Note 13 4 5 2 2" xfId="24715"/>
    <cellStyle name="Note 13 4 5 2 3" xfId="24716"/>
    <cellStyle name="Note 13 4 5 2 4" xfId="24717"/>
    <cellStyle name="Note 13 4 5 3" xfId="24718"/>
    <cellStyle name="Note 13 4 5 4" xfId="24719"/>
    <cellStyle name="Note 13 4 5 5" xfId="24720"/>
    <cellStyle name="Note 13 4 5 6" xfId="24721"/>
    <cellStyle name="Note 13 4 5 7" xfId="24722"/>
    <cellStyle name="Note 13 4 5 8" xfId="24723"/>
    <cellStyle name="Note 13 4 5 9" xfId="24724"/>
    <cellStyle name="Note 13 4 6" xfId="24725"/>
    <cellStyle name="Note 13 4 6 10" xfId="24726"/>
    <cellStyle name="Note 13 4 6 11" xfId="24727"/>
    <cellStyle name="Note 13 4 6 12" xfId="24728"/>
    <cellStyle name="Note 13 4 6 13" xfId="24729"/>
    <cellStyle name="Note 13 4 6 14" xfId="24730"/>
    <cellStyle name="Note 13 4 6 15" xfId="24731"/>
    <cellStyle name="Note 13 4 6 16" xfId="24732"/>
    <cellStyle name="Note 13 4 6 2" xfId="24733"/>
    <cellStyle name="Note 13 4 6 2 2" xfId="24734"/>
    <cellStyle name="Note 13 4 6 2 3" xfId="24735"/>
    <cellStyle name="Note 13 4 6 2 4" xfId="24736"/>
    <cellStyle name="Note 13 4 6 3" xfId="24737"/>
    <cellStyle name="Note 13 4 6 4" xfId="24738"/>
    <cellStyle name="Note 13 4 6 5" xfId="24739"/>
    <cellStyle name="Note 13 4 6 6" xfId="24740"/>
    <cellStyle name="Note 13 4 6 7" xfId="24741"/>
    <cellStyle name="Note 13 4 6 8" xfId="24742"/>
    <cellStyle name="Note 13 4 6 9" xfId="24743"/>
    <cellStyle name="Note 13 4 7" xfId="24744"/>
    <cellStyle name="Note 13 4 7 10" xfId="24745"/>
    <cellStyle name="Note 13 4 7 11" xfId="24746"/>
    <cellStyle name="Note 13 4 7 12" xfId="24747"/>
    <cellStyle name="Note 13 4 7 13" xfId="24748"/>
    <cellStyle name="Note 13 4 7 14" xfId="24749"/>
    <cellStyle name="Note 13 4 7 15" xfId="24750"/>
    <cellStyle name="Note 13 4 7 16" xfId="24751"/>
    <cellStyle name="Note 13 4 7 2" xfId="24752"/>
    <cellStyle name="Note 13 4 7 2 2" xfId="24753"/>
    <cellStyle name="Note 13 4 7 2 3" xfId="24754"/>
    <cellStyle name="Note 13 4 7 2 4" xfId="24755"/>
    <cellStyle name="Note 13 4 7 3" xfId="24756"/>
    <cellStyle name="Note 13 4 7 4" xfId="24757"/>
    <cellStyle name="Note 13 4 7 5" xfId="24758"/>
    <cellStyle name="Note 13 4 7 6" xfId="24759"/>
    <cellStyle name="Note 13 4 7 7" xfId="24760"/>
    <cellStyle name="Note 13 4 7 8" xfId="24761"/>
    <cellStyle name="Note 13 4 7 9" xfId="24762"/>
    <cellStyle name="Note 13 4 8" xfId="24763"/>
    <cellStyle name="Note 13 4 8 10" xfId="24764"/>
    <cellStyle name="Note 13 4 8 11" xfId="24765"/>
    <cellStyle name="Note 13 4 8 12" xfId="24766"/>
    <cellStyle name="Note 13 4 8 13" xfId="24767"/>
    <cellStyle name="Note 13 4 8 14" xfId="24768"/>
    <cellStyle name="Note 13 4 8 15" xfId="24769"/>
    <cellStyle name="Note 13 4 8 16" xfId="24770"/>
    <cellStyle name="Note 13 4 8 2" xfId="24771"/>
    <cellStyle name="Note 13 4 8 2 2" xfId="24772"/>
    <cellStyle name="Note 13 4 8 2 3" xfId="24773"/>
    <cellStyle name="Note 13 4 8 2 4" xfId="24774"/>
    <cellStyle name="Note 13 4 8 3" xfId="24775"/>
    <cellStyle name="Note 13 4 8 4" xfId="24776"/>
    <cellStyle name="Note 13 4 8 5" xfId="24777"/>
    <cellStyle name="Note 13 4 8 6" xfId="24778"/>
    <cellStyle name="Note 13 4 8 7" xfId="24779"/>
    <cellStyle name="Note 13 4 8 8" xfId="24780"/>
    <cellStyle name="Note 13 4 8 9" xfId="24781"/>
    <cellStyle name="Note 13 4 9" xfId="24782"/>
    <cellStyle name="Note 13 4 9 2" xfId="24783"/>
    <cellStyle name="Note 13 4 9 3" xfId="24784"/>
    <cellStyle name="Note 13 4 9 4" xfId="24785"/>
    <cellStyle name="Note 14 2" xfId="24786"/>
    <cellStyle name="Note 14 2 10" xfId="24787"/>
    <cellStyle name="Note 14 2 11" xfId="24788"/>
    <cellStyle name="Note 14 2 12" xfId="24789"/>
    <cellStyle name="Note 14 2 13" xfId="24790"/>
    <cellStyle name="Note 14 2 14" xfId="24791"/>
    <cellStyle name="Note 14 2 15" xfId="24792"/>
    <cellStyle name="Note 14 2 16" xfId="24793"/>
    <cellStyle name="Note 14 2 17" xfId="24794"/>
    <cellStyle name="Note 14 2 18" xfId="24795"/>
    <cellStyle name="Note 14 2 19" xfId="24796"/>
    <cellStyle name="Note 14 2 2" xfId="24797"/>
    <cellStyle name="Note 14 2 2 10" xfId="24798"/>
    <cellStyle name="Note 14 2 2 11" xfId="24799"/>
    <cellStyle name="Note 14 2 2 12" xfId="24800"/>
    <cellStyle name="Note 14 2 2 13" xfId="24801"/>
    <cellStyle name="Note 14 2 2 14" xfId="24802"/>
    <cellStyle name="Note 14 2 2 15" xfId="24803"/>
    <cellStyle name="Note 14 2 2 16" xfId="24804"/>
    <cellStyle name="Note 14 2 2 2" xfId="24805"/>
    <cellStyle name="Note 14 2 2 2 2" xfId="24806"/>
    <cellStyle name="Note 14 2 2 2 3" xfId="24807"/>
    <cellStyle name="Note 14 2 2 2 4" xfId="24808"/>
    <cellStyle name="Note 14 2 2 3" xfId="24809"/>
    <cellStyle name="Note 14 2 2 4" xfId="24810"/>
    <cellStyle name="Note 14 2 2 5" xfId="24811"/>
    <cellStyle name="Note 14 2 2 6" xfId="24812"/>
    <cellStyle name="Note 14 2 2 7" xfId="24813"/>
    <cellStyle name="Note 14 2 2 8" xfId="24814"/>
    <cellStyle name="Note 14 2 2 9" xfId="24815"/>
    <cellStyle name="Note 14 2 20" xfId="24816"/>
    <cellStyle name="Note 14 2 21" xfId="24817"/>
    <cellStyle name="Note 14 2 22" xfId="24818"/>
    <cellStyle name="Note 14 2 23" xfId="24819"/>
    <cellStyle name="Note 14 2 3" xfId="24820"/>
    <cellStyle name="Note 14 2 3 10" xfId="24821"/>
    <cellStyle name="Note 14 2 3 11" xfId="24822"/>
    <cellStyle name="Note 14 2 3 12" xfId="24823"/>
    <cellStyle name="Note 14 2 3 13" xfId="24824"/>
    <cellStyle name="Note 14 2 3 14" xfId="24825"/>
    <cellStyle name="Note 14 2 3 15" xfId="24826"/>
    <cellStyle name="Note 14 2 3 16" xfId="24827"/>
    <cellStyle name="Note 14 2 3 2" xfId="24828"/>
    <cellStyle name="Note 14 2 3 2 2" xfId="24829"/>
    <cellStyle name="Note 14 2 3 2 3" xfId="24830"/>
    <cellStyle name="Note 14 2 3 2 4" xfId="24831"/>
    <cellStyle name="Note 14 2 3 3" xfId="24832"/>
    <cellStyle name="Note 14 2 3 4" xfId="24833"/>
    <cellStyle name="Note 14 2 3 5" xfId="24834"/>
    <cellStyle name="Note 14 2 3 6" xfId="24835"/>
    <cellStyle name="Note 14 2 3 7" xfId="24836"/>
    <cellStyle name="Note 14 2 3 8" xfId="24837"/>
    <cellStyle name="Note 14 2 3 9" xfId="24838"/>
    <cellStyle name="Note 14 2 4" xfId="24839"/>
    <cellStyle name="Note 14 2 4 10" xfId="24840"/>
    <cellStyle name="Note 14 2 4 11" xfId="24841"/>
    <cellStyle name="Note 14 2 4 12" xfId="24842"/>
    <cellStyle name="Note 14 2 4 13" xfId="24843"/>
    <cellStyle name="Note 14 2 4 14" xfId="24844"/>
    <cellStyle name="Note 14 2 4 15" xfId="24845"/>
    <cellStyle name="Note 14 2 4 16" xfId="24846"/>
    <cellStyle name="Note 14 2 4 2" xfId="24847"/>
    <cellStyle name="Note 14 2 4 2 2" xfId="24848"/>
    <cellStyle name="Note 14 2 4 2 3" xfId="24849"/>
    <cellStyle name="Note 14 2 4 2 4" xfId="24850"/>
    <cellStyle name="Note 14 2 4 3" xfId="24851"/>
    <cellStyle name="Note 14 2 4 4" xfId="24852"/>
    <cellStyle name="Note 14 2 4 5" xfId="24853"/>
    <cellStyle name="Note 14 2 4 6" xfId="24854"/>
    <cellStyle name="Note 14 2 4 7" xfId="24855"/>
    <cellStyle name="Note 14 2 4 8" xfId="24856"/>
    <cellStyle name="Note 14 2 4 9" xfId="24857"/>
    <cellStyle name="Note 14 2 5" xfId="24858"/>
    <cellStyle name="Note 14 2 5 10" xfId="24859"/>
    <cellStyle name="Note 14 2 5 11" xfId="24860"/>
    <cellStyle name="Note 14 2 5 12" xfId="24861"/>
    <cellStyle name="Note 14 2 5 13" xfId="24862"/>
    <cellStyle name="Note 14 2 5 14" xfId="24863"/>
    <cellStyle name="Note 14 2 5 15" xfId="24864"/>
    <cellStyle name="Note 14 2 5 16" xfId="24865"/>
    <cellStyle name="Note 14 2 5 2" xfId="24866"/>
    <cellStyle name="Note 14 2 5 2 2" xfId="24867"/>
    <cellStyle name="Note 14 2 5 2 3" xfId="24868"/>
    <cellStyle name="Note 14 2 5 2 4" xfId="24869"/>
    <cellStyle name="Note 14 2 5 3" xfId="24870"/>
    <cellStyle name="Note 14 2 5 4" xfId="24871"/>
    <cellStyle name="Note 14 2 5 5" xfId="24872"/>
    <cellStyle name="Note 14 2 5 6" xfId="24873"/>
    <cellStyle name="Note 14 2 5 7" xfId="24874"/>
    <cellStyle name="Note 14 2 5 8" xfId="24875"/>
    <cellStyle name="Note 14 2 5 9" xfId="24876"/>
    <cellStyle name="Note 14 2 6" xfId="24877"/>
    <cellStyle name="Note 14 2 6 10" xfId="24878"/>
    <cellStyle name="Note 14 2 6 11" xfId="24879"/>
    <cellStyle name="Note 14 2 6 12" xfId="24880"/>
    <cellStyle name="Note 14 2 6 13" xfId="24881"/>
    <cellStyle name="Note 14 2 6 14" xfId="24882"/>
    <cellStyle name="Note 14 2 6 15" xfId="24883"/>
    <cellStyle name="Note 14 2 6 16" xfId="24884"/>
    <cellStyle name="Note 14 2 6 2" xfId="24885"/>
    <cellStyle name="Note 14 2 6 2 2" xfId="24886"/>
    <cellStyle name="Note 14 2 6 2 3" xfId="24887"/>
    <cellStyle name="Note 14 2 6 2 4" xfId="24888"/>
    <cellStyle name="Note 14 2 6 3" xfId="24889"/>
    <cellStyle name="Note 14 2 6 4" xfId="24890"/>
    <cellStyle name="Note 14 2 6 5" xfId="24891"/>
    <cellStyle name="Note 14 2 6 6" xfId="24892"/>
    <cellStyle name="Note 14 2 6 7" xfId="24893"/>
    <cellStyle name="Note 14 2 6 8" xfId="24894"/>
    <cellStyle name="Note 14 2 6 9" xfId="24895"/>
    <cellStyle name="Note 14 2 7" xfId="24896"/>
    <cellStyle name="Note 14 2 7 10" xfId="24897"/>
    <cellStyle name="Note 14 2 7 11" xfId="24898"/>
    <cellStyle name="Note 14 2 7 12" xfId="24899"/>
    <cellStyle name="Note 14 2 7 13" xfId="24900"/>
    <cellStyle name="Note 14 2 7 14" xfId="24901"/>
    <cellStyle name="Note 14 2 7 15" xfId="24902"/>
    <cellStyle name="Note 14 2 7 16" xfId="24903"/>
    <cellStyle name="Note 14 2 7 2" xfId="24904"/>
    <cellStyle name="Note 14 2 7 2 2" xfId="24905"/>
    <cellStyle name="Note 14 2 7 2 3" xfId="24906"/>
    <cellStyle name="Note 14 2 7 2 4" xfId="24907"/>
    <cellStyle name="Note 14 2 7 3" xfId="24908"/>
    <cellStyle name="Note 14 2 7 4" xfId="24909"/>
    <cellStyle name="Note 14 2 7 5" xfId="24910"/>
    <cellStyle name="Note 14 2 7 6" xfId="24911"/>
    <cellStyle name="Note 14 2 7 7" xfId="24912"/>
    <cellStyle name="Note 14 2 7 8" xfId="24913"/>
    <cellStyle name="Note 14 2 7 9" xfId="24914"/>
    <cellStyle name="Note 14 2 8" xfId="24915"/>
    <cellStyle name="Note 14 2 8 10" xfId="24916"/>
    <cellStyle name="Note 14 2 8 11" xfId="24917"/>
    <cellStyle name="Note 14 2 8 12" xfId="24918"/>
    <cellStyle name="Note 14 2 8 13" xfId="24919"/>
    <cellStyle name="Note 14 2 8 14" xfId="24920"/>
    <cellStyle name="Note 14 2 8 15" xfId="24921"/>
    <cellStyle name="Note 14 2 8 16" xfId="24922"/>
    <cellStyle name="Note 14 2 8 2" xfId="24923"/>
    <cellStyle name="Note 14 2 8 2 2" xfId="24924"/>
    <cellStyle name="Note 14 2 8 2 3" xfId="24925"/>
    <cellStyle name="Note 14 2 8 2 4" xfId="24926"/>
    <cellStyle name="Note 14 2 8 3" xfId="24927"/>
    <cellStyle name="Note 14 2 8 4" xfId="24928"/>
    <cellStyle name="Note 14 2 8 5" xfId="24929"/>
    <cellStyle name="Note 14 2 8 6" xfId="24930"/>
    <cellStyle name="Note 14 2 8 7" xfId="24931"/>
    <cellStyle name="Note 14 2 8 8" xfId="24932"/>
    <cellStyle name="Note 14 2 8 9" xfId="24933"/>
    <cellStyle name="Note 14 2 9" xfId="24934"/>
    <cellStyle name="Note 14 2 9 2" xfId="24935"/>
    <cellStyle name="Note 14 2 9 3" xfId="24936"/>
    <cellStyle name="Note 14 2 9 4" xfId="24937"/>
    <cellStyle name="Note 14 3" xfId="24938"/>
    <cellStyle name="Note 14 3 10" xfId="24939"/>
    <cellStyle name="Note 14 3 11" xfId="24940"/>
    <cellStyle name="Note 14 3 12" xfId="24941"/>
    <cellStyle name="Note 14 3 13" xfId="24942"/>
    <cellStyle name="Note 14 3 14" xfId="24943"/>
    <cellStyle name="Note 14 3 15" xfId="24944"/>
    <cellStyle name="Note 14 3 16" xfId="24945"/>
    <cellStyle name="Note 14 3 17" xfId="24946"/>
    <cellStyle name="Note 14 3 18" xfId="24947"/>
    <cellStyle name="Note 14 3 19" xfId="24948"/>
    <cellStyle name="Note 14 3 2" xfId="24949"/>
    <cellStyle name="Note 14 3 2 10" xfId="24950"/>
    <cellStyle name="Note 14 3 2 11" xfId="24951"/>
    <cellStyle name="Note 14 3 2 12" xfId="24952"/>
    <cellStyle name="Note 14 3 2 13" xfId="24953"/>
    <cellStyle name="Note 14 3 2 14" xfId="24954"/>
    <cellStyle name="Note 14 3 2 15" xfId="24955"/>
    <cellStyle name="Note 14 3 2 16" xfId="24956"/>
    <cellStyle name="Note 14 3 2 2" xfId="24957"/>
    <cellStyle name="Note 14 3 2 2 2" xfId="24958"/>
    <cellStyle name="Note 14 3 2 2 3" xfId="24959"/>
    <cellStyle name="Note 14 3 2 2 4" xfId="24960"/>
    <cellStyle name="Note 14 3 2 3" xfId="24961"/>
    <cellStyle name="Note 14 3 2 4" xfId="24962"/>
    <cellStyle name="Note 14 3 2 5" xfId="24963"/>
    <cellStyle name="Note 14 3 2 6" xfId="24964"/>
    <cellStyle name="Note 14 3 2 7" xfId="24965"/>
    <cellStyle name="Note 14 3 2 8" xfId="24966"/>
    <cellStyle name="Note 14 3 2 9" xfId="24967"/>
    <cellStyle name="Note 14 3 20" xfId="24968"/>
    <cellStyle name="Note 14 3 21" xfId="24969"/>
    <cellStyle name="Note 14 3 22" xfId="24970"/>
    <cellStyle name="Note 14 3 23" xfId="24971"/>
    <cellStyle name="Note 14 3 3" xfId="24972"/>
    <cellStyle name="Note 14 3 3 10" xfId="24973"/>
    <cellStyle name="Note 14 3 3 11" xfId="24974"/>
    <cellStyle name="Note 14 3 3 12" xfId="24975"/>
    <cellStyle name="Note 14 3 3 13" xfId="24976"/>
    <cellStyle name="Note 14 3 3 14" xfId="24977"/>
    <cellStyle name="Note 14 3 3 15" xfId="24978"/>
    <cellStyle name="Note 14 3 3 16" xfId="24979"/>
    <cellStyle name="Note 14 3 3 2" xfId="24980"/>
    <cellStyle name="Note 14 3 3 2 2" xfId="24981"/>
    <cellStyle name="Note 14 3 3 2 3" xfId="24982"/>
    <cellStyle name="Note 14 3 3 2 4" xfId="24983"/>
    <cellStyle name="Note 14 3 3 3" xfId="24984"/>
    <cellStyle name="Note 14 3 3 4" xfId="24985"/>
    <cellStyle name="Note 14 3 3 5" xfId="24986"/>
    <cellStyle name="Note 14 3 3 6" xfId="24987"/>
    <cellStyle name="Note 14 3 3 7" xfId="24988"/>
    <cellStyle name="Note 14 3 3 8" xfId="24989"/>
    <cellStyle name="Note 14 3 3 9" xfId="24990"/>
    <cellStyle name="Note 14 3 4" xfId="24991"/>
    <cellStyle name="Note 14 3 4 10" xfId="24992"/>
    <cellStyle name="Note 14 3 4 11" xfId="24993"/>
    <cellStyle name="Note 14 3 4 12" xfId="24994"/>
    <cellStyle name="Note 14 3 4 13" xfId="24995"/>
    <cellStyle name="Note 14 3 4 14" xfId="24996"/>
    <cellStyle name="Note 14 3 4 15" xfId="24997"/>
    <cellStyle name="Note 14 3 4 16" xfId="24998"/>
    <cellStyle name="Note 14 3 4 2" xfId="24999"/>
    <cellStyle name="Note 14 3 4 2 2" xfId="25000"/>
    <cellStyle name="Note 14 3 4 2 3" xfId="25001"/>
    <cellStyle name="Note 14 3 4 2 4" xfId="25002"/>
    <cellStyle name="Note 14 3 4 3" xfId="25003"/>
    <cellStyle name="Note 14 3 4 4" xfId="25004"/>
    <cellStyle name="Note 14 3 4 5" xfId="25005"/>
    <cellStyle name="Note 14 3 4 6" xfId="25006"/>
    <cellStyle name="Note 14 3 4 7" xfId="25007"/>
    <cellStyle name="Note 14 3 4 8" xfId="25008"/>
    <cellStyle name="Note 14 3 4 9" xfId="25009"/>
    <cellStyle name="Note 14 3 5" xfId="25010"/>
    <cellStyle name="Note 14 3 5 10" xfId="25011"/>
    <cellStyle name="Note 14 3 5 11" xfId="25012"/>
    <cellStyle name="Note 14 3 5 12" xfId="25013"/>
    <cellStyle name="Note 14 3 5 13" xfId="25014"/>
    <cellStyle name="Note 14 3 5 14" xfId="25015"/>
    <cellStyle name="Note 14 3 5 15" xfId="25016"/>
    <cellStyle name="Note 14 3 5 16" xfId="25017"/>
    <cellStyle name="Note 14 3 5 2" xfId="25018"/>
    <cellStyle name="Note 14 3 5 2 2" xfId="25019"/>
    <cellStyle name="Note 14 3 5 2 3" xfId="25020"/>
    <cellStyle name="Note 14 3 5 2 4" xfId="25021"/>
    <cellStyle name="Note 14 3 5 3" xfId="25022"/>
    <cellStyle name="Note 14 3 5 4" xfId="25023"/>
    <cellStyle name="Note 14 3 5 5" xfId="25024"/>
    <cellStyle name="Note 14 3 5 6" xfId="25025"/>
    <cellStyle name="Note 14 3 5 7" xfId="25026"/>
    <cellStyle name="Note 14 3 5 8" xfId="25027"/>
    <cellStyle name="Note 14 3 5 9" xfId="25028"/>
    <cellStyle name="Note 14 3 6" xfId="25029"/>
    <cellStyle name="Note 14 3 6 10" xfId="25030"/>
    <cellStyle name="Note 14 3 6 11" xfId="25031"/>
    <cellStyle name="Note 14 3 6 12" xfId="25032"/>
    <cellStyle name="Note 14 3 6 13" xfId="25033"/>
    <cellStyle name="Note 14 3 6 14" xfId="25034"/>
    <cellStyle name="Note 14 3 6 15" xfId="25035"/>
    <cellStyle name="Note 14 3 6 16" xfId="25036"/>
    <cellStyle name="Note 14 3 6 2" xfId="25037"/>
    <cellStyle name="Note 14 3 6 2 2" xfId="25038"/>
    <cellStyle name="Note 14 3 6 2 3" xfId="25039"/>
    <cellStyle name="Note 14 3 6 2 4" xfId="25040"/>
    <cellStyle name="Note 14 3 6 3" xfId="25041"/>
    <cellStyle name="Note 14 3 6 4" xfId="25042"/>
    <cellStyle name="Note 14 3 6 5" xfId="25043"/>
    <cellStyle name="Note 14 3 6 6" xfId="25044"/>
    <cellStyle name="Note 14 3 6 7" xfId="25045"/>
    <cellStyle name="Note 14 3 6 8" xfId="25046"/>
    <cellStyle name="Note 14 3 6 9" xfId="25047"/>
    <cellStyle name="Note 14 3 7" xfId="25048"/>
    <cellStyle name="Note 14 3 7 10" xfId="25049"/>
    <cellStyle name="Note 14 3 7 11" xfId="25050"/>
    <cellStyle name="Note 14 3 7 12" xfId="25051"/>
    <cellStyle name="Note 14 3 7 13" xfId="25052"/>
    <cellStyle name="Note 14 3 7 14" xfId="25053"/>
    <cellStyle name="Note 14 3 7 15" xfId="25054"/>
    <cellStyle name="Note 14 3 7 16" xfId="25055"/>
    <cellStyle name="Note 14 3 7 2" xfId="25056"/>
    <cellStyle name="Note 14 3 7 2 2" xfId="25057"/>
    <cellStyle name="Note 14 3 7 2 3" xfId="25058"/>
    <cellStyle name="Note 14 3 7 2 4" xfId="25059"/>
    <cellStyle name="Note 14 3 7 3" xfId="25060"/>
    <cellStyle name="Note 14 3 7 4" xfId="25061"/>
    <cellStyle name="Note 14 3 7 5" xfId="25062"/>
    <cellStyle name="Note 14 3 7 6" xfId="25063"/>
    <cellStyle name="Note 14 3 7 7" xfId="25064"/>
    <cellStyle name="Note 14 3 7 8" xfId="25065"/>
    <cellStyle name="Note 14 3 7 9" xfId="25066"/>
    <cellStyle name="Note 14 3 8" xfId="25067"/>
    <cellStyle name="Note 14 3 8 10" xfId="25068"/>
    <cellStyle name="Note 14 3 8 11" xfId="25069"/>
    <cellStyle name="Note 14 3 8 12" xfId="25070"/>
    <cellStyle name="Note 14 3 8 13" xfId="25071"/>
    <cellStyle name="Note 14 3 8 14" xfId="25072"/>
    <cellStyle name="Note 14 3 8 15" xfId="25073"/>
    <cellStyle name="Note 14 3 8 16" xfId="25074"/>
    <cellStyle name="Note 14 3 8 2" xfId="25075"/>
    <cellStyle name="Note 14 3 8 2 2" xfId="25076"/>
    <cellStyle name="Note 14 3 8 2 3" xfId="25077"/>
    <cellStyle name="Note 14 3 8 2 4" xfId="25078"/>
    <cellStyle name="Note 14 3 8 3" xfId="25079"/>
    <cellStyle name="Note 14 3 8 4" xfId="25080"/>
    <cellStyle name="Note 14 3 8 5" xfId="25081"/>
    <cellStyle name="Note 14 3 8 6" xfId="25082"/>
    <cellStyle name="Note 14 3 8 7" xfId="25083"/>
    <cellStyle name="Note 14 3 8 8" xfId="25084"/>
    <cellStyle name="Note 14 3 8 9" xfId="25085"/>
    <cellStyle name="Note 14 3 9" xfId="25086"/>
    <cellStyle name="Note 14 3 9 2" xfId="25087"/>
    <cellStyle name="Note 14 3 9 3" xfId="25088"/>
    <cellStyle name="Note 14 3 9 4" xfId="25089"/>
    <cellStyle name="Note 14 4" xfId="25090"/>
    <cellStyle name="Note 14 4 10" xfId="25091"/>
    <cellStyle name="Note 14 4 11" xfId="25092"/>
    <cellStyle name="Note 14 4 12" xfId="25093"/>
    <cellStyle name="Note 14 4 13" xfId="25094"/>
    <cellStyle name="Note 14 4 14" xfId="25095"/>
    <cellStyle name="Note 14 4 15" xfId="25096"/>
    <cellStyle name="Note 14 4 16" xfId="25097"/>
    <cellStyle name="Note 14 4 17" xfId="25098"/>
    <cellStyle name="Note 14 4 18" xfId="25099"/>
    <cellStyle name="Note 14 4 19" xfId="25100"/>
    <cellStyle name="Note 14 4 2" xfId="25101"/>
    <cellStyle name="Note 14 4 2 10" xfId="25102"/>
    <cellStyle name="Note 14 4 2 11" xfId="25103"/>
    <cellStyle name="Note 14 4 2 12" xfId="25104"/>
    <cellStyle name="Note 14 4 2 13" xfId="25105"/>
    <cellStyle name="Note 14 4 2 14" xfId="25106"/>
    <cellStyle name="Note 14 4 2 15" xfId="25107"/>
    <cellStyle name="Note 14 4 2 16" xfId="25108"/>
    <cellStyle name="Note 14 4 2 2" xfId="25109"/>
    <cellStyle name="Note 14 4 2 2 2" xfId="25110"/>
    <cellStyle name="Note 14 4 2 2 3" xfId="25111"/>
    <cellStyle name="Note 14 4 2 2 4" xfId="25112"/>
    <cellStyle name="Note 14 4 2 3" xfId="25113"/>
    <cellStyle name="Note 14 4 2 4" xfId="25114"/>
    <cellStyle name="Note 14 4 2 5" xfId="25115"/>
    <cellStyle name="Note 14 4 2 6" xfId="25116"/>
    <cellStyle name="Note 14 4 2 7" xfId="25117"/>
    <cellStyle name="Note 14 4 2 8" xfId="25118"/>
    <cellStyle name="Note 14 4 2 9" xfId="25119"/>
    <cellStyle name="Note 14 4 20" xfId="25120"/>
    <cellStyle name="Note 14 4 21" xfId="25121"/>
    <cellStyle name="Note 14 4 22" xfId="25122"/>
    <cellStyle name="Note 14 4 23" xfId="25123"/>
    <cellStyle name="Note 14 4 3" xfId="25124"/>
    <cellStyle name="Note 14 4 3 10" xfId="25125"/>
    <cellStyle name="Note 14 4 3 11" xfId="25126"/>
    <cellStyle name="Note 14 4 3 12" xfId="25127"/>
    <cellStyle name="Note 14 4 3 13" xfId="25128"/>
    <cellStyle name="Note 14 4 3 14" xfId="25129"/>
    <cellStyle name="Note 14 4 3 15" xfId="25130"/>
    <cellStyle name="Note 14 4 3 16" xfId="25131"/>
    <cellStyle name="Note 14 4 3 2" xfId="25132"/>
    <cellStyle name="Note 14 4 3 2 2" xfId="25133"/>
    <cellStyle name="Note 14 4 3 2 3" xfId="25134"/>
    <cellStyle name="Note 14 4 3 2 4" xfId="25135"/>
    <cellStyle name="Note 14 4 3 3" xfId="25136"/>
    <cellStyle name="Note 14 4 3 4" xfId="25137"/>
    <cellStyle name="Note 14 4 3 5" xfId="25138"/>
    <cellStyle name="Note 14 4 3 6" xfId="25139"/>
    <cellStyle name="Note 14 4 3 7" xfId="25140"/>
    <cellStyle name="Note 14 4 3 8" xfId="25141"/>
    <cellStyle name="Note 14 4 3 9" xfId="25142"/>
    <cellStyle name="Note 14 4 4" xfId="25143"/>
    <cellStyle name="Note 14 4 4 10" xfId="25144"/>
    <cellStyle name="Note 14 4 4 11" xfId="25145"/>
    <cellStyle name="Note 14 4 4 12" xfId="25146"/>
    <cellStyle name="Note 14 4 4 13" xfId="25147"/>
    <cellStyle name="Note 14 4 4 14" xfId="25148"/>
    <cellStyle name="Note 14 4 4 15" xfId="25149"/>
    <cellStyle name="Note 14 4 4 16" xfId="25150"/>
    <cellStyle name="Note 14 4 4 2" xfId="25151"/>
    <cellStyle name="Note 14 4 4 2 2" xfId="25152"/>
    <cellStyle name="Note 14 4 4 2 3" xfId="25153"/>
    <cellStyle name="Note 14 4 4 2 4" xfId="25154"/>
    <cellStyle name="Note 14 4 4 3" xfId="25155"/>
    <cellStyle name="Note 14 4 4 4" xfId="25156"/>
    <cellStyle name="Note 14 4 4 5" xfId="25157"/>
    <cellStyle name="Note 14 4 4 6" xfId="25158"/>
    <cellStyle name="Note 14 4 4 7" xfId="25159"/>
    <cellStyle name="Note 14 4 4 8" xfId="25160"/>
    <cellStyle name="Note 14 4 4 9" xfId="25161"/>
    <cellStyle name="Note 14 4 5" xfId="25162"/>
    <cellStyle name="Note 14 4 5 10" xfId="25163"/>
    <cellStyle name="Note 14 4 5 11" xfId="25164"/>
    <cellStyle name="Note 14 4 5 12" xfId="25165"/>
    <cellStyle name="Note 14 4 5 13" xfId="25166"/>
    <cellStyle name="Note 14 4 5 14" xfId="25167"/>
    <cellStyle name="Note 14 4 5 15" xfId="25168"/>
    <cellStyle name="Note 14 4 5 16" xfId="25169"/>
    <cellStyle name="Note 14 4 5 2" xfId="25170"/>
    <cellStyle name="Note 14 4 5 2 2" xfId="25171"/>
    <cellStyle name="Note 14 4 5 2 3" xfId="25172"/>
    <cellStyle name="Note 14 4 5 2 4" xfId="25173"/>
    <cellStyle name="Note 14 4 5 3" xfId="25174"/>
    <cellStyle name="Note 14 4 5 4" xfId="25175"/>
    <cellStyle name="Note 14 4 5 5" xfId="25176"/>
    <cellStyle name="Note 14 4 5 6" xfId="25177"/>
    <cellStyle name="Note 14 4 5 7" xfId="25178"/>
    <cellStyle name="Note 14 4 5 8" xfId="25179"/>
    <cellStyle name="Note 14 4 5 9" xfId="25180"/>
    <cellStyle name="Note 14 4 6" xfId="25181"/>
    <cellStyle name="Note 14 4 6 10" xfId="25182"/>
    <cellStyle name="Note 14 4 6 11" xfId="25183"/>
    <cellStyle name="Note 14 4 6 12" xfId="25184"/>
    <cellStyle name="Note 14 4 6 13" xfId="25185"/>
    <cellStyle name="Note 14 4 6 14" xfId="25186"/>
    <cellStyle name="Note 14 4 6 15" xfId="25187"/>
    <cellStyle name="Note 14 4 6 16" xfId="25188"/>
    <cellStyle name="Note 14 4 6 2" xfId="25189"/>
    <cellStyle name="Note 14 4 6 2 2" xfId="25190"/>
    <cellStyle name="Note 14 4 6 2 3" xfId="25191"/>
    <cellStyle name="Note 14 4 6 2 4" xfId="25192"/>
    <cellStyle name="Note 14 4 6 3" xfId="25193"/>
    <cellStyle name="Note 14 4 6 4" xfId="25194"/>
    <cellStyle name="Note 14 4 6 5" xfId="25195"/>
    <cellStyle name="Note 14 4 6 6" xfId="25196"/>
    <cellStyle name="Note 14 4 6 7" xfId="25197"/>
    <cellStyle name="Note 14 4 6 8" xfId="25198"/>
    <cellStyle name="Note 14 4 6 9" xfId="25199"/>
    <cellStyle name="Note 14 4 7" xfId="25200"/>
    <cellStyle name="Note 14 4 7 10" xfId="25201"/>
    <cellStyle name="Note 14 4 7 11" xfId="25202"/>
    <cellStyle name="Note 14 4 7 12" xfId="25203"/>
    <cellStyle name="Note 14 4 7 13" xfId="25204"/>
    <cellStyle name="Note 14 4 7 14" xfId="25205"/>
    <cellStyle name="Note 14 4 7 15" xfId="25206"/>
    <cellStyle name="Note 14 4 7 16" xfId="25207"/>
    <cellStyle name="Note 14 4 7 2" xfId="25208"/>
    <cellStyle name="Note 14 4 7 2 2" xfId="25209"/>
    <cellStyle name="Note 14 4 7 2 3" xfId="25210"/>
    <cellStyle name="Note 14 4 7 2 4" xfId="25211"/>
    <cellStyle name="Note 14 4 7 3" xfId="25212"/>
    <cellStyle name="Note 14 4 7 4" xfId="25213"/>
    <cellStyle name="Note 14 4 7 5" xfId="25214"/>
    <cellStyle name="Note 14 4 7 6" xfId="25215"/>
    <cellStyle name="Note 14 4 7 7" xfId="25216"/>
    <cellStyle name="Note 14 4 7 8" xfId="25217"/>
    <cellStyle name="Note 14 4 7 9" xfId="25218"/>
    <cellStyle name="Note 14 4 8" xfId="25219"/>
    <cellStyle name="Note 14 4 8 10" xfId="25220"/>
    <cellStyle name="Note 14 4 8 11" xfId="25221"/>
    <cellStyle name="Note 14 4 8 12" xfId="25222"/>
    <cellStyle name="Note 14 4 8 13" xfId="25223"/>
    <cellStyle name="Note 14 4 8 14" xfId="25224"/>
    <cellStyle name="Note 14 4 8 15" xfId="25225"/>
    <cellStyle name="Note 14 4 8 16" xfId="25226"/>
    <cellStyle name="Note 14 4 8 2" xfId="25227"/>
    <cellStyle name="Note 14 4 8 2 2" xfId="25228"/>
    <cellStyle name="Note 14 4 8 2 3" xfId="25229"/>
    <cellStyle name="Note 14 4 8 2 4" xfId="25230"/>
    <cellStyle name="Note 14 4 8 3" xfId="25231"/>
    <cellStyle name="Note 14 4 8 4" xfId="25232"/>
    <cellStyle name="Note 14 4 8 5" xfId="25233"/>
    <cellStyle name="Note 14 4 8 6" xfId="25234"/>
    <cellStyle name="Note 14 4 8 7" xfId="25235"/>
    <cellStyle name="Note 14 4 8 8" xfId="25236"/>
    <cellStyle name="Note 14 4 8 9" xfId="25237"/>
    <cellStyle name="Note 14 4 9" xfId="25238"/>
    <cellStyle name="Note 14 4 9 2" xfId="25239"/>
    <cellStyle name="Note 14 4 9 3" xfId="25240"/>
    <cellStyle name="Note 14 4 9 4" xfId="25241"/>
    <cellStyle name="Note 15 2" xfId="25242"/>
    <cellStyle name="Note 15 2 10" xfId="25243"/>
    <cellStyle name="Note 15 2 11" xfId="25244"/>
    <cellStyle name="Note 15 2 12" xfId="25245"/>
    <cellStyle name="Note 15 2 13" xfId="25246"/>
    <cellStyle name="Note 15 2 14" xfId="25247"/>
    <cellStyle name="Note 15 2 15" xfId="25248"/>
    <cellStyle name="Note 15 2 16" xfId="25249"/>
    <cellStyle name="Note 15 2 17" xfId="25250"/>
    <cellStyle name="Note 15 2 18" xfId="25251"/>
    <cellStyle name="Note 15 2 19" xfId="25252"/>
    <cellStyle name="Note 15 2 2" xfId="25253"/>
    <cellStyle name="Note 15 2 2 10" xfId="25254"/>
    <cellStyle name="Note 15 2 2 11" xfId="25255"/>
    <cellStyle name="Note 15 2 2 12" xfId="25256"/>
    <cellStyle name="Note 15 2 2 13" xfId="25257"/>
    <cellStyle name="Note 15 2 2 14" xfId="25258"/>
    <cellStyle name="Note 15 2 2 15" xfId="25259"/>
    <cellStyle name="Note 15 2 2 16" xfId="25260"/>
    <cellStyle name="Note 15 2 2 2" xfId="25261"/>
    <cellStyle name="Note 15 2 2 2 2" xfId="25262"/>
    <cellStyle name="Note 15 2 2 2 3" xfId="25263"/>
    <cellStyle name="Note 15 2 2 2 4" xfId="25264"/>
    <cellStyle name="Note 15 2 2 3" xfId="25265"/>
    <cellStyle name="Note 15 2 2 4" xfId="25266"/>
    <cellStyle name="Note 15 2 2 5" xfId="25267"/>
    <cellStyle name="Note 15 2 2 6" xfId="25268"/>
    <cellStyle name="Note 15 2 2 7" xfId="25269"/>
    <cellStyle name="Note 15 2 2 8" xfId="25270"/>
    <cellStyle name="Note 15 2 2 9" xfId="25271"/>
    <cellStyle name="Note 15 2 20" xfId="25272"/>
    <cellStyle name="Note 15 2 21" xfId="25273"/>
    <cellStyle name="Note 15 2 22" xfId="25274"/>
    <cellStyle name="Note 15 2 23" xfId="25275"/>
    <cellStyle name="Note 15 2 3" xfId="25276"/>
    <cellStyle name="Note 15 2 3 10" xfId="25277"/>
    <cellStyle name="Note 15 2 3 11" xfId="25278"/>
    <cellStyle name="Note 15 2 3 12" xfId="25279"/>
    <cellStyle name="Note 15 2 3 13" xfId="25280"/>
    <cellStyle name="Note 15 2 3 14" xfId="25281"/>
    <cellStyle name="Note 15 2 3 15" xfId="25282"/>
    <cellStyle name="Note 15 2 3 16" xfId="25283"/>
    <cellStyle name="Note 15 2 3 2" xfId="25284"/>
    <cellStyle name="Note 15 2 3 2 2" xfId="25285"/>
    <cellStyle name="Note 15 2 3 2 3" xfId="25286"/>
    <cellStyle name="Note 15 2 3 2 4" xfId="25287"/>
    <cellStyle name="Note 15 2 3 3" xfId="25288"/>
    <cellStyle name="Note 15 2 3 4" xfId="25289"/>
    <cellStyle name="Note 15 2 3 5" xfId="25290"/>
    <cellStyle name="Note 15 2 3 6" xfId="25291"/>
    <cellStyle name="Note 15 2 3 7" xfId="25292"/>
    <cellStyle name="Note 15 2 3 8" xfId="25293"/>
    <cellStyle name="Note 15 2 3 9" xfId="25294"/>
    <cellStyle name="Note 15 2 4" xfId="25295"/>
    <cellStyle name="Note 15 2 4 10" xfId="25296"/>
    <cellStyle name="Note 15 2 4 11" xfId="25297"/>
    <cellStyle name="Note 15 2 4 12" xfId="25298"/>
    <cellStyle name="Note 15 2 4 13" xfId="25299"/>
    <cellStyle name="Note 15 2 4 14" xfId="25300"/>
    <cellStyle name="Note 15 2 4 15" xfId="25301"/>
    <cellStyle name="Note 15 2 4 16" xfId="25302"/>
    <cellStyle name="Note 15 2 4 2" xfId="25303"/>
    <cellStyle name="Note 15 2 4 2 2" xfId="25304"/>
    <cellStyle name="Note 15 2 4 2 3" xfId="25305"/>
    <cellStyle name="Note 15 2 4 2 4" xfId="25306"/>
    <cellStyle name="Note 15 2 4 3" xfId="25307"/>
    <cellStyle name="Note 15 2 4 4" xfId="25308"/>
    <cellStyle name="Note 15 2 4 5" xfId="25309"/>
    <cellStyle name="Note 15 2 4 6" xfId="25310"/>
    <cellStyle name="Note 15 2 4 7" xfId="25311"/>
    <cellStyle name="Note 15 2 4 8" xfId="25312"/>
    <cellStyle name="Note 15 2 4 9" xfId="25313"/>
    <cellStyle name="Note 15 2 5" xfId="25314"/>
    <cellStyle name="Note 15 2 5 10" xfId="25315"/>
    <cellStyle name="Note 15 2 5 11" xfId="25316"/>
    <cellStyle name="Note 15 2 5 12" xfId="25317"/>
    <cellStyle name="Note 15 2 5 13" xfId="25318"/>
    <cellStyle name="Note 15 2 5 14" xfId="25319"/>
    <cellStyle name="Note 15 2 5 15" xfId="25320"/>
    <cellStyle name="Note 15 2 5 16" xfId="25321"/>
    <cellStyle name="Note 15 2 5 2" xfId="25322"/>
    <cellStyle name="Note 15 2 5 2 2" xfId="25323"/>
    <cellStyle name="Note 15 2 5 2 3" xfId="25324"/>
    <cellStyle name="Note 15 2 5 2 4" xfId="25325"/>
    <cellStyle name="Note 15 2 5 3" xfId="25326"/>
    <cellStyle name="Note 15 2 5 4" xfId="25327"/>
    <cellStyle name="Note 15 2 5 5" xfId="25328"/>
    <cellStyle name="Note 15 2 5 6" xfId="25329"/>
    <cellStyle name="Note 15 2 5 7" xfId="25330"/>
    <cellStyle name="Note 15 2 5 8" xfId="25331"/>
    <cellStyle name="Note 15 2 5 9" xfId="25332"/>
    <cellStyle name="Note 15 2 6" xfId="25333"/>
    <cellStyle name="Note 15 2 6 10" xfId="25334"/>
    <cellStyle name="Note 15 2 6 11" xfId="25335"/>
    <cellStyle name="Note 15 2 6 12" xfId="25336"/>
    <cellStyle name="Note 15 2 6 13" xfId="25337"/>
    <cellStyle name="Note 15 2 6 14" xfId="25338"/>
    <cellStyle name="Note 15 2 6 15" xfId="25339"/>
    <cellStyle name="Note 15 2 6 16" xfId="25340"/>
    <cellStyle name="Note 15 2 6 2" xfId="25341"/>
    <cellStyle name="Note 15 2 6 2 2" xfId="25342"/>
    <cellStyle name="Note 15 2 6 2 3" xfId="25343"/>
    <cellStyle name="Note 15 2 6 2 4" xfId="25344"/>
    <cellStyle name="Note 15 2 6 3" xfId="25345"/>
    <cellStyle name="Note 15 2 6 4" xfId="25346"/>
    <cellStyle name="Note 15 2 6 5" xfId="25347"/>
    <cellStyle name="Note 15 2 6 6" xfId="25348"/>
    <cellStyle name="Note 15 2 6 7" xfId="25349"/>
    <cellStyle name="Note 15 2 6 8" xfId="25350"/>
    <cellStyle name="Note 15 2 6 9" xfId="25351"/>
    <cellStyle name="Note 15 2 7" xfId="25352"/>
    <cellStyle name="Note 15 2 7 10" xfId="25353"/>
    <cellStyle name="Note 15 2 7 11" xfId="25354"/>
    <cellStyle name="Note 15 2 7 12" xfId="25355"/>
    <cellStyle name="Note 15 2 7 13" xfId="25356"/>
    <cellStyle name="Note 15 2 7 14" xfId="25357"/>
    <cellStyle name="Note 15 2 7 15" xfId="25358"/>
    <cellStyle name="Note 15 2 7 16" xfId="25359"/>
    <cellStyle name="Note 15 2 7 2" xfId="25360"/>
    <cellStyle name="Note 15 2 7 2 2" xfId="25361"/>
    <cellStyle name="Note 15 2 7 2 3" xfId="25362"/>
    <cellStyle name="Note 15 2 7 2 4" xfId="25363"/>
    <cellStyle name="Note 15 2 7 3" xfId="25364"/>
    <cellStyle name="Note 15 2 7 4" xfId="25365"/>
    <cellStyle name="Note 15 2 7 5" xfId="25366"/>
    <cellStyle name="Note 15 2 7 6" xfId="25367"/>
    <cellStyle name="Note 15 2 7 7" xfId="25368"/>
    <cellStyle name="Note 15 2 7 8" xfId="25369"/>
    <cellStyle name="Note 15 2 7 9" xfId="25370"/>
    <cellStyle name="Note 15 2 8" xfId="25371"/>
    <cellStyle name="Note 15 2 8 10" xfId="25372"/>
    <cellStyle name="Note 15 2 8 11" xfId="25373"/>
    <cellStyle name="Note 15 2 8 12" xfId="25374"/>
    <cellStyle name="Note 15 2 8 13" xfId="25375"/>
    <cellStyle name="Note 15 2 8 14" xfId="25376"/>
    <cellStyle name="Note 15 2 8 15" xfId="25377"/>
    <cellStyle name="Note 15 2 8 16" xfId="25378"/>
    <cellStyle name="Note 15 2 8 2" xfId="25379"/>
    <cellStyle name="Note 15 2 8 2 2" xfId="25380"/>
    <cellStyle name="Note 15 2 8 2 3" xfId="25381"/>
    <cellStyle name="Note 15 2 8 2 4" xfId="25382"/>
    <cellStyle name="Note 15 2 8 3" xfId="25383"/>
    <cellStyle name="Note 15 2 8 4" xfId="25384"/>
    <cellStyle name="Note 15 2 8 5" xfId="25385"/>
    <cellStyle name="Note 15 2 8 6" xfId="25386"/>
    <cellStyle name="Note 15 2 8 7" xfId="25387"/>
    <cellStyle name="Note 15 2 8 8" xfId="25388"/>
    <cellStyle name="Note 15 2 8 9" xfId="25389"/>
    <cellStyle name="Note 15 2 9" xfId="25390"/>
    <cellStyle name="Note 15 2 9 2" xfId="25391"/>
    <cellStyle name="Note 15 2 9 3" xfId="25392"/>
    <cellStyle name="Note 15 2 9 4" xfId="25393"/>
    <cellStyle name="Note 15 3" xfId="25394"/>
    <cellStyle name="Note 15 3 10" xfId="25395"/>
    <cellStyle name="Note 15 3 11" xfId="25396"/>
    <cellStyle name="Note 15 3 12" xfId="25397"/>
    <cellStyle name="Note 15 3 13" xfId="25398"/>
    <cellStyle name="Note 15 3 14" xfId="25399"/>
    <cellStyle name="Note 15 3 15" xfId="25400"/>
    <cellStyle name="Note 15 3 16" xfId="25401"/>
    <cellStyle name="Note 15 3 17" xfId="25402"/>
    <cellStyle name="Note 15 3 18" xfId="25403"/>
    <cellStyle name="Note 15 3 19" xfId="25404"/>
    <cellStyle name="Note 15 3 2" xfId="25405"/>
    <cellStyle name="Note 15 3 2 10" xfId="25406"/>
    <cellStyle name="Note 15 3 2 11" xfId="25407"/>
    <cellStyle name="Note 15 3 2 12" xfId="25408"/>
    <cellStyle name="Note 15 3 2 13" xfId="25409"/>
    <cellStyle name="Note 15 3 2 14" xfId="25410"/>
    <cellStyle name="Note 15 3 2 15" xfId="25411"/>
    <cellStyle name="Note 15 3 2 16" xfId="25412"/>
    <cellStyle name="Note 15 3 2 2" xfId="25413"/>
    <cellStyle name="Note 15 3 2 2 2" xfId="25414"/>
    <cellStyle name="Note 15 3 2 2 3" xfId="25415"/>
    <cellStyle name="Note 15 3 2 2 4" xfId="25416"/>
    <cellStyle name="Note 15 3 2 3" xfId="25417"/>
    <cellStyle name="Note 15 3 2 4" xfId="25418"/>
    <cellStyle name="Note 15 3 2 5" xfId="25419"/>
    <cellStyle name="Note 15 3 2 6" xfId="25420"/>
    <cellStyle name="Note 15 3 2 7" xfId="25421"/>
    <cellStyle name="Note 15 3 2 8" xfId="25422"/>
    <cellStyle name="Note 15 3 2 9" xfId="25423"/>
    <cellStyle name="Note 15 3 20" xfId="25424"/>
    <cellStyle name="Note 15 3 21" xfId="25425"/>
    <cellStyle name="Note 15 3 22" xfId="25426"/>
    <cellStyle name="Note 15 3 23" xfId="25427"/>
    <cellStyle name="Note 15 3 3" xfId="25428"/>
    <cellStyle name="Note 15 3 3 10" xfId="25429"/>
    <cellStyle name="Note 15 3 3 11" xfId="25430"/>
    <cellStyle name="Note 15 3 3 12" xfId="25431"/>
    <cellStyle name="Note 15 3 3 13" xfId="25432"/>
    <cellStyle name="Note 15 3 3 14" xfId="25433"/>
    <cellStyle name="Note 15 3 3 15" xfId="25434"/>
    <cellStyle name="Note 15 3 3 16" xfId="25435"/>
    <cellStyle name="Note 15 3 3 2" xfId="25436"/>
    <cellStyle name="Note 15 3 3 2 2" xfId="25437"/>
    <cellStyle name="Note 15 3 3 2 3" xfId="25438"/>
    <cellStyle name="Note 15 3 3 2 4" xfId="25439"/>
    <cellStyle name="Note 15 3 3 3" xfId="25440"/>
    <cellStyle name="Note 15 3 3 4" xfId="25441"/>
    <cellStyle name="Note 15 3 3 5" xfId="25442"/>
    <cellStyle name="Note 15 3 3 6" xfId="25443"/>
    <cellStyle name="Note 15 3 3 7" xfId="25444"/>
    <cellStyle name="Note 15 3 3 8" xfId="25445"/>
    <cellStyle name="Note 15 3 3 9" xfId="25446"/>
    <cellStyle name="Note 15 3 4" xfId="25447"/>
    <cellStyle name="Note 15 3 4 10" xfId="25448"/>
    <cellStyle name="Note 15 3 4 11" xfId="25449"/>
    <cellStyle name="Note 15 3 4 12" xfId="25450"/>
    <cellStyle name="Note 15 3 4 13" xfId="25451"/>
    <cellStyle name="Note 15 3 4 14" xfId="25452"/>
    <cellStyle name="Note 15 3 4 15" xfId="25453"/>
    <cellStyle name="Note 15 3 4 16" xfId="25454"/>
    <cellStyle name="Note 15 3 4 2" xfId="25455"/>
    <cellStyle name="Note 15 3 4 2 2" xfId="25456"/>
    <cellStyle name="Note 15 3 4 2 3" xfId="25457"/>
    <cellStyle name="Note 15 3 4 2 4" xfId="25458"/>
    <cellStyle name="Note 15 3 4 3" xfId="25459"/>
    <cellStyle name="Note 15 3 4 4" xfId="25460"/>
    <cellStyle name="Note 15 3 4 5" xfId="25461"/>
    <cellStyle name="Note 15 3 4 6" xfId="25462"/>
    <cellStyle name="Note 15 3 4 7" xfId="25463"/>
    <cellStyle name="Note 15 3 4 8" xfId="25464"/>
    <cellStyle name="Note 15 3 4 9" xfId="25465"/>
    <cellStyle name="Note 15 3 5" xfId="25466"/>
    <cellStyle name="Note 15 3 5 10" xfId="25467"/>
    <cellStyle name="Note 15 3 5 11" xfId="25468"/>
    <cellStyle name="Note 15 3 5 12" xfId="25469"/>
    <cellStyle name="Note 15 3 5 13" xfId="25470"/>
    <cellStyle name="Note 15 3 5 14" xfId="25471"/>
    <cellStyle name="Note 15 3 5 15" xfId="25472"/>
    <cellStyle name="Note 15 3 5 16" xfId="25473"/>
    <cellStyle name="Note 15 3 5 2" xfId="25474"/>
    <cellStyle name="Note 15 3 5 2 2" xfId="25475"/>
    <cellStyle name="Note 15 3 5 2 3" xfId="25476"/>
    <cellStyle name="Note 15 3 5 2 4" xfId="25477"/>
    <cellStyle name="Note 15 3 5 3" xfId="25478"/>
    <cellStyle name="Note 15 3 5 4" xfId="25479"/>
    <cellStyle name="Note 15 3 5 5" xfId="25480"/>
    <cellStyle name="Note 15 3 5 6" xfId="25481"/>
    <cellStyle name="Note 15 3 5 7" xfId="25482"/>
    <cellStyle name="Note 15 3 5 8" xfId="25483"/>
    <cellStyle name="Note 15 3 5 9" xfId="25484"/>
    <cellStyle name="Note 15 3 6" xfId="25485"/>
    <cellStyle name="Note 15 3 6 10" xfId="25486"/>
    <cellStyle name="Note 15 3 6 11" xfId="25487"/>
    <cellStyle name="Note 15 3 6 12" xfId="25488"/>
    <cellStyle name="Note 15 3 6 13" xfId="25489"/>
    <cellStyle name="Note 15 3 6 14" xfId="25490"/>
    <cellStyle name="Note 15 3 6 15" xfId="25491"/>
    <cellStyle name="Note 15 3 6 16" xfId="25492"/>
    <cellStyle name="Note 15 3 6 2" xfId="25493"/>
    <cellStyle name="Note 15 3 6 2 2" xfId="25494"/>
    <cellStyle name="Note 15 3 6 2 3" xfId="25495"/>
    <cellStyle name="Note 15 3 6 2 4" xfId="25496"/>
    <cellStyle name="Note 15 3 6 3" xfId="25497"/>
    <cellStyle name="Note 15 3 6 4" xfId="25498"/>
    <cellStyle name="Note 15 3 6 5" xfId="25499"/>
    <cellStyle name="Note 15 3 6 6" xfId="25500"/>
    <cellStyle name="Note 15 3 6 7" xfId="25501"/>
    <cellStyle name="Note 15 3 6 8" xfId="25502"/>
    <cellStyle name="Note 15 3 6 9" xfId="25503"/>
    <cellStyle name="Note 15 3 7" xfId="25504"/>
    <cellStyle name="Note 15 3 7 10" xfId="25505"/>
    <cellStyle name="Note 15 3 7 11" xfId="25506"/>
    <cellStyle name="Note 15 3 7 12" xfId="25507"/>
    <cellStyle name="Note 15 3 7 13" xfId="25508"/>
    <cellStyle name="Note 15 3 7 14" xfId="25509"/>
    <cellStyle name="Note 15 3 7 15" xfId="25510"/>
    <cellStyle name="Note 15 3 7 16" xfId="25511"/>
    <cellStyle name="Note 15 3 7 2" xfId="25512"/>
    <cellStyle name="Note 15 3 7 2 2" xfId="25513"/>
    <cellStyle name="Note 15 3 7 2 3" xfId="25514"/>
    <cellStyle name="Note 15 3 7 2 4" xfId="25515"/>
    <cellStyle name="Note 15 3 7 3" xfId="25516"/>
    <cellStyle name="Note 15 3 7 4" xfId="25517"/>
    <cellStyle name="Note 15 3 7 5" xfId="25518"/>
    <cellStyle name="Note 15 3 7 6" xfId="25519"/>
    <cellStyle name="Note 15 3 7 7" xfId="25520"/>
    <cellStyle name="Note 15 3 7 8" xfId="25521"/>
    <cellStyle name="Note 15 3 7 9" xfId="25522"/>
    <cellStyle name="Note 15 3 8" xfId="25523"/>
    <cellStyle name="Note 15 3 8 10" xfId="25524"/>
    <cellStyle name="Note 15 3 8 11" xfId="25525"/>
    <cellStyle name="Note 15 3 8 12" xfId="25526"/>
    <cellStyle name="Note 15 3 8 13" xfId="25527"/>
    <cellStyle name="Note 15 3 8 14" xfId="25528"/>
    <cellStyle name="Note 15 3 8 15" xfId="25529"/>
    <cellStyle name="Note 15 3 8 16" xfId="25530"/>
    <cellStyle name="Note 15 3 8 2" xfId="25531"/>
    <cellStyle name="Note 15 3 8 2 2" xfId="25532"/>
    <cellStyle name="Note 15 3 8 2 3" xfId="25533"/>
    <cellStyle name="Note 15 3 8 2 4" xfId="25534"/>
    <cellStyle name="Note 15 3 8 3" xfId="25535"/>
    <cellStyle name="Note 15 3 8 4" xfId="25536"/>
    <cellStyle name="Note 15 3 8 5" xfId="25537"/>
    <cellStyle name="Note 15 3 8 6" xfId="25538"/>
    <cellStyle name="Note 15 3 8 7" xfId="25539"/>
    <cellStyle name="Note 15 3 8 8" xfId="25540"/>
    <cellStyle name="Note 15 3 8 9" xfId="25541"/>
    <cellStyle name="Note 15 3 9" xfId="25542"/>
    <cellStyle name="Note 15 3 9 2" xfId="25543"/>
    <cellStyle name="Note 15 3 9 3" xfId="25544"/>
    <cellStyle name="Note 15 3 9 4" xfId="25545"/>
    <cellStyle name="Note 15 4" xfId="25546"/>
    <cellStyle name="Note 15 4 10" xfId="25547"/>
    <cellStyle name="Note 15 4 11" xfId="25548"/>
    <cellStyle name="Note 15 4 12" xfId="25549"/>
    <cellStyle name="Note 15 4 13" xfId="25550"/>
    <cellStyle name="Note 15 4 14" xfId="25551"/>
    <cellStyle name="Note 15 4 15" xfId="25552"/>
    <cellStyle name="Note 15 4 16" xfId="25553"/>
    <cellStyle name="Note 15 4 17" xfId="25554"/>
    <cellStyle name="Note 15 4 18" xfId="25555"/>
    <cellStyle name="Note 15 4 19" xfId="25556"/>
    <cellStyle name="Note 15 4 2" xfId="25557"/>
    <cellStyle name="Note 15 4 2 10" xfId="25558"/>
    <cellStyle name="Note 15 4 2 11" xfId="25559"/>
    <cellStyle name="Note 15 4 2 12" xfId="25560"/>
    <cellStyle name="Note 15 4 2 13" xfId="25561"/>
    <cellStyle name="Note 15 4 2 14" xfId="25562"/>
    <cellStyle name="Note 15 4 2 15" xfId="25563"/>
    <cellStyle name="Note 15 4 2 16" xfId="25564"/>
    <cellStyle name="Note 15 4 2 2" xfId="25565"/>
    <cellStyle name="Note 15 4 2 2 2" xfId="25566"/>
    <cellStyle name="Note 15 4 2 2 3" xfId="25567"/>
    <cellStyle name="Note 15 4 2 2 4" xfId="25568"/>
    <cellStyle name="Note 15 4 2 3" xfId="25569"/>
    <cellStyle name="Note 15 4 2 4" xfId="25570"/>
    <cellStyle name="Note 15 4 2 5" xfId="25571"/>
    <cellStyle name="Note 15 4 2 6" xfId="25572"/>
    <cellStyle name="Note 15 4 2 7" xfId="25573"/>
    <cellStyle name="Note 15 4 2 8" xfId="25574"/>
    <cellStyle name="Note 15 4 2 9" xfId="25575"/>
    <cellStyle name="Note 15 4 20" xfId="25576"/>
    <cellStyle name="Note 15 4 21" xfId="25577"/>
    <cellStyle name="Note 15 4 22" xfId="25578"/>
    <cellStyle name="Note 15 4 23" xfId="25579"/>
    <cellStyle name="Note 15 4 3" xfId="25580"/>
    <cellStyle name="Note 15 4 3 10" xfId="25581"/>
    <cellStyle name="Note 15 4 3 11" xfId="25582"/>
    <cellStyle name="Note 15 4 3 12" xfId="25583"/>
    <cellStyle name="Note 15 4 3 13" xfId="25584"/>
    <cellStyle name="Note 15 4 3 14" xfId="25585"/>
    <cellStyle name="Note 15 4 3 15" xfId="25586"/>
    <cellStyle name="Note 15 4 3 16" xfId="25587"/>
    <cellStyle name="Note 15 4 3 2" xfId="25588"/>
    <cellStyle name="Note 15 4 3 2 2" xfId="25589"/>
    <cellStyle name="Note 15 4 3 2 3" xfId="25590"/>
    <cellStyle name="Note 15 4 3 2 4" xfId="25591"/>
    <cellStyle name="Note 15 4 3 3" xfId="25592"/>
    <cellStyle name="Note 15 4 3 4" xfId="25593"/>
    <cellStyle name="Note 15 4 3 5" xfId="25594"/>
    <cellStyle name="Note 15 4 3 6" xfId="25595"/>
    <cellStyle name="Note 15 4 3 7" xfId="25596"/>
    <cellStyle name="Note 15 4 3 8" xfId="25597"/>
    <cellStyle name="Note 15 4 3 9" xfId="25598"/>
    <cellStyle name="Note 15 4 4" xfId="25599"/>
    <cellStyle name="Note 15 4 4 10" xfId="25600"/>
    <cellStyle name="Note 15 4 4 11" xfId="25601"/>
    <cellStyle name="Note 15 4 4 12" xfId="25602"/>
    <cellStyle name="Note 15 4 4 13" xfId="25603"/>
    <cellStyle name="Note 15 4 4 14" xfId="25604"/>
    <cellStyle name="Note 15 4 4 15" xfId="25605"/>
    <cellStyle name="Note 15 4 4 16" xfId="25606"/>
    <cellStyle name="Note 15 4 4 2" xfId="25607"/>
    <cellStyle name="Note 15 4 4 2 2" xfId="25608"/>
    <cellStyle name="Note 15 4 4 2 3" xfId="25609"/>
    <cellStyle name="Note 15 4 4 2 4" xfId="25610"/>
    <cellStyle name="Note 15 4 4 3" xfId="25611"/>
    <cellStyle name="Note 15 4 4 4" xfId="25612"/>
    <cellStyle name="Note 15 4 4 5" xfId="25613"/>
    <cellStyle name="Note 15 4 4 6" xfId="25614"/>
    <cellStyle name="Note 15 4 4 7" xfId="25615"/>
    <cellStyle name="Note 15 4 4 8" xfId="25616"/>
    <cellStyle name="Note 15 4 4 9" xfId="25617"/>
    <cellStyle name="Note 15 4 5" xfId="25618"/>
    <cellStyle name="Note 15 4 5 10" xfId="25619"/>
    <cellStyle name="Note 15 4 5 11" xfId="25620"/>
    <cellStyle name="Note 15 4 5 12" xfId="25621"/>
    <cellStyle name="Note 15 4 5 13" xfId="25622"/>
    <cellStyle name="Note 15 4 5 14" xfId="25623"/>
    <cellStyle name="Note 15 4 5 15" xfId="25624"/>
    <cellStyle name="Note 15 4 5 16" xfId="25625"/>
    <cellStyle name="Note 15 4 5 2" xfId="25626"/>
    <cellStyle name="Note 15 4 5 2 2" xfId="25627"/>
    <cellStyle name="Note 15 4 5 2 3" xfId="25628"/>
    <cellStyle name="Note 15 4 5 2 4" xfId="25629"/>
    <cellStyle name="Note 15 4 5 3" xfId="25630"/>
    <cellStyle name="Note 15 4 5 4" xfId="25631"/>
    <cellStyle name="Note 15 4 5 5" xfId="25632"/>
    <cellStyle name="Note 15 4 5 6" xfId="25633"/>
    <cellStyle name="Note 15 4 5 7" xfId="25634"/>
    <cellStyle name="Note 15 4 5 8" xfId="25635"/>
    <cellStyle name="Note 15 4 5 9" xfId="25636"/>
    <cellStyle name="Note 15 4 6" xfId="25637"/>
    <cellStyle name="Note 15 4 6 10" xfId="25638"/>
    <cellStyle name="Note 15 4 6 11" xfId="25639"/>
    <cellStyle name="Note 15 4 6 12" xfId="25640"/>
    <cellStyle name="Note 15 4 6 13" xfId="25641"/>
    <cellStyle name="Note 15 4 6 14" xfId="25642"/>
    <cellStyle name="Note 15 4 6 15" xfId="25643"/>
    <cellStyle name="Note 15 4 6 16" xfId="25644"/>
    <cellStyle name="Note 15 4 6 2" xfId="25645"/>
    <cellStyle name="Note 15 4 6 2 2" xfId="25646"/>
    <cellStyle name="Note 15 4 6 2 3" xfId="25647"/>
    <cellStyle name="Note 15 4 6 2 4" xfId="25648"/>
    <cellStyle name="Note 15 4 6 3" xfId="25649"/>
    <cellStyle name="Note 15 4 6 4" xfId="25650"/>
    <cellStyle name="Note 15 4 6 5" xfId="25651"/>
    <cellStyle name="Note 15 4 6 6" xfId="25652"/>
    <cellStyle name="Note 15 4 6 7" xfId="25653"/>
    <cellStyle name="Note 15 4 6 8" xfId="25654"/>
    <cellStyle name="Note 15 4 6 9" xfId="25655"/>
    <cellStyle name="Note 15 4 7" xfId="25656"/>
    <cellStyle name="Note 15 4 7 10" xfId="25657"/>
    <cellStyle name="Note 15 4 7 11" xfId="25658"/>
    <cellStyle name="Note 15 4 7 12" xfId="25659"/>
    <cellStyle name="Note 15 4 7 13" xfId="25660"/>
    <cellStyle name="Note 15 4 7 14" xfId="25661"/>
    <cellStyle name="Note 15 4 7 15" xfId="25662"/>
    <cellStyle name="Note 15 4 7 16" xfId="25663"/>
    <cellStyle name="Note 15 4 7 2" xfId="25664"/>
    <cellStyle name="Note 15 4 7 2 2" xfId="25665"/>
    <cellStyle name="Note 15 4 7 2 3" xfId="25666"/>
    <cellStyle name="Note 15 4 7 2 4" xfId="25667"/>
    <cellStyle name="Note 15 4 7 3" xfId="25668"/>
    <cellStyle name="Note 15 4 7 4" xfId="25669"/>
    <cellStyle name="Note 15 4 7 5" xfId="25670"/>
    <cellStyle name="Note 15 4 7 6" xfId="25671"/>
    <cellStyle name="Note 15 4 7 7" xfId="25672"/>
    <cellStyle name="Note 15 4 7 8" xfId="25673"/>
    <cellStyle name="Note 15 4 7 9" xfId="25674"/>
    <cellStyle name="Note 15 4 8" xfId="25675"/>
    <cellStyle name="Note 15 4 8 10" xfId="25676"/>
    <cellStyle name="Note 15 4 8 11" xfId="25677"/>
    <cellStyle name="Note 15 4 8 12" xfId="25678"/>
    <cellStyle name="Note 15 4 8 13" xfId="25679"/>
    <cellStyle name="Note 15 4 8 14" xfId="25680"/>
    <cellStyle name="Note 15 4 8 15" xfId="25681"/>
    <cellStyle name="Note 15 4 8 16" xfId="25682"/>
    <cellStyle name="Note 15 4 8 2" xfId="25683"/>
    <cellStyle name="Note 15 4 8 2 2" xfId="25684"/>
    <cellStyle name="Note 15 4 8 2 3" xfId="25685"/>
    <cellStyle name="Note 15 4 8 2 4" xfId="25686"/>
    <cellStyle name="Note 15 4 8 3" xfId="25687"/>
    <cellStyle name="Note 15 4 8 4" xfId="25688"/>
    <cellStyle name="Note 15 4 8 5" xfId="25689"/>
    <cellStyle name="Note 15 4 8 6" xfId="25690"/>
    <cellStyle name="Note 15 4 8 7" xfId="25691"/>
    <cellStyle name="Note 15 4 8 8" xfId="25692"/>
    <cellStyle name="Note 15 4 8 9" xfId="25693"/>
    <cellStyle name="Note 15 4 9" xfId="25694"/>
    <cellStyle name="Note 15 4 9 2" xfId="25695"/>
    <cellStyle name="Note 15 4 9 3" xfId="25696"/>
    <cellStyle name="Note 15 4 9 4" xfId="25697"/>
    <cellStyle name="Note 16 2" xfId="25698"/>
    <cellStyle name="Note 16 2 10" xfId="25699"/>
    <cellStyle name="Note 16 2 11" xfId="25700"/>
    <cellStyle name="Note 16 2 12" xfId="25701"/>
    <cellStyle name="Note 16 2 13" xfId="25702"/>
    <cellStyle name="Note 16 2 14" xfId="25703"/>
    <cellStyle name="Note 16 2 15" xfId="25704"/>
    <cellStyle name="Note 16 2 16" xfId="25705"/>
    <cellStyle name="Note 16 2 17" xfId="25706"/>
    <cellStyle name="Note 16 2 18" xfId="25707"/>
    <cellStyle name="Note 16 2 19" xfId="25708"/>
    <cellStyle name="Note 16 2 2" xfId="25709"/>
    <cellStyle name="Note 16 2 2 10" xfId="25710"/>
    <cellStyle name="Note 16 2 2 11" xfId="25711"/>
    <cellStyle name="Note 16 2 2 12" xfId="25712"/>
    <cellStyle name="Note 16 2 2 13" xfId="25713"/>
    <cellStyle name="Note 16 2 2 14" xfId="25714"/>
    <cellStyle name="Note 16 2 2 15" xfId="25715"/>
    <cellStyle name="Note 16 2 2 16" xfId="25716"/>
    <cellStyle name="Note 16 2 2 2" xfId="25717"/>
    <cellStyle name="Note 16 2 2 2 2" xfId="25718"/>
    <cellStyle name="Note 16 2 2 2 3" xfId="25719"/>
    <cellStyle name="Note 16 2 2 2 4" xfId="25720"/>
    <cellStyle name="Note 16 2 2 3" xfId="25721"/>
    <cellStyle name="Note 16 2 2 4" xfId="25722"/>
    <cellStyle name="Note 16 2 2 5" xfId="25723"/>
    <cellStyle name="Note 16 2 2 6" xfId="25724"/>
    <cellStyle name="Note 16 2 2 7" xfId="25725"/>
    <cellStyle name="Note 16 2 2 8" xfId="25726"/>
    <cellStyle name="Note 16 2 2 9" xfId="25727"/>
    <cellStyle name="Note 16 2 20" xfId="25728"/>
    <cellStyle name="Note 16 2 21" xfId="25729"/>
    <cellStyle name="Note 16 2 22" xfId="25730"/>
    <cellStyle name="Note 16 2 23" xfId="25731"/>
    <cellStyle name="Note 16 2 3" xfId="25732"/>
    <cellStyle name="Note 16 2 3 10" xfId="25733"/>
    <cellStyle name="Note 16 2 3 11" xfId="25734"/>
    <cellStyle name="Note 16 2 3 12" xfId="25735"/>
    <cellStyle name="Note 16 2 3 13" xfId="25736"/>
    <cellStyle name="Note 16 2 3 14" xfId="25737"/>
    <cellStyle name="Note 16 2 3 15" xfId="25738"/>
    <cellStyle name="Note 16 2 3 16" xfId="25739"/>
    <cellStyle name="Note 16 2 3 2" xfId="25740"/>
    <cellStyle name="Note 16 2 3 2 2" xfId="25741"/>
    <cellStyle name="Note 16 2 3 2 3" xfId="25742"/>
    <cellStyle name="Note 16 2 3 2 4" xfId="25743"/>
    <cellStyle name="Note 16 2 3 3" xfId="25744"/>
    <cellStyle name="Note 16 2 3 4" xfId="25745"/>
    <cellStyle name="Note 16 2 3 5" xfId="25746"/>
    <cellStyle name="Note 16 2 3 6" xfId="25747"/>
    <cellStyle name="Note 16 2 3 7" xfId="25748"/>
    <cellStyle name="Note 16 2 3 8" xfId="25749"/>
    <cellStyle name="Note 16 2 3 9" xfId="25750"/>
    <cellStyle name="Note 16 2 4" xfId="25751"/>
    <cellStyle name="Note 16 2 4 10" xfId="25752"/>
    <cellStyle name="Note 16 2 4 11" xfId="25753"/>
    <cellStyle name="Note 16 2 4 12" xfId="25754"/>
    <cellStyle name="Note 16 2 4 13" xfId="25755"/>
    <cellStyle name="Note 16 2 4 14" xfId="25756"/>
    <cellStyle name="Note 16 2 4 15" xfId="25757"/>
    <cellStyle name="Note 16 2 4 16" xfId="25758"/>
    <cellStyle name="Note 16 2 4 2" xfId="25759"/>
    <cellStyle name="Note 16 2 4 2 2" xfId="25760"/>
    <cellStyle name="Note 16 2 4 2 3" xfId="25761"/>
    <cellStyle name="Note 16 2 4 2 4" xfId="25762"/>
    <cellStyle name="Note 16 2 4 3" xfId="25763"/>
    <cellStyle name="Note 16 2 4 4" xfId="25764"/>
    <cellStyle name="Note 16 2 4 5" xfId="25765"/>
    <cellStyle name="Note 16 2 4 6" xfId="25766"/>
    <cellStyle name="Note 16 2 4 7" xfId="25767"/>
    <cellStyle name="Note 16 2 4 8" xfId="25768"/>
    <cellStyle name="Note 16 2 4 9" xfId="25769"/>
    <cellStyle name="Note 16 2 5" xfId="25770"/>
    <cellStyle name="Note 16 2 5 10" xfId="25771"/>
    <cellStyle name="Note 16 2 5 11" xfId="25772"/>
    <cellStyle name="Note 16 2 5 12" xfId="25773"/>
    <cellStyle name="Note 16 2 5 13" xfId="25774"/>
    <cellStyle name="Note 16 2 5 14" xfId="25775"/>
    <cellStyle name="Note 16 2 5 15" xfId="25776"/>
    <cellStyle name="Note 16 2 5 16" xfId="25777"/>
    <cellStyle name="Note 16 2 5 2" xfId="25778"/>
    <cellStyle name="Note 16 2 5 2 2" xfId="25779"/>
    <cellStyle name="Note 16 2 5 2 3" xfId="25780"/>
    <cellStyle name="Note 16 2 5 2 4" xfId="25781"/>
    <cellStyle name="Note 16 2 5 3" xfId="25782"/>
    <cellStyle name="Note 16 2 5 4" xfId="25783"/>
    <cellStyle name="Note 16 2 5 5" xfId="25784"/>
    <cellStyle name="Note 16 2 5 6" xfId="25785"/>
    <cellStyle name="Note 16 2 5 7" xfId="25786"/>
    <cellStyle name="Note 16 2 5 8" xfId="25787"/>
    <cellStyle name="Note 16 2 5 9" xfId="25788"/>
    <cellStyle name="Note 16 2 6" xfId="25789"/>
    <cellStyle name="Note 16 2 6 10" xfId="25790"/>
    <cellStyle name="Note 16 2 6 11" xfId="25791"/>
    <cellStyle name="Note 16 2 6 12" xfId="25792"/>
    <cellStyle name="Note 16 2 6 13" xfId="25793"/>
    <cellStyle name="Note 16 2 6 14" xfId="25794"/>
    <cellStyle name="Note 16 2 6 15" xfId="25795"/>
    <cellStyle name="Note 16 2 6 16" xfId="25796"/>
    <cellStyle name="Note 16 2 6 2" xfId="25797"/>
    <cellStyle name="Note 16 2 6 2 2" xfId="25798"/>
    <cellStyle name="Note 16 2 6 2 3" xfId="25799"/>
    <cellStyle name="Note 16 2 6 2 4" xfId="25800"/>
    <cellStyle name="Note 16 2 6 3" xfId="25801"/>
    <cellStyle name="Note 16 2 6 4" xfId="25802"/>
    <cellStyle name="Note 16 2 6 5" xfId="25803"/>
    <cellStyle name="Note 16 2 6 6" xfId="25804"/>
    <cellStyle name="Note 16 2 6 7" xfId="25805"/>
    <cellStyle name="Note 16 2 6 8" xfId="25806"/>
    <cellStyle name="Note 16 2 6 9" xfId="25807"/>
    <cellStyle name="Note 16 2 7" xfId="25808"/>
    <cellStyle name="Note 16 2 7 10" xfId="25809"/>
    <cellStyle name="Note 16 2 7 11" xfId="25810"/>
    <cellStyle name="Note 16 2 7 12" xfId="25811"/>
    <cellStyle name="Note 16 2 7 13" xfId="25812"/>
    <cellStyle name="Note 16 2 7 14" xfId="25813"/>
    <cellStyle name="Note 16 2 7 15" xfId="25814"/>
    <cellStyle name="Note 16 2 7 16" xfId="25815"/>
    <cellStyle name="Note 16 2 7 2" xfId="25816"/>
    <cellStyle name="Note 16 2 7 2 2" xfId="25817"/>
    <cellStyle name="Note 16 2 7 2 3" xfId="25818"/>
    <cellStyle name="Note 16 2 7 2 4" xfId="25819"/>
    <cellStyle name="Note 16 2 7 3" xfId="25820"/>
    <cellStyle name="Note 16 2 7 4" xfId="25821"/>
    <cellStyle name="Note 16 2 7 5" xfId="25822"/>
    <cellStyle name="Note 16 2 7 6" xfId="25823"/>
    <cellStyle name="Note 16 2 7 7" xfId="25824"/>
    <cellStyle name="Note 16 2 7 8" xfId="25825"/>
    <cellStyle name="Note 16 2 7 9" xfId="25826"/>
    <cellStyle name="Note 16 2 8" xfId="25827"/>
    <cellStyle name="Note 16 2 8 10" xfId="25828"/>
    <cellStyle name="Note 16 2 8 11" xfId="25829"/>
    <cellStyle name="Note 16 2 8 12" xfId="25830"/>
    <cellStyle name="Note 16 2 8 13" xfId="25831"/>
    <cellStyle name="Note 16 2 8 14" xfId="25832"/>
    <cellStyle name="Note 16 2 8 15" xfId="25833"/>
    <cellStyle name="Note 16 2 8 16" xfId="25834"/>
    <cellStyle name="Note 16 2 8 2" xfId="25835"/>
    <cellStyle name="Note 16 2 8 2 2" xfId="25836"/>
    <cellStyle name="Note 16 2 8 2 3" xfId="25837"/>
    <cellStyle name="Note 16 2 8 2 4" xfId="25838"/>
    <cellStyle name="Note 16 2 8 3" xfId="25839"/>
    <cellStyle name="Note 16 2 8 4" xfId="25840"/>
    <cellStyle name="Note 16 2 8 5" xfId="25841"/>
    <cellStyle name="Note 16 2 8 6" xfId="25842"/>
    <cellStyle name="Note 16 2 8 7" xfId="25843"/>
    <cellStyle name="Note 16 2 8 8" xfId="25844"/>
    <cellStyle name="Note 16 2 8 9" xfId="25845"/>
    <cellStyle name="Note 16 2 9" xfId="25846"/>
    <cellStyle name="Note 16 2 9 2" xfId="25847"/>
    <cellStyle name="Note 16 2 9 3" xfId="25848"/>
    <cellStyle name="Note 16 2 9 4" xfId="25849"/>
    <cellStyle name="Note 16 3" xfId="25850"/>
    <cellStyle name="Note 16 3 10" xfId="25851"/>
    <cellStyle name="Note 16 3 11" xfId="25852"/>
    <cellStyle name="Note 16 3 12" xfId="25853"/>
    <cellStyle name="Note 16 3 13" xfId="25854"/>
    <cellStyle name="Note 16 3 14" xfId="25855"/>
    <cellStyle name="Note 16 3 15" xfId="25856"/>
    <cellStyle name="Note 16 3 16" xfId="25857"/>
    <cellStyle name="Note 16 3 17" xfId="25858"/>
    <cellStyle name="Note 16 3 18" xfId="25859"/>
    <cellStyle name="Note 16 3 19" xfId="25860"/>
    <cellStyle name="Note 16 3 2" xfId="25861"/>
    <cellStyle name="Note 16 3 2 10" xfId="25862"/>
    <cellStyle name="Note 16 3 2 11" xfId="25863"/>
    <cellStyle name="Note 16 3 2 12" xfId="25864"/>
    <cellStyle name="Note 16 3 2 13" xfId="25865"/>
    <cellStyle name="Note 16 3 2 14" xfId="25866"/>
    <cellStyle name="Note 16 3 2 15" xfId="25867"/>
    <cellStyle name="Note 16 3 2 16" xfId="25868"/>
    <cellStyle name="Note 16 3 2 2" xfId="25869"/>
    <cellStyle name="Note 16 3 2 2 2" xfId="25870"/>
    <cellStyle name="Note 16 3 2 2 3" xfId="25871"/>
    <cellStyle name="Note 16 3 2 2 4" xfId="25872"/>
    <cellStyle name="Note 16 3 2 3" xfId="25873"/>
    <cellStyle name="Note 16 3 2 4" xfId="25874"/>
    <cellStyle name="Note 16 3 2 5" xfId="25875"/>
    <cellStyle name="Note 16 3 2 6" xfId="25876"/>
    <cellStyle name="Note 16 3 2 7" xfId="25877"/>
    <cellStyle name="Note 16 3 2 8" xfId="25878"/>
    <cellStyle name="Note 16 3 2 9" xfId="25879"/>
    <cellStyle name="Note 16 3 20" xfId="25880"/>
    <cellStyle name="Note 16 3 21" xfId="25881"/>
    <cellStyle name="Note 16 3 22" xfId="25882"/>
    <cellStyle name="Note 16 3 23" xfId="25883"/>
    <cellStyle name="Note 16 3 3" xfId="25884"/>
    <cellStyle name="Note 16 3 3 10" xfId="25885"/>
    <cellStyle name="Note 16 3 3 11" xfId="25886"/>
    <cellStyle name="Note 16 3 3 12" xfId="25887"/>
    <cellStyle name="Note 16 3 3 13" xfId="25888"/>
    <cellStyle name="Note 16 3 3 14" xfId="25889"/>
    <cellStyle name="Note 16 3 3 15" xfId="25890"/>
    <cellStyle name="Note 16 3 3 16" xfId="25891"/>
    <cellStyle name="Note 16 3 3 2" xfId="25892"/>
    <cellStyle name="Note 16 3 3 2 2" xfId="25893"/>
    <cellStyle name="Note 16 3 3 2 3" xfId="25894"/>
    <cellStyle name="Note 16 3 3 2 4" xfId="25895"/>
    <cellStyle name="Note 16 3 3 3" xfId="25896"/>
    <cellStyle name="Note 16 3 3 4" xfId="25897"/>
    <cellStyle name="Note 16 3 3 5" xfId="25898"/>
    <cellStyle name="Note 16 3 3 6" xfId="25899"/>
    <cellStyle name="Note 16 3 3 7" xfId="25900"/>
    <cellStyle name="Note 16 3 3 8" xfId="25901"/>
    <cellStyle name="Note 16 3 3 9" xfId="25902"/>
    <cellStyle name="Note 16 3 4" xfId="25903"/>
    <cellStyle name="Note 16 3 4 10" xfId="25904"/>
    <cellStyle name="Note 16 3 4 11" xfId="25905"/>
    <cellStyle name="Note 16 3 4 12" xfId="25906"/>
    <cellStyle name="Note 16 3 4 13" xfId="25907"/>
    <cellStyle name="Note 16 3 4 14" xfId="25908"/>
    <cellStyle name="Note 16 3 4 15" xfId="25909"/>
    <cellStyle name="Note 16 3 4 16" xfId="25910"/>
    <cellStyle name="Note 16 3 4 2" xfId="25911"/>
    <cellStyle name="Note 16 3 4 2 2" xfId="25912"/>
    <cellStyle name="Note 16 3 4 2 3" xfId="25913"/>
    <cellStyle name="Note 16 3 4 2 4" xfId="25914"/>
    <cellStyle name="Note 16 3 4 3" xfId="25915"/>
    <cellStyle name="Note 16 3 4 4" xfId="25916"/>
    <cellStyle name="Note 16 3 4 5" xfId="25917"/>
    <cellStyle name="Note 16 3 4 6" xfId="25918"/>
    <cellStyle name="Note 16 3 4 7" xfId="25919"/>
    <cellStyle name="Note 16 3 4 8" xfId="25920"/>
    <cellStyle name="Note 16 3 4 9" xfId="25921"/>
    <cellStyle name="Note 16 3 5" xfId="25922"/>
    <cellStyle name="Note 16 3 5 10" xfId="25923"/>
    <cellStyle name="Note 16 3 5 11" xfId="25924"/>
    <cellStyle name="Note 16 3 5 12" xfId="25925"/>
    <cellStyle name="Note 16 3 5 13" xfId="25926"/>
    <cellStyle name="Note 16 3 5 14" xfId="25927"/>
    <cellStyle name="Note 16 3 5 15" xfId="25928"/>
    <cellStyle name="Note 16 3 5 16" xfId="25929"/>
    <cellStyle name="Note 16 3 5 2" xfId="25930"/>
    <cellStyle name="Note 16 3 5 2 2" xfId="25931"/>
    <cellStyle name="Note 16 3 5 2 3" xfId="25932"/>
    <cellStyle name="Note 16 3 5 2 4" xfId="25933"/>
    <cellStyle name="Note 16 3 5 3" xfId="25934"/>
    <cellStyle name="Note 16 3 5 4" xfId="25935"/>
    <cellStyle name="Note 16 3 5 5" xfId="25936"/>
    <cellStyle name="Note 16 3 5 6" xfId="25937"/>
    <cellStyle name="Note 16 3 5 7" xfId="25938"/>
    <cellStyle name="Note 16 3 5 8" xfId="25939"/>
    <cellStyle name="Note 16 3 5 9" xfId="25940"/>
    <cellStyle name="Note 16 3 6" xfId="25941"/>
    <cellStyle name="Note 16 3 6 10" xfId="25942"/>
    <cellStyle name="Note 16 3 6 11" xfId="25943"/>
    <cellStyle name="Note 16 3 6 12" xfId="25944"/>
    <cellStyle name="Note 16 3 6 13" xfId="25945"/>
    <cellStyle name="Note 16 3 6 14" xfId="25946"/>
    <cellStyle name="Note 16 3 6 15" xfId="25947"/>
    <cellStyle name="Note 16 3 6 16" xfId="25948"/>
    <cellStyle name="Note 16 3 6 2" xfId="25949"/>
    <cellStyle name="Note 16 3 6 2 2" xfId="25950"/>
    <cellStyle name="Note 16 3 6 2 3" xfId="25951"/>
    <cellStyle name="Note 16 3 6 2 4" xfId="25952"/>
    <cellStyle name="Note 16 3 6 3" xfId="25953"/>
    <cellStyle name="Note 16 3 6 4" xfId="25954"/>
    <cellStyle name="Note 16 3 6 5" xfId="25955"/>
    <cellStyle name="Note 16 3 6 6" xfId="25956"/>
    <cellStyle name="Note 16 3 6 7" xfId="25957"/>
    <cellStyle name="Note 16 3 6 8" xfId="25958"/>
    <cellStyle name="Note 16 3 6 9" xfId="25959"/>
    <cellStyle name="Note 16 3 7" xfId="25960"/>
    <cellStyle name="Note 16 3 7 10" xfId="25961"/>
    <cellStyle name="Note 16 3 7 11" xfId="25962"/>
    <cellStyle name="Note 16 3 7 12" xfId="25963"/>
    <cellStyle name="Note 16 3 7 13" xfId="25964"/>
    <cellStyle name="Note 16 3 7 14" xfId="25965"/>
    <cellStyle name="Note 16 3 7 15" xfId="25966"/>
    <cellStyle name="Note 16 3 7 16" xfId="25967"/>
    <cellStyle name="Note 16 3 7 2" xfId="25968"/>
    <cellStyle name="Note 16 3 7 2 2" xfId="25969"/>
    <cellStyle name="Note 16 3 7 2 3" xfId="25970"/>
    <cellStyle name="Note 16 3 7 2 4" xfId="25971"/>
    <cellStyle name="Note 16 3 7 3" xfId="25972"/>
    <cellStyle name="Note 16 3 7 4" xfId="25973"/>
    <cellStyle name="Note 16 3 7 5" xfId="25974"/>
    <cellStyle name="Note 16 3 7 6" xfId="25975"/>
    <cellStyle name="Note 16 3 7 7" xfId="25976"/>
    <cellStyle name="Note 16 3 7 8" xfId="25977"/>
    <cellStyle name="Note 16 3 7 9" xfId="25978"/>
    <cellStyle name="Note 16 3 8" xfId="25979"/>
    <cellStyle name="Note 16 3 8 10" xfId="25980"/>
    <cellStyle name="Note 16 3 8 11" xfId="25981"/>
    <cellStyle name="Note 16 3 8 12" xfId="25982"/>
    <cellStyle name="Note 16 3 8 13" xfId="25983"/>
    <cellStyle name="Note 16 3 8 14" xfId="25984"/>
    <cellStyle name="Note 16 3 8 15" xfId="25985"/>
    <cellStyle name="Note 16 3 8 16" xfId="25986"/>
    <cellStyle name="Note 16 3 8 2" xfId="25987"/>
    <cellStyle name="Note 16 3 8 2 2" xfId="25988"/>
    <cellStyle name="Note 16 3 8 2 3" xfId="25989"/>
    <cellStyle name="Note 16 3 8 2 4" xfId="25990"/>
    <cellStyle name="Note 16 3 8 3" xfId="25991"/>
    <cellStyle name="Note 16 3 8 4" xfId="25992"/>
    <cellStyle name="Note 16 3 8 5" xfId="25993"/>
    <cellStyle name="Note 16 3 8 6" xfId="25994"/>
    <cellStyle name="Note 16 3 8 7" xfId="25995"/>
    <cellStyle name="Note 16 3 8 8" xfId="25996"/>
    <cellStyle name="Note 16 3 8 9" xfId="25997"/>
    <cellStyle name="Note 16 3 9" xfId="25998"/>
    <cellStyle name="Note 16 3 9 2" xfId="25999"/>
    <cellStyle name="Note 16 3 9 3" xfId="26000"/>
    <cellStyle name="Note 16 3 9 4" xfId="26001"/>
    <cellStyle name="Note 16 4" xfId="26002"/>
    <cellStyle name="Note 16 4 10" xfId="26003"/>
    <cellStyle name="Note 16 4 11" xfId="26004"/>
    <cellStyle name="Note 16 4 12" xfId="26005"/>
    <cellStyle name="Note 16 4 13" xfId="26006"/>
    <cellStyle name="Note 16 4 14" xfId="26007"/>
    <cellStyle name="Note 16 4 15" xfId="26008"/>
    <cellStyle name="Note 16 4 16" xfId="26009"/>
    <cellStyle name="Note 16 4 17" xfId="26010"/>
    <cellStyle name="Note 16 4 18" xfId="26011"/>
    <cellStyle name="Note 16 4 19" xfId="26012"/>
    <cellStyle name="Note 16 4 2" xfId="26013"/>
    <cellStyle name="Note 16 4 2 10" xfId="26014"/>
    <cellStyle name="Note 16 4 2 11" xfId="26015"/>
    <cellStyle name="Note 16 4 2 12" xfId="26016"/>
    <cellStyle name="Note 16 4 2 13" xfId="26017"/>
    <cellStyle name="Note 16 4 2 14" xfId="26018"/>
    <cellStyle name="Note 16 4 2 15" xfId="26019"/>
    <cellStyle name="Note 16 4 2 16" xfId="26020"/>
    <cellStyle name="Note 16 4 2 2" xfId="26021"/>
    <cellStyle name="Note 16 4 2 2 2" xfId="26022"/>
    <cellStyle name="Note 16 4 2 2 3" xfId="26023"/>
    <cellStyle name="Note 16 4 2 2 4" xfId="26024"/>
    <cellStyle name="Note 16 4 2 3" xfId="26025"/>
    <cellStyle name="Note 16 4 2 4" xfId="26026"/>
    <cellStyle name="Note 16 4 2 5" xfId="26027"/>
    <cellStyle name="Note 16 4 2 6" xfId="26028"/>
    <cellStyle name="Note 16 4 2 7" xfId="26029"/>
    <cellStyle name="Note 16 4 2 8" xfId="26030"/>
    <cellStyle name="Note 16 4 2 9" xfId="26031"/>
    <cellStyle name="Note 16 4 20" xfId="26032"/>
    <cellStyle name="Note 16 4 21" xfId="26033"/>
    <cellStyle name="Note 16 4 22" xfId="26034"/>
    <cellStyle name="Note 16 4 23" xfId="26035"/>
    <cellStyle name="Note 16 4 3" xfId="26036"/>
    <cellStyle name="Note 16 4 3 10" xfId="26037"/>
    <cellStyle name="Note 16 4 3 11" xfId="26038"/>
    <cellStyle name="Note 16 4 3 12" xfId="26039"/>
    <cellStyle name="Note 16 4 3 13" xfId="26040"/>
    <cellStyle name="Note 16 4 3 14" xfId="26041"/>
    <cellStyle name="Note 16 4 3 15" xfId="26042"/>
    <cellStyle name="Note 16 4 3 16" xfId="26043"/>
    <cellStyle name="Note 16 4 3 2" xfId="26044"/>
    <cellStyle name="Note 16 4 3 2 2" xfId="26045"/>
    <cellStyle name="Note 16 4 3 2 3" xfId="26046"/>
    <cellStyle name="Note 16 4 3 2 4" xfId="26047"/>
    <cellStyle name="Note 16 4 3 3" xfId="26048"/>
    <cellStyle name="Note 16 4 3 4" xfId="26049"/>
    <cellStyle name="Note 16 4 3 5" xfId="26050"/>
    <cellStyle name="Note 16 4 3 6" xfId="26051"/>
    <cellStyle name="Note 16 4 3 7" xfId="26052"/>
    <cellStyle name="Note 16 4 3 8" xfId="26053"/>
    <cellStyle name="Note 16 4 3 9" xfId="26054"/>
    <cellStyle name="Note 16 4 4" xfId="26055"/>
    <cellStyle name="Note 16 4 4 10" xfId="26056"/>
    <cellStyle name="Note 16 4 4 11" xfId="26057"/>
    <cellStyle name="Note 16 4 4 12" xfId="26058"/>
    <cellStyle name="Note 16 4 4 13" xfId="26059"/>
    <cellStyle name="Note 16 4 4 14" xfId="26060"/>
    <cellStyle name="Note 16 4 4 15" xfId="26061"/>
    <cellStyle name="Note 16 4 4 16" xfId="26062"/>
    <cellStyle name="Note 16 4 4 2" xfId="26063"/>
    <cellStyle name="Note 16 4 4 2 2" xfId="26064"/>
    <cellStyle name="Note 16 4 4 2 3" xfId="26065"/>
    <cellStyle name="Note 16 4 4 2 4" xfId="26066"/>
    <cellStyle name="Note 16 4 4 3" xfId="26067"/>
    <cellStyle name="Note 16 4 4 4" xfId="26068"/>
    <cellStyle name="Note 16 4 4 5" xfId="26069"/>
    <cellStyle name="Note 16 4 4 6" xfId="26070"/>
    <cellStyle name="Note 16 4 4 7" xfId="26071"/>
    <cellStyle name="Note 16 4 4 8" xfId="26072"/>
    <cellStyle name="Note 16 4 4 9" xfId="26073"/>
    <cellStyle name="Note 16 4 5" xfId="26074"/>
    <cellStyle name="Note 16 4 5 10" xfId="26075"/>
    <cellStyle name="Note 16 4 5 11" xfId="26076"/>
    <cellStyle name="Note 16 4 5 12" xfId="26077"/>
    <cellStyle name="Note 16 4 5 13" xfId="26078"/>
    <cellStyle name="Note 16 4 5 14" xfId="26079"/>
    <cellStyle name="Note 16 4 5 15" xfId="26080"/>
    <cellStyle name="Note 16 4 5 16" xfId="26081"/>
    <cellStyle name="Note 16 4 5 2" xfId="26082"/>
    <cellStyle name="Note 16 4 5 2 2" xfId="26083"/>
    <cellStyle name="Note 16 4 5 2 3" xfId="26084"/>
    <cellStyle name="Note 16 4 5 2 4" xfId="26085"/>
    <cellStyle name="Note 16 4 5 3" xfId="26086"/>
    <cellStyle name="Note 16 4 5 4" xfId="26087"/>
    <cellStyle name="Note 16 4 5 5" xfId="26088"/>
    <cellStyle name="Note 16 4 5 6" xfId="26089"/>
    <cellStyle name="Note 16 4 5 7" xfId="26090"/>
    <cellStyle name="Note 16 4 5 8" xfId="26091"/>
    <cellStyle name="Note 16 4 5 9" xfId="26092"/>
    <cellStyle name="Note 16 4 6" xfId="26093"/>
    <cellStyle name="Note 16 4 6 10" xfId="26094"/>
    <cellStyle name="Note 16 4 6 11" xfId="26095"/>
    <cellStyle name="Note 16 4 6 12" xfId="26096"/>
    <cellStyle name="Note 16 4 6 13" xfId="26097"/>
    <cellStyle name="Note 16 4 6 14" xfId="26098"/>
    <cellStyle name="Note 16 4 6 15" xfId="26099"/>
    <cellStyle name="Note 16 4 6 16" xfId="26100"/>
    <cellStyle name="Note 16 4 6 2" xfId="26101"/>
    <cellStyle name="Note 16 4 6 2 2" xfId="26102"/>
    <cellStyle name="Note 16 4 6 2 3" xfId="26103"/>
    <cellStyle name="Note 16 4 6 2 4" xfId="26104"/>
    <cellStyle name="Note 16 4 6 3" xfId="26105"/>
    <cellStyle name="Note 16 4 6 4" xfId="26106"/>
    <cellStyle name="Note 16 4 6 5" xfId="26107"/>
    <cellStyle name="Note 16 4 6 6" xfId="26108"/>
    <cellStyle name="Note 16 4 6 7" xfId="26109"/>
    <cellStyle name="Note 16 4 6 8" xfId="26110"/>
    <cellStyle name="Note 16 4 6 9" xfId="26111"/>
    <cellStyle name="Note 16 4 7" xfId="26112"/>
    <cellStyle name="Note 16 4 7 10" xfId="26113"/>
    <cellStyle name="Note 16 4 7 11" xfId="26114"/>
    <cellStyle name="Note 16 4 7 12" xfId="26115"/>
    <cellStyle name="Note 16 4 7 13" xfId="26116"/>
    <cellStyle name="Note 16 4 7 14" xfId="26117"/>
    <cellStyle name="Note 16 4 7 15" xfId="26118"/>
    <cellStyle name="Note 16 4 7 16" xfId="26119"/>
    <cellStyle name="Note 16 4 7 2" xfId="26120"/>
    <cellStyle name="Note 16 4 7 2 2" xfId="26121"/>
    <cellStyle name="Note 16 4 7 2 3" xfId="26122"/>
    <cellStyle name="Note 16 4 7 2 4" xfId="26123"/>
    <cellStyle name="Note 16 4 7 3" xfId="26124"/>
    <cellStyle name="Note 16 4 7 4" xfId="26125"/>
    <cellStyle name="Note 16 4 7 5" xfId="26126"/>
    <cellStyle name="Note 16 4 7 6" xfId="26127"/>
    <cellStyle name="Note 16 4 7 7" xfId="26128"/>
    <cellStyle name="Note 16 4 7 8" xfId="26129"/>
    <cellStyle name="Note 16 4 7 9" xfId="26130"/>
    <cellStyle name="Note 16 4 8" xfId="26131"/>
    <cellStyle name="Note 16 4 8 10" xfId="26132"/>
    <cellStyle name="Note 16 4 8 11" xfId="26133"/>
    <cellStyle name="Note 16 4 8 12" xfId="26134"/>
    <cellStyle name="Note 16 4 8 13" xfId="26135"/>
    <cellStyle name="Note 16 4 8 14" xfId="26136"/>
    <cellStyle name="Note 16 4 8 15" xfId="26137"/>
    <cellStyle name="Note 16 4 8 16" xfId="26138"/>
    <cellStyle name="Note 16 4 8 2" xfId="26139"/>
    <cellStyle name="Note 16 4 8 2 2" xfId="26140"/>
    <cellStyle name="Note 16 4 8 2 3" xfId="26141"/>
    <cellStyle name="Note 16 4 8 2 4" xfId="26142"/>
    <cellStyle name="Note 16 4 8 3" xfId="26143"/>
    <cellStyle name="Note 16 4 8 4" xfId="26144"/>
    <cellStyle name="Note 16 4 8 5" xfId="26145"/>
    <cellStyle name="Note 16 4 8 6" xfId="26146"/>
    <cellStyle name="Note 16 4 8 7" xfId="26147"/>
    <cellStyle name="Note 16 4 8 8" xfId="26148"/>
    <cellStyle name="Note 16 4 8 9" xfId="26149"/>
    <cellStyle name="Note 16 4 9" xfId="26150"/>
    <cellStyle name="Note 16 4 9 2" xfId="26151"/>
    <cellStyle name="Note 16 4 9 3" xfId="26152"/>
    <cellStyle name="Note 16 4 9 4" xfId="26153"/>
    <cellStyle name="Note 17 2" xfId="26154"/>
    <cellStyle name="Note 17 2 10" xfId="26155"/>
    <cellStyle name="Note 17 2 11" xfId="26156"/>
    <cellStyle name="Note 17 2 12" xfId="26157"/>
    <cellStyle name="Note 17 2 13" xfId="26158"/>
    <cellStyle name="Note 17 2 14" xfId="26159"/>
    <cellStyle name="Note 17 2 15" xfId="26160"/>
    <cellStyle name="Note 17 2 16" xfId="26161"/>
    <cellStyle name="Note 17 2 17" xfId="26162"/>
    <cellStyle name="Note 17 2 18" xfId="26163"/>
    <cellStyle name="Note 17 2 19" xfId="26164"/>
    <cellStyle name="Note 17 2 2" xfId="26165"/>
    <cellStyle name="Note 17 2 2 10" xfId="26166"/>
    <cellStyle name="Note 17 2 2 11" xfId="26167"/>
    <cellStyle name="Note 17 2 2 12" xfId="26168"/>
    <cellStyle name="Note 17 2 2 13" xfId="26169"/>
    <cellStyle name="Note 17 2 2 14" xfId="26170"/>
    <cellStyle name="Note 17 2 2 15" xfId="26171"/>
    <cellStyle name="Note 17 2 2 16" xfId="26172"/>
    <cellStyle name="Note 17 2 2 2" xfId="26173"/>
    <cellStyle name="Note 17 2 2 2 2" xfId="26174"/>
    <cellStyle name="Note 17 2 2 2 3" xfId="26175"/>
    <cellStyle name="Note 17 2 2 2 4" xfId="26176"/>
    <cellStyle name="Note 17 2 2 3" xfId="26177"/>
    <cellStyle name="Note 17 2 2 4" xfId="26178"/>
    <cellStyle name="Note 17 2 2 5" xfId="26179"/>
    <cellStyle name="Note 17 2 2 6" xfId="26180"/>
    <cellStyle name="Note 17 2 2 7" xfId="26181"/>
    <cellStyle name="Note 17 2 2 8" xfId="26182"/>
    <cellStyle name="Note 17 2 2 9" xfId="26183"/>
    <cellStyle name="Note 17 2 20" xfId="26184"/>
    <cellStyle name="Note 17 2 21" xfId="26185"/>
    <cellStyle name="Note 17 2 22" xfId="26186"/>
    <cellStyle name="Note 17 2 23" xfId="26187"/>
    <cellStyle name="Note 17 2 3" xfId="26188"/>
    <cellStyle name="Note 17 2 3 10" xfId="26189"/>
    <cellStyle name="Note 17 2 3 11" xfId="26190"/>
    <cellStyle name="Note 17 2 3 12" xfId="26191"/>
    <cellStyle name="Note 17 2 3 13" xfId="26192"/>
    <cellStyle name="Note 17 2 3 14" xfId="26193"/>
    <cellStyle name="Note 17 2 3 15" xfId="26194"/>
    <cellStyle name="Note 17 2 3 16" xfId="26195"/>
    <cellStyle name="Note 17 2 3 2" xfId="26196"/>
    <cellStyle name="Note 17 2 3 2 2" xfId="26197"/>
    <cellStyle name="Note 17 2 3 2 3" xfId="26198"/>
    <cellStyle name="Note 17 2 3 2 4" xfId="26199"/>
    <cellStyle name="Note 17 2 3 3" xfId="26200"/>
    <cellStyle name="Note 17 2 3 4" xfId="26201"/>
    <cellStyle name="Note 17 2 3 5" xfId="26202"/>
    <cellStyle name="Note 17 2 3 6" xfId="26203"/>
    <cellStyle name="Note 17 2 3 7" xfId="26204"/>
    <cellStyle name="Note 17 2 3 8" xfId="26205"/>
    <cellStyle name="Note 17 2 3 9" xfId="26206"/>
    <cellStyle name="Note 17 2 4" xfId="26207"/>
    <cellStyle name="Note 17 2 4 10" xfId="26208"/>
    <cellStyle name="Note 17 2 4 11" xfId="26209"/>
    <cellStyle name="Note 17 2 4 12" xfId="26210"/>
    <cellStyle name="Note 17 2 4 13" xfId="26211"/>
    <cellStyle name="Note 17 2 4 14" xfId="26212"/>
    <cellStyle name="Note 17 2 4 15" xfId="26213"/>
    <cellStyle name="Note 17 2 4 16" xfId="26214"/>
    <cellStyle name="Note 17 2 4 2" xfId="26215"/>
    <cellStyle name="Note 17 2 4 2 2" xfId="26216"/>
    <cellStyle name="Note 17 2 4 2 3" xfId="26217"/>
    <cellStyle name="Note 17 2 4 2 4" xfId="26218"/>
    <cellStyle name="Note 17 2 4 3" xfId="26219"/>
    <cellStyle name="Note 17 2 4 4" xfId="26220"/>
    <cellStyle name="Note 17 2 4 5" xfId="26221"/>
    <cellStyle name="Note 17 2 4 6" xfId="26222"/>
    <cellStyle name="Note 17 2 4 7" xfId="26223"/>
    <cellStyle name="Note 17 2 4 8" xfId="26224"/>
    <cellStyle name="Note 17 2 4 9" xfId="26225"/>
    <cellStyle name="Note 17 2 5" xfId="26226"/>
    <cellStyle name="Note 17 2 5 10" xfId="26227"/>
    <cellStyle name="Note 17 2 5 11" xfId="26228"/>
    <cellStyle name="Note 17 2 5 12" xfId="26229"/>
    <cellStyle name="Note 17 2 5 13" xfId="26230"/>
    <cellStyle name="Note 17 2 5 14" xfId="26231"/>
    <cellStyle name="Note 17 2 5 15" xfId="26232"/>
    <cellStyle name="Note 17 2 5 16" xfId="26233"/>
    <cellStyle name="Note 17 2 5 2" xfId="26234"/>
    <cellStyle name="Note 17 2 5 2 2" xfId="26235"/>
    <cellStyle name="Note 17 2 5 2 3" xfId="26236"/>
    <cellStyle name="Note 17 2 5 2 4" xfId="26237"/>
    <cellStyle name="Note 17 2 5 3" xfId="26238"/>
    <cellStyle name="Note 17 2 5 4" xfId="26239"/>
    <cellStyle name="Note 17 2 5 5" xfId="26240"/>
    <cellStyle name="Note 17 2 5 6" xfId="26241"/>
    <cellStyle name="Note 17 2 5 7" xfId="26242"/>
    <cellStyle name="Note 17 2 5 8" xfId="26243"/>
    <cellStyle name="Note 17 2 5 9" xfId="26244"/>
    <cellStyle name="Note 17 2 6" xfId="26245"/>
    <cellStyle name="Note 17 2 6 10" xfId="26246"/>
    <cellStyle name="Note 17 2 6 11" xfId="26247"/>
    <cellStyle name="Note 17 2 6 12" xfId="26248"/>
    <cellStyle name="Note 17 2 6 13" xfId="26249"/>
    <cellStyle name="Note 17 2 6 14" xfId="26250"/>
    <cellStyle name="Note 17 2 6 15" xfId="26251"/>
    <cellStyle name="Note 17 2 6 16" xfId="26252"/>
    <cellStyle name="Note 17 2 6 2" xfId="26253"/>
    <cellStyle name="Note 17 2 6 2 2" xfId="26254"/>
    <cellStyle name="Note 17 2 6 2 3" xfId="26255"/>
    <cellStyle name="Note 17 2 6 2 4" xfId="26256"/>
    <cellStyle name="Note 17 2 6 3" xfId="26257"/>
    <cellStyle name="Note 17 2 6 4" xfId="26258"/>
    <cellStyle name="Note 17 2 6 5" xfId="26259"/>
    <cellStyle name="Note 17 2 6 6" xfId="26260"/>
    <cellStyle name="Note 17 2 6 7" xfId="26261"/>
    <cellStyle name="Note 17 2 6 8" xfId="26262"/>
    <cellStyle name="Note 17 2 6 9" xfId="26263"/>
    <cellStyle name="Note 17 2 7" xfId="26264"/>
    <cellStyle name="Note 17 2 7 10" xfId="26265"/>
    <cellStyle name="Note 17 2 7 11" xfId="26266"/>
    <cellStyle name="Note 17 2 7 12" xfId="26267"/>
    <cellStyle name="Note 17 2 7 13" xfId="26268"/>
    <cellStyle name="Note 17 2 7 14" xfId="26269"/>
    <cellStyle name="Note 17 2 7 15" xfId="26270"/>
    <cellStyle name="Note 17 2 7 16" xfId="26271"/>
    <cellStyle name="Note 17 2 7 2" xfId="26272"/>
    <cellStyle name="Note 17 2 7 2 2" xfId="26273"/>
    <cellStyle name="Note 17 2 7 2 3" xfId="26274"/>
    <cellStyle name="Note 17 2 7 2 4" xfId="26275"/>
    <cellStyle name="Note 17 2 7 3" xfId="26276"/>
    <cellStyle name="Note 17 2 7 4" xfId="26277"/>
    <cellStyle name="Note 17 2 7 5" xfId="26278"/>
    <cellStyle name="Note 17 2 7 6" xfId="26279"/>
    <cellStyle name="Note 17 2 7 7" xfId="26280"/>
    <cellStyle name="Note 17 2 7 8" xfId="26281"/>
    <cellStyle name="Note 17 2 7 9" xfId="26282"/>
    <cellStyle name="Note 17 2 8" xfId="26283"/>
    <cellStyle name="Note 17 2 8 10" xfId="26284"/>
    <cellStyle name="Note 17 2 8 11" xfId="26285"/>
    <cellStyle name="Note 17 2 8 12" xfId="26286"/>
    <cellStyle name="Note 17 2 8 13" xfId="26287"/>
    <cellStyle name="Note 17 2 8 14" xfId="26288"/>
    <cellStyle name="Note 17 2 8 15" xfId="26289"/>
    <cellStyle name="Note 17 2 8 16" xfId="26290"/>
    <cellStyle name="Note 17 2 8 2" xfId="26291"/>
    <cellStyle name="Note 17 2 8 2 2" xfId="26292"/>
    <cellStyle name="Note 17 2 8 2 3" xfId="26293"/>
    <cellStyle name="Note 17 2 8 2 4" xfId="26294"/>
    <cellStyle name="Note 17 2 8 3" xfId="26295"/>
    <cellStyle name="Note 17 2 8 4" xfId="26296"/>
    <cellStyle name="Note 17 2 8 5" xfId="26297"/>
    <cellStyle name="Note 17 2 8 6" xfId="26298"/>
    <cellStyle name="Note 17 2 8 7" xfId="26299"/>
    <cellStyle name="Note 17 2 8 8" xfId="26300"/>
    <cellStyle name="Note 17 2 8 9" xfId="26301"/>
    <cellStyle name="Note 17 2 9" xfId="26302"/>
    <cellStyle name="Note 17 2 9 2" xfId="26303"/>
    <cellStyle name="Note 17 2 9 3" xfId="26304"/>
    <cellStyle name="Note 17 2 9 4" xfId="26305"/>
    <cellStyle name="Note 17 3" xfId="26306"/>
    <cellStyle name="Note 17 3 10" xfId="26307"/>
    <cellStyle name="Note 17 3 11" xfId="26308"/>
    <cellStyle name="Note 17 3 12" xfId="26309"/>
    <cellStyle name="Note 17 3 13" xfId="26310"/>
    <cellStyle name="Note 17 3 14" xfId="26311"/>
    <cellStyle name="Note 17 3 15" xfId="26312"/>
    <cellStyle name="Note 17 3 16" xfId="26313"/>
    <cellStyle name="Note 17 3 17" xfId="26314"/>
    <cellStyle name="Note 17 3 18" xfId="26315"/>
    <cellStyle name="Note 17 3 19" xfId="26316"/>
    <cellStyle name="Note 17 3 2" xfId="26317"/>
    <cellStyle name="Note 17 3 2 10" xfId="26318"/>
    <cellStyle name="Note 17 3 2 11" xfId="26319"/>
    <cellStyle name="Note 17 3 2 12" xfId="26320"/>
    <cellStyle name="Note 17 3 2 13" xfId="26321"/>
    <cellStyle name="Note 17 3 2 14" xfId="26322"/>
    <cellStyle name="Note 17 3 2 15" xfId="26323"/>
    <cellStyle name="Note 17 3 2 16" xfId="26324"/>
    <cellStyle name="Note 17 3 2 2" xfId="26325"/>
    <cellStyle name="Note 17 3 2 2 2" xfId="26326"/>
    <cellStyle name="Note 17 3 2 2 3" xfId="26327"/>
    <cellStyle name="Note 17 3 2 2 4" xfId="26328"/>
    <cellStyle name="Note 17 3 2 3" xfId="26329"/>
    <cellStyle name="Note 17 3 2 4" xfId="26330"/>
    <cellStyle name="Note 17 3 2 5" xfId="26331"/>
    <cellStyle name="Note 17 3 2 6" xfId="26332"/>
    <cellStyle name="Note 17 3 2 7" xfId="26333"/>
    <cellStyle name="Note 17 3 2 8" xfId="26334"/>
    <cellStyle name="Note 17 3 2 9" xfId="26335"/>
    <cellStyle name="Note 17 3 20" xfId="26336"/>
    <cellStyle name="Note 17 3 21" xfId="26337"/>
    <cellStyle name="Note 17 3 22" xfId="26338"/>
    <cellStyle name="Note 17 3 23" xfId="26339"/>
    <cellStyle name="Note 17 3 3" xfId="26340"/>
    <cellStyle name="Note 17 3 3 10" xfId="26341"/>
    <cellStyle name="Note 17 3 3 11" xfId="26342"/>
    <cellStyle name="Note 17 3 3 12" xfId="26343"/>
    <cellStyle name="Note 17 3 3 13" xfId="26344"/>
    <cellStyle name="Note 17 3 3 14" xfId="26345"/>
    <cellStyle name="Note 17 3 3 15" xfId="26346"/>
    <cellStyle name="Note 17 3 3 16" xfId="26347"/>
    <cellStyle name="Note 17 3 3 2" xfId="26348"/>
    <cellStyle name="Note 17 3 3 2 2" xfId="26349"/>
    <cellStyle name="Note 17 3 3 2 3" xfId="26350"/>
    <cellStyle name="Note 17 3 3 2 4" xfId="26351"/>
    <cellStyle name="Note 17 3 3 3" xfId="26352"/>
    <cellStyle name="Note 17 3 3 4" xfId="26353"/>
    <cellStyle name="Note 17 3 3 5" xfId="26354"/>
    <cellStyle name="Note 17 3 3 6" xfId="26355"/>
    <cellStyle name="Note 17 3 3 7" xfId="26356"/>
    <cellStyle name="Note 17 3 3 8" xfId="26357"/>
    <cellStyle name="Note 17 3 3 9" xfId="26358"/>
    <cellStyle name="Note 17 3 4" xfId="26359"/>
    <cellStyle name="Note 17 3 4 10" xfId="26360"/>
    <cellStyle name="Note 17 3 4 11" xfId="26361"/>
    <cellStyle name="Note 17 3 4 12" xfId="26362"/>
    <cellStyle name="Note 17 3 4 13" xfId="26363"/>
    <cellStyle name="Note 17 3 4 14" xfId="26364"/>
    <cellStyle name="Note 17 3 4 15" xfId="26365"/>
    <cellStyle name="Note 17 3 4 16" xfId="26366"/>
    <cellStyle name="Note 17 3 4 2" xfId="26367"/>
    <cellStyle name="Note 17 3 4 2 2" xfId="26368"/>
    <cellStyle name="Note 17 3 4 2 3" xfId="26369"/>
    <cellStyle name="Note 17 3 4 2 4" xfId="26370"/>
    <cellStyle name="Note 17 3 4 3" xfId="26371"/>
    <cellStyle name="Note 17 3 4 4" xfId="26372"/>
    <cellStyle name="Note 17 3 4 5" xfId="26373"/>
    <cellStyle name="Note 17 3 4 6" xfId="26374"/>
    <cellStyle name="Note 17 3 4 7" xfId="26375"/>
    <cellStyle name="Note 17 3 4 8" xfId="26376"/>
    <cellStyle name="Note 17 3 4 9" xfId="26377"/>
    <cellStyle name="Note 17 3 5" xfId="26378"/>
    <cellStyle name="Note 17 3 5 10" xfId="26379"/>
    <cellStyle name="Note 17 3 5 11" xfId="26380"/>
    <cellStyle name="Note 17 3 5 12" xfId="26381"/>
    <cellStyle name="Note 17 3 5 13" xfId="26382"/>
    <cellStyle name="Note 17 3 5 14" xfId="26383"/>
    <cellStyle name="Note 17 3 5 15" xfId="26384"/>
    <cellStyle name="Note 17 3 5 16" xfId="26385"/>
    <cellStyle name="Note 17 3 5 2" xfId="26386"/>
    <cellStyle name="Note 17 3 5 2 2" xfId="26387"/>
    <cellStyle name="Note 17 3 5 2 3" xfId="26388"/>
    <cellStyle name="Note 17 3 5 2 4" xfId="26389"/>
    <cellStyle name="Note 17 3 5 3" xfId="26390"/>
    <cellStyle name="Note 17 3 5 4" xfId="26391"/>
    <cellStyle name="Note 17 3 5 5" xfId="26392"/>
    <cellStyle name="Note 17 3 5 6" xfId="26393"/>
    <cellStyle name="Note 17 3 5 7" xfId="26394"/>
    <cellStyle name="Note 17 3 5 8" xfId="26395"/>
    <cellStyle name="Note 17 3 5 9" xfId="26396"/>
    <cellStyle name="Note 17 3 6" xfId="26397"/>
    <cellStyle name="Note 17 3 6 10" xfId="26398"/>
    <cellStyle name="Note 17 3 6 11" xfId="26399"/>
    <cellStyle name="Note 17 3 6 12" xfId="26400"/>
    <cellStyle name="Note 17 3 6 13" xfId="26401"/>
    <cellStyle name="Note 17 3 6 14" xfId="26402"/>
    <cellStyle name="Note 17 3 6 15" xfId="26403"/>
    <cellStyle name="Note 17 3 6 16" xfId="26404"/>
    <cellStyle name="Note 17 3 6 2" xfId="26405"/>
    <cellStyle name="Note 17 3 6 2 2" xfId="26406"/>
    <cellStyle name="Note 17 3 6 2 3" xfId="26407"/>
    <cellStyle name="Note 17 3 6 2 4" xfId="26408"/>
    <cellStyle name="Note 17 3 6 3" xfId="26409"/>
    <cellStyle name="Note 17 3 6 4" xfId="26410"/>
    <cellStyle name="Note 17 3 6 5" xfId="26411"/>
    <cellStyle name="Note 17 3 6 6" xfId="26412"/>
    <cellStyle name="Note 17 3 6 7" xfId="26413"/>
    <cellStyle name="Note 17 3 6 8" xfId="26414"/>
    <cellStyle name="Note 17 3 6 9" xfId="26415"/>
    <cellStyle name="Note 17 3 7" xfId="26416"/>
    <cellStyle name="Note 17 3 7 10" xfId="26417"/>
    <cellStyle name="Note 17 3 7 11" xfId="26418"/>
    <cellStyle name="Note 17 3 7 12" xfId="26419"/>
    <cellStyle name="Note 17 3 7 13" xfId="26420"/>
    <cellStyle name="Note 17 3 7 14" xfId="26421"/>
    <cellStyle name="Note 17 3 7 15" xfId="26422"/>
    <cellStyle name="Note 17 3 7 16" xfId="26423"/>
    <cellStyle name="Note 17 3 7 2" xfId="26424"/>
    <cellStyle name="Note 17 3 7 2 2" xfId="26425"/>
    <cellStyle name="Note 17 3 7 2 3" xfId="26426"/>
    <cellStyle name="Note 17 3 7 2 4" xfId="26427"/>
    <cellStyle name="Note 17 3 7 3" xfId="26428"/>
    <cellStyle name="Note 17 3 7 4" xfId="26429"/>
    <cellStyle name="Note 17 3 7 5" xfId="26430"/>
    <cellStyle name="Note 17 3 7 6" xfId="26431"/>
    <cellStyle name="Note 17 3 7 7" xfId="26432"/>
    <cellStyle name="Note 17 3 7 8" xfId="26433"/>
    <cellStyle name="Note 17 3 7 9" xfId="26434"/>
    <cellStyle name="Note 17 3 8" xfId="26435"/>
    <cellStyle name="Note 17 3 8 10" xfId="26436"/>
    <cellStyle name="Note 17 3 8 11" xfId="26437"/>
    <cellStyle name="Note 17 3 8 12" xfId="26438"/>
    <cellStyle name="Note 17 3 8 13" xfId="26439"/>
    <cellStyle name="Note 17 3 8 14" xfId="26440"/>
    <cellStyle name="Note 17 3 8 15" xfId="26441"/>
    <cellStyle name="Note 17 3 8 16" xfId="26442"/>
    <cellStyle name="Note 17 3 8 2" xfId="26443"/>
    <cellStyle name="Note 17 3 8 2 2" xfId="26444"/>
    <cellStyle name="Note 17 3 8 2 3" xfId="26445"/>
    <cellStyle name="Note 17 3 8 2 4" xfId="26446"/>
    <cellStyle name="Note 17 3 8 3" xfId="26447"/>
    <cellStyle name="Note 17 3 8 4" xfId="26448"/>
    <cellStyle name="Note 17 3 8 5" xfId="26449"/>
    <cellStyle name="Note 17 3 8 6" xfId="26450"/>
    <cellStyle name="Note 17 3 8 7" xfId="26451"/>
    <cellStyle name="Note 17 3 8 8" xfId="26452"/>
    <cellStyle name="Note 17 3 8 9" xfId="26453"/>
    <cellStyle name="Note 17 3 9" xfId="26454"/>
    <cellStyle name="Note 17 3 9 2" xfId="26455"/>
    <cellStyle name="Note 17 3 9 3" xfId="26456"/>
    <cellStyle name="Note 17 3 9 4" xfId="26457"/>
    <cellStyle name="Note 17 4" xfId="26458"/>
    <cellStyle name="Note 17 4 10" xfId="26459"/>
    <cellStyle name="Note 17 4 11" xfId="26460"/>
    <cellStyle name="Note 17 4 12" xfId="26461"/>
    <cellStyle name="Note 17 4 13" xfId="26462"/>
    <cellStyle name="Note 17 4 14" xfId="26463"/>
    <cellStyle name="Note 17 4 15" xfId="26464"/>
    <cellStyle name="Note 17 4 16" xfId="26465"/>
    <cellStyle name="Note 17 4 17" xfId="26466"/>
    <cellStyle name="Note 17 4 18" xfId="26467"/>
    <cellStyle name="Note 17 4 19" xfId="26468"/>
    <cellStyle name="Note 17 4 2" xfId="26469"/>
    <cellStyle name="Note 17 4 2 10" xfId="26470"/>
    <cellStyle name="Note 17 4 2 11" xfId="26471"/>
    <cellStyle name="Note 17 4 2 12" xfId="26472"/>
    <cellStyle name="Note 17 4 2 13" xfId="26473"/>
    <cellStyle name="Note 17 4 2 14" xfId="26474"/>
    <cellStyle name="Note 17 4 2 15" xfId="26475"/>
    <cellStyle name="Note 17 4 2 16" xfId="26476"/>
    <cellStyle name="Note 17 4 2 2" xfId="26477"/>
    <cellStyle name="Note 17 4 2 2 2" xfId="26478"/>
    <cellStyle name="Note 17 4 2 2 3" xfId="26479"/>
    <cellStyle name="Note 17 4 2 2 4" xfId="26480"/>
    <cellStyle name="Note 17 4 2 3" xfId="26481"/>
    <cellStyle name="Note 17 4 2 4" xfId="26482"/>
    <cellStyle name="Note 17 4 2 5" xfId="26483"/>
    <cellStyle name="Note 17 4 2 6" xfId="26484"/>
    <cellStyle name="Note 17 4 2 7" xfId="26485"/>
    <cellStyle name="Note 17 4 2 8" xfId="26486"/>
    <cellStyle name="Note 17 4 2 9" xfId="26487"/>
    <cellStyle name="Note 17 4 20" xfId="26488"/>
    <cellStyle name="Note 17 4 21" xfId="26489"/>
    <cellStyle name="Note 17 4 22" xfId="26490"/>
    <cellStyle name="Note 17 4 23" xfId="26491"/>
    <cellStyle name="Note 17 4 3" xfId="26492"/>
    <cellStyle name="Note 17 4 3 10" xfId="26493"/>
    <cellStyle name="Note 17 4 3 11" xfId="26494"/>
    <cellStyle name="Note 17 4 3 12" xfId="26495"/>
    <cellStyle name="Note 17 4 3 13" xfId="26496"/>
    <cellStyle name="Note 17 4 3 14" xfId="26497"/>
    <cellStyle name="Note 17 4 3 15" xfId="26498"/>
    <cellStyle name="Note 17 4 3 16" xfId="26499"/>
    <cellStyle name="Note 17 4 3 2" xfId="26500"/>
    <cellStyle name="Note 17 4 3 2 2" xfId="26501"/>
    <cellStyle name="Note 17 4 3 2 3" xfId="26502"/>
    <cellStyle name="Note 17 4 3 2 4" xfId="26503"/>
    <cellStyle name="Note 17 4 3 3" xfId="26504"/>
    <cellStyle name="Note 17 4 3 4" xfId="26505"/>
    <cellStyle name="Note 17 4 3 5" xfId="26506"/>
    <cellStyle name="Note 17 4 3 6" xfId="26507"/>
    <cellStyle name="Note 17 4 3 7" xfId="26508"/>
    <cellStyle name="Note 17 4 3 8" xfId="26509"/>
    <cellStyle name="Note 17 4 3 9" xfId="26510"/>
    <cellStyle name="Note 17 4 4" xfId="26511"/>
    <cellStyle name="Note 17 4 4 10" xfId="26512"/>
    <cellStyle name="Note 17 4 4 11" xfId="26513"/>
    <cellStyle name="Note 17 4 4 12" xfId="26514"/>
    <cellStyle name="Note 17 4 4 13" xfId="26515"/>
    <cellStyle name="Note 17 4 4 14" xfId="26516"/>
    <cellStyle name="Note 17 4 4 15" xfId="26517"/>
    <cellStyle name="Note 17 4 4 16" xfId="26518"/>
    <cellStyle name="Note 17 4 4 2" xfId="26519"/>
    <cellStyle name="Note 17 4 4 2 2" xfId="26520"/>
    <cellStyle name="Note 17 4 4 2 3" xfId="26521"/>
    <cellStyle name="Note 17 4 4 2 4" xfId="26522"/>
    <cellStyle name="Note 17 4 4 3" xfId="26523"/>
    <cellStyle name="Note 17 4 4 4" xfId="26524"/>
    <cellStyle name="Note 17 4 4 5" xfId="26525"/>
    <cellStyle name="Note 17 4 4 6" xfId="26526"/>
    <cellStyle name="Note 17 4 4 7" xfId="26527"/>
    <cellStyle name="Note 17 4 4 8" xfId="26528"/>
    <cellStyle name="Note 17 4 4 9" xfId="26529"/>
    <cellStyle name="Note 17 4 5" xfId="26530"/>
    <cellStyle name="Note 17 4 5 10" xfId="26531"/>
    <cellStyle name="Note 17 4 5 11" xfId="26532"/>
    <cellStyle name="Note 17 4 5 12" xfId="26533"/>
    <cellStyle name="Note 17 4 5 13" xfId="26534"/>
    <cellStyle name="Note 17 4 5 14" xfId="26535"/>
    <cellStyle name="Note 17 4 5 15" xfId="26536"/>
    <cellStyle name="Note 17 4 5 16" xfId="26537"/>
    <cellStyle name="Note 17 4 5 2" xfId="26538"/>
    <cellStyle name="Note 17 4 5 2 2" xfId="26539"/>
    <cellStyle name="Note 17 4 5 2 3" xfId="26540"/>
    <cellStyle name="Note 17 4 5 2 4" xfId="26541"/>
    <cellStyle name="Note 17 4 5 3" xfId="26542"/>
    <cellStyle name="Note 17 4 5 4" xfId="26543"/>
    <cellStyle name="Note 17 4 5 5" xfId="26544"/>
    <cellStyle name="Note 17 4 5 6" xfId="26545"/>
    <cellStyle name="Note 17 4 5 7" xfId="26546"/>
    <cellStyle name="Note 17 4 5 8" xfId="26547"/>
    <cellStyle name="Note 17 4 5 9" xfId="26548"/>
    <cellStyle name="Note 17 4 6" xfId="26549"/>
    <cellStyle name="Note 17 4 6 10" xfId="26550"/>
    <cellStyle name="Note 17 4 6 11" xfId="26551"/>
    <cellStyle name="Note 17 4 6 12" xfId="26552"/>
    <cellStyle name="Note 17 4 6 13" xfId="26553"/>
    <cellStyle name="Note 17 4 6 14" xfId="26554"/>
    <cellStyle name="Note 17 4 6 15" xfId="26555"/>
    <cellStyle name="Note 17 4 6 16" xfId="26556"/>
    <cellStyle name="Note 17 4 6 2" xfId="26557"/>
    <cellStyle name="Note 17 4 6 2 2" xfId="26558"/>
    <cellStyle name="Note 17 4 6 2 3" xfId="26559"/>
    <cellStyle name="Note 17 4 6 2 4" xfId="26560"/>
    <cellStyle name="Note 17 4 6 3" xfId="26561"/>
    <cellStyle name="Note 17 4 6 4" xfId="26562"/>
    <cellStyle name="Note 17 4 6 5" xfId="26563"/>
    <cellStyle name="Note 17 4 6 6" xfId="26564"/>
    <cellStyle name="Note 17 4 6 7" xfId="26565"/>
    <cellStyle name="Note 17 4 6 8" xfId="26566"/>
    <cellStyle name="Note 17 4 6 9" xfId="26567"/>
    <cellStyle name="Note 17 4 7" xfId="26568"/>
    <cellStyle name="Note 17 4 7 10" xfId="26569"/>
    <cellStyle name="Note 17 4 7 11" xfId="26570"/>
    <cellStyle name="Note 17 4 7 12" xfId="26571"/>
    <cellStyle name="Note 17 4 7 13" xfId="26572"/>
    <cellStyle name="Note 17 4 7 14" xfId="26573"/>
    <cellStyle name="Note 17 4 7 15" xfId="26574"/>
    <cellStyle name="Note 17 4 7 16" xfId="26575"/>
    <cellStyle name="Note 17 4 7 2" xfId="26576"/>
    <cellStyle name="Note 17 4 7 2 2" xfId="26577"/>
    <cellStyle name="Note 17 4 7 2 3" xfId="26578"/>
    <cellStyle name="Note 17 4 7 2 4" xfId="26579"/>
    <cellStyle name="Note 17 4 7 3" xfId="26580"/>
    <cellStyle name="Note 17 4 7 4" xfId="26581"/>
    <cellStyle name="Note 17 4 7 5" xfId="26582"/>
    <cellStyle name="Note 17 4 7 6" xfId="26583"/>
    <cellStyle name="Note 17 4 7 7" xfId="26584"/>
    <cellStyle name="Note 17 4 7 8" xfId="26585"/>
    <cellStyle name="Note 17 4 7 9" xfId="26586"/>
    <cellStyle name="Note 17 4 8" xfId="26587"/>
    <cellStyle name="Note 17 4 8 10" xfId="26588"/>
    <cellStyle name="Note 17 4 8 11" xfId="26589"/>
    <cellStyle name="Note 17 4 8 12" xfId="26590"/>
    <cellStyle name="Note 17 4 8 13" xfId="26591"/>
    <cellStyle name="Note 17 4 8 14" xfId="26592"/>
    <cellStyle name="Note 17 4 8 15" xfId="26593"/>
    <cellStyle name="Note 17 4 8 16" xfId="26594"/>
    <cellStyle name="Note 17 4 8 2" xfId="26595"/>
    <cellStyle name="Note 17 4 8 2 2" xfId="26596"/>
    <cellStyle name="Note 17 4 8 2 3" xfId="26597"/>
    <cellStyle name="Note 17 4 8 2 4" xfId="26598"/>
    <cellStyle name="Note 17 4 8 3" xfId="26599"/>
    <cellStyle name="Note 17 4 8 4" xfId="26600"/>
    <cellStyle name="Note 17 4 8 5" xfId="26601"/>
    <cellStyle name="Note 17 4 8 6" xfId="26602"/>
    <cellStyle name="Note 17 4 8 7" xfId="26603"/>
    <cellStyle name="Note 17 4 8 8" xfId="26604"/>
    <cellStyle name="Note 17 4 8 9" xfId="26605"/>
    <cellStyle name="Note 17 4 9" xfId="26606"/>
    <cellStyle name="Note 17 4 9 2" xfId="26607"/>
    <cellStyle name="Note 17 4 9 3" xfId="26608"/>
    <cellStyle name="Note 17 4 9 4" xfId="26609"/>
    <cellStyle name="Note 2" xfId="26610"/>
    <cellStyle name="Note 2 10" xfId="26611"/>
    <cellStyle name="Note 2 11" xfId="26612"/>
    <cellStyle name="Note 2 12" xfId="26613"/>
    <cellStyle name="Note 2 13" xfId="26614"/>
    <cellStyle name="Note 2 14" xfId="26615"/>
    <cellStyle name="Note 2 15" xfId="26616"/>
    <cellStyle name="Note 2 16" xfId="26617"/>
    <cellStyle name="Note 2 17" xfId="26618"/>
    <cellStyle name="Note 2 18" xfId="26619"/>
    <cellStyle name="Note 2 19" xfId="26620"/>
    <cellStyle name="Note 2 2" xfId="26621"/>
    <cellStyle name="Note 2 2 10" xfId="26622"/>
    <cellStyle name="Note 2 2 11" xfId="26623"/>
    <cellStyle name="Note 2 2 12" xfId="26624"/>
    <cellStyle name="Note 2 2 13" xfId="26625"/>
    <cellStyle name="Note 2 2 14" xfId="26626"/>
    <cellStyle name="Note 2 2 15" xfId="26627"/>
    <cellStyle name="Note 2 2 16" xfId="26628"/>
    <cellStyle name="Note 2 2 17" xfId="26629"/>
    <cellStyle name="Note 2 2 18" xfId="26630"/>
    <cellStyle name="Note 2 2 19" xfId="26631"/>
    <cellStyle name="Note 2 2 2" xfId="26632"/>
    <cellStyle name="Note 2 2 2 10" xfId="26633"/>
    <cellStyle name="Note 2 2 2 11" xfId="26634"/>
    <cellStyle name="Note 2 2 2 12" xfId="26635"/>
    <cellStyle name="Note 2 2 2 13" xfId="26636"/>
    <cellStyle name="Note 2 2 2 14" xfId="26637"/>
    <cellStyle name="Note 2 2 2 15" xfId="26638"/>
    <cellStyle name="Note 2 2 2 16" xfId="26639"/>
    <cellStyle name="Note 2 2 2 2" xfId="26640"/>
    <cellStyle name="Note 2 2 2 2 2" xfId="26641"/>
    <cellStyle name="Note 2 2 2 2 3" xfId="26642"/>
    <cellStyle name="Note 2 2 2 2 4" xfId="26643"/>
    <cellStyle name="Note 2 2 2 3" xfId="26644"/>
    <cellStyle name="Note 2 2 2 4" xfId="26645"/>
    <cellStyle name="Note 2 2 2 5" xfId="26646"/>
    <cellStyle name="Note 2 2 2 6" xfId="26647"/>
    <cellStyle name="Note 2 2 2 7" xfId="26648"/>
    <cellStyle name="Note 2 2 2 8" xfId="26649"/>
    <cellStyle name="Note 2 2 2 9" xfId="26650"/>
    <cellStyle name="Note 2 2 20" xfId="26651"/>
    <cellStyle name="Note 2 2 21" xfId="26652"/>
    <cellStyle name="Note 2 2 22" xfId="26653"/>
    <cellStyle name="Note 2 2 23" xfId="26654"/>
    <cellStyle name="Note 2 2 3" xfId="26655"/>
    <cellStyle name="Note 2 2 3 10" xfId="26656"/>
    <cellStyle name="Note 2 2 3 11" xfId="26657"/>
    <cellStyle name="Note 2 2 3 12" xfId="26658"/>
    <cellStyle name="Note 2 2 3 13" xfId="26659"/>
    <cellStyle name="Note 2 2 3 14" xfId="26660"/>
    <cellStyle name="Note 2 2 3 15" xfId="26661"/>
    <cellStyle name="Note 2 2 3 16" xfId="26662"/>
    <cellStyle name="Note 2 2 3 2" xfId="26663"/>
    <cellStyle name="Note 2 2 3 2 2" xfId="26664"/>
    <cellStyle name="Note 2 2 3 2 3" xfId="26665"/>
    <cellStyle name="Note 2 2 3 2 4" xfId="26666"/>
    <cellStyle name="Note 2 2 3 3" xfId="26667"/>
    <cellStyle name="Note 2 2 3 4" xfId="26668"/>
    <cellStyle name="Note 2 2 3 5" xfId="26669"/>
    <cellStyle name="Note 2 2 3 6" xfId="26670"/>
    <cellStyle name="Note 2 2 3 7" xfId="26671"/>
    <cellStyle name="Note 2 2 3 8" xfId="26672"/>
    <cellStyle name="Note 2 2 3 9" xfId="26673"/>
    <cellStyle name="Note 2 2 4" xfId="26674"/>
    <cellStyle name="Note 2 2 4 10" xfId="26675"/>
    <cellStyle name="Note 2 2 4 11" xfId="26676"/>
    <cellStyle name="Note 2 2 4 12" xfId="26677"/>
    <cellStyle name="Note 2 2 4 13" xfId="26678"/>
    <cellStyle name="Note 2 2 4 14" xfId="26679"/>
    <cellStyle name="Note 2 2 4 15" xfId="26680"/>
    <cellStyle name="Note 2 2 4 16" xfId="26681"/>
    <cellStyle name="Note 2 2 4 2" xfId="26682"/>
    <cellStyle name="Note 2 2 4 2 2" xfId="26683"/>
    <cellStyle name="Note 2 2 4 2 3" xfId="26684"/>
    <cellStyle name="Note 2 2 4 2 4" xfId="26685"/>
    <cellStyle name="Note 2 2 4 3" xfId="26686"/>
    <cellStyle name="Note 2 2 4 4" xfId="26687"/>
    <cellStyle name="Note 2 2 4 5" xfId="26688"/>
    <cellStyle name="Note 2 2 4 6" xfId="26689"/>
    <cellStyle name="Note 2 2 4 7" xfId="26690"/>
    <cellStyle name="Note 2 2 4 8" xfId="26691"/>
    <cellStyle name="Note 2 2 4 9" xfId="26692"/>
    <cellStyle name="Note 2 2 5" xfId="26693"/>
    <cellStyle name="Note 2 2 5 10" xfId="26694"/>
    <cellStyle name="Note 2 2 5 11" xfId="26695"/>
    <cellStyle name="Note 2 2 5 12" xfId="26696"/>
    <cellStyle name="Note 2 2 5 13" xfId="26697"/>
    <cellStyle name="Note 2 2 5 14" xfId="26698"/>
    <cellStyle name="Note 2 2 5 15" xfId="26699"/>
    <cellStyle name="Note 2 2 5 16" xfId="26700"/>
    <cellStyle name="Note 2 2 5 2" xfId="26701"/>
    <cellStyle name="Note 2 2 5 2 2" xfId="26702"/>
    <cellStyle name="Note 2 2 5 2 3" xfId="26703"/>
    <cellStyle name="Note 2 2 5 2 4" xfId="26704"/>
    <cellStyle name="Note 2 2 5 3" xfId="26705"/>
    <cellStyle name="Note 2 2 5 4" xfId="26706"/>
    <cellStyle name="Note 2 2 5 5" xfId="26707"/>
    <cellStyle name="Note 2 2 5 6" xfId="26708"/>
    <cellStyle name="Note 2 2 5 7" xfId="26709"/>
    <cellStyle name="Note 2 2 5 8" xfId="26710"/>
    <cellStyle name="Note 2 2 5 9" xfId="26711"/>
    <cellStyle name="Note 2 2 6" xfId="26712"/>
    <cellStyle name="Note 2 2 6 10" xfId="26713"/>
    <cellStyle name="Note 2 2 6 11" xfId="26714"/>
    <cellStyle name="Note 2 2 6 12" xfId="26715"/>
    <cellStyle name="Note 2 2 6 13" xfId="26716"/>
    <cellStyle name="Note 2 2 6 14" xfId="26717"/>
    <cellStyle name="Note 2 2 6 15" xfId="26718"/>
    <cellStyle name="Note 2 2 6 16" xfId="26719"/>
    <cellStyle name="Note 2 2 6 2" xfId="26720"/>
    <cellStyle name="Note 2 2 6 2 2" xfId="26721"/>
    <cellStyle name="Note 2 2 6 2 3" xfId="26722"/>
    <cellStyle name="Note 2 2 6 2 4" xfId="26723"/>
    <cellStyle name="Note 2 2 6 3" xfId="26724"/>
    <cellStyle name="Note 2 2 6 4" xfId="26725"/>
    <cellStyle name="Note 2 2 6 5" xfId="26726"/>
    <cellStyle name="Note 2 2 6 6" xfId="26727"/>
    <cellStyle name="Note 2 2 6 7" xfId="26728"/>
    <cellStyle name="Note 2 2 6 8" xfId="26729"/>
    <cellStyle name="Note 2 2 6 9" xfId="26730"/>
    <cellStyle name="Note 2 2 7" xfId="26731"/>
    <cellStyle name="Note 2 2 7 10" xfId="26732"/>
    <cellStyle name="Note 2 2 7 11" xfId="26733"/>
    <cellStyle name="Note 2 2 7 12" xfId="26734"/>
    <cellStyle name="Note 2 2 7 13" xfId="26735"/>
    <cellStyle name="Note 2 2 7 14" xfId="26736"/>
    <cellStyle name="Note 2 2 7 15" xfId="26737"/>
    <cellStyle name="Note 2 2 7 16" xfId="26738"/>
    <cellStyle name="Note 2 2 7 2" xfId="26739"/>
    <cellStyle name="Note 2 2 7 2 2" xfId="26740"/>
    <cellStyle name="Note 2 2 7 2 3" xfId="26741"/>
    <cellStyle name="Note 2 2 7 2 4" xfId="26742"/>
    <cellStyle name="Note 2 2 7 3" xfId="26743"/>
    <cellStyle name="Note 2 2 7 4" xfId="26744"/>
    <cellStyle name="Note 2 2 7 5" xfId="26745"/>
    <cellStyle name="Note 2 2 7 6" xfId="26746"/>
    <cellStyle name="Note 2 2 7 7" xfId="26747"/>
    <cellStyle name="Note 2 2 7 8" xfId="26748"/>
    <cellStyle name="Note 2 2 7 9" xfId="26749"/>
    <cellStyle name="Note 2 2 8" xfId="26750"/>
    <cellStyle name="Note 2 2 8 10" xfId="26751"/>
    <cellStyle name="Note 2 2 8 11" xfId="26752"/>
    <cellStyle name="Note 2 2 8 12" xfId="26753"/>
    <cellStyle name="Note 2 2 8 13" xfId="26754"/>
    <cellStyle name="Note 2 2 8 14" xfId="26755"/>
    <cellStyle name="Note 2 2 8 15" xfId="26756"/>
    <cellStyle name="Note 2 2 8 16" xfId="26757"/>
    <cellStyle name="Note 2 2 8 2" xfId="26758"/>
    <cellStyle name="Note 2 2 8 2 2" xfId="26759"/>
    <cellStyle name="Note 2 2 8 2 3" xfId="26760"/>
    <cellStyle name="Note 2 2 8 2 4" xfId="26761"/>
    <cellStyle name="Note 2 2 8 3" xfId="26762"/>
    <cellStyle name="Note 2 2 8 4" xfId="26763"/>
    <cellStyle name="Note 2 2 8 5" xfId="26764"/>
    <cellStyle name="Note 2 2 8 6" xfId="26765"/>
    <cellStyle name="Note 2 2 8 7" xfId="26766"/>
    <cellStyle name="Note 2 2 8 8" xfId="26767"/>
    <cellStyle name="Note 2 2 8 9" xfId="26768"/>
    <cellStyle name="Note 2 2 9" xfId="26769"/>
    <cellStyle name="Note 2 2 9 2" xfId="26770"/>
    <cellStyle name="Note 2 2 9 3" xfId="26771"/>
    <cellStyle name="Note 2 2 9 4" xfId="26772"/>
    <cellStyle name="Note 2 3" xfId="26773"/>
    <cellStyle name="Note 2 3 10" xfId="26774"/>
    <cellStyle name="Note 2 3 11" xfId="26775"/>
    <cellStyle name="Note 2 3 12" xfId="26776"/>
    <cellStyle name="Note 2 3 13" xfId="26777"/>
    <cellStyle name="Note 2 3 14" xfId="26778"/>
    <cellStyle name="Note 2 3 15" xfId="26779"/>
    <cellStyle name="Note 2 3 16" xfId="26780"/>
    <cellStyle name="Note 2 3 17" xfId="26781"/>
    <cellStyle name="Note 2 3 18" xfId="26782"/>
    <cellStyle name="Note 2 3 19" xfId="26783"/>
    <cellStyle name="Note 2 3 2" xfId="26784"/>
    <cellStyle name="Note 2 3 2 10" xfId="26785"/>
    <cellStyle name="Note 2 3 2 11" xfId="26786"/>
    <cellStyle name="Note 2 3 2 12" xfId="26787"/>
    <cellStyle name="Note 2 3 2 13" xfId="26788"/>
    <cellStyle name="Note 2 3 2 14" xfId="26789"/>
    <cellStyle name="Note 2 3 2 15" xfId="26790"/>
    <cellStyle name="Note 2 3 2 16" xfId="26791"/>
    <cellStyle name="Note 2 3 2 2" xfId="26792"/>
    <cellStyle name="Note 2 3 2 2 2" xfId="26793"/>
    <cellStyle name="Note 2 3 2 2 3" xfId="26794"/>
    <cellStyle name="Note 2 3 2 2 4" xfId="26795"/>
    <cellStyle name="Note 2 3 2 3" xfId="26796"/>
    <cellStyle name="Note 2 3 2 4" xfId="26797"/>
    <cellStyle name="Note 2 3 2 5" xfId="26798"/>
    <cellStyle name="Note 2 3 2 6" xfId="26799"/>
    <cellStyle name="Note 2 3 2 7" xfId="26800"/>
    <cellStyle name="Note 2 3 2 8" xfId="26801"/>
    <cellStyle name="Note 2 3 2 9" xfId="26802"/>
    <cellStyle name="Note 2 3 20" xfId="26803"/>
    <cellStyle name="Note 2 3 21" xfId="26804"/>
    <cellStyle name="Note 2 3 22" xfId="26805"/>
    <cellStyle name="Note 2 3 23" xfId="26806"/>
    <cellStyle name="Note 2 3 3" xfId="26807"/>
    <cellStyle name="Note 2 3 3 10" xfId="26808"/>
    <cellStyle name="Note 2 3 3 11" xfId="26809"/>
    <cellStyle name="Note 2 3 3 12" xfId="26810"/>
    <cellStyle name="Note 2 3 3 13" xfId="26811"/>
    <cellStyle name="Note 2 3 3 14" xfId="26812"/>
    <cellStyle name="Note 2 3 3 15" xfId="26813"/>
    <cellStyle name="Note 2 3 3 16" xfId="26814"/>
    <cellStyle name="Note 2 3 3 2" xfId="26815"/>
    <cellStyle name="Note 2 3 3 2 2" xfId="26816"/>
    <cellStyle name="Note 2 3 3 2 3" xfId="26817"/>
    <cellStyle name="Note 2 3 3 2 4" xfId="26818"/>
    <cellStyle name="Note 2 3 3 3" xfId="26819"/>
    <cellStyle name="Note 2 3 3 4" xfId="26820"/>
    <cellStyle name="Note 2 3 3 5" xfId="26821"/>
    <cellStyle name="Note 2 3 3 6" xfId="26822"/>
    <cellStyle name="Note 2 3 3 7" xfId="26823"/>
    <cellStyle name="Note 2 3 3 8" xfId="26824"/>
    <cellStyle name="Note 2 3 3 9" xfId="26825"/>
    <cellStyle name="Note 2 3 4" xfId="26826"/>
    <cellStyle name="Note 2 3 4 10" xfId="26827"/>
    <cellStyle name="Note 2 3 4 11" xfId="26828"/>
    <cellStyle name="Note 2 3 4 12" xfId="26829"/>
    <cellStyle name="Note 2 3 4 13" xfId="26830"/>
    <cellStyle name="Note 2 3 4 14" xfId="26831"/>
    <cellStyle name="Note 2 3 4 15" xfId="26832"/>
    <cellStyle name="Note 2 3 4 16" xfId="26833"/>
    <cellStyle name="Note 2 3 4 2" xfId="26834"/>
    <cellStyle name="Note 2 3 4 2 2" xfId="26835"/>
    <cellStyle name="Note 2 3 4 2 3" xfId="26836"/>
    <cellStyle name="Note 2 3 4 2 4" xfId="26837"/>
    <cellStyle name="Note 2 3 4 3" xfId="26838"/>
    <cellStyle name="Note 2 3 4 4" xfId="26839"/>
    <cellStyle name="Note 2 3 4 5" xfId="26840"/>
    <cellStyle name="Note 2 3 4 6" xfId="26841"/>
    <cellStyle name="Note 2 3 4 7" xfId="26842"/>
    <cellStyle name="Note 2 3 4 8" xfId="26843"/>
    <cellStyle name="Note 2 3 4 9" xfId="26844"/>
    <cellStyle name="Note 2 3 5" xfId="26845"/>
    <cellStyle name="Note 2 3 5 10" xfId="26846"/>
    <cellStyle name="Note 2 3 5 11" xfId="26847"/>
    <cellStyle name="Note 2 3 5 12" xfId="26848"/>
    <cellStyle name="Note 2 3 5 13" xfId="26849"/>
    <cellStyle name="Note 2 3 5 14" xfId="26850"/>
    <cellStyle name="Note 2 3 5 15" xfId="26851"/>
    <cellStyle name="Note 2 3 5 16" xfId="26852"/>
    <cellStyle name="Note 2 3 5 2" xfId="26853"/>
    <cellStyle name="Note 2 3 5 2 2" xfId="26854"/>
    <cellStyle name="Note 2 3 5 2 3" xfId="26855"/>
    <cellStyle name="Note 2 3 5 2 4" xfId="26856"/>
    <cellStyle name="Note 2 3 5 3" xfId="26857"/>
    <cellStyle name="Note 2 3 5 4" xfId="26858"/>
    <cellStyle name="Note 2 3 5 5" xfId="26859"/>
    <cellStyle name="Note 2 3 5 6" xfId="26860"/>
    <cellStyle name="Note 2 3 5 7" xfId="26861"/>
    <cellStyle name="Note 2 3 5 8" xfId="26862"/>
    <cellStyle name="Note 2 3 5 9" xfId="26863"/>
    <cellStyle name="Note 2 3 6" xfId="26864"/>
    <cellStyle name="Note 2 3 6 10" xfId="26865"/>
    <cellStyle name="Note 2 3 6 11" xfId="26866"/>
    <cellStyle name="Note 2 3 6 12" xfId="26867"/>
    <cellStyle name="Note 2 3 6 13" xfId="26868"/>
    <cellStyle name="Note 2 3 6 14" xfId="26869"/>
    <cellStyle name="Note 2 3 6 15" xfId="26870"/>
    <cellStyle name="Note 2 3 6 16" xfId="26871"/>
    <cellStyle name="Note 2 3 6 2" xfId="26872"/>
    <cellStyle name="Note 2 3 6 2 2" xfId="26873"/>
    <cellStyle name="Note 2 3 6 2 3" xfId="26874"/>
    <cellStyle name="Note 2 3 6 2 4" xfId="26875"/>
    <cellStyle name="Note 2 3 6 3" xfId="26876"/>
    <cellStyle name="Note 2 3 6 4" xfId="26877"/>
    <cellStyle name="Note 2 3 6 5" xfId="26878"/>
    <cellStyle name="Note 2 3 6 6" xfId="26879"/>
    <cellStyle name="Note 2 3 6 7" xfId="26880"/>
    <cellStyle name="Note 2 3 6 8" xfId="26881"/>
    <cellStyle name="Note 2 3 6 9" xfId="26882"/>
    <cellStyle name="Note 2 3 7" xfId="26883"/>
    <cellStyle name="Note 2 3 7 10" xfId="26884"/>
    <cellStyle name="Note 2 3 7 11" xfId="26885"/>
    <cellStyle name="Note 2 3 7 12" xfId="26886"/>
    <cellStyle name="Note 2 3 7 13" xfId="26887"/>
    <cellStyle name="Note 2 3 7 14" xfId="26888"/>
    <cellStyle name="Note 2 3 7 15" xfId="26889"/>
    <cellStyle name="Note 2 3 7 16" xfId="26890"/>
    <cellStyle name="Note 2 3 7 2" xfId="26891"/>
    <cellStyle name="Note 2 3 7 2 2" xfId="26892"/>
    <cellStyle name="Note 2 3 7 2 3" xfId="26893"/>
    <cellStyle name="Note 2 3 7 2 4" xfId="26894"/>
    <cellStyle name="Note 2 3 7 3" xfId="26895"/>
    <cellStyle name="Note 2 3 7 4" xfId="26896"/>
    <cellStyle name="Note 2 3 7 5" xfId="26897"/>
    <cellStyle name="Note 2 3 7 6" xfId="26898"/>
    <cellStyle name="Note 2 3 7 7" xfId="26899"/>
    <cellStyle name="Note 2 3 7 8" xfId="26900"/>
    <cellStyle name="Note 2 3 7 9" xfId="26901"/>
    <cellStyle name="Note 2 3 8" xfId="26902"/>
    <cellStyle name="Note 2 3 8 10" xfId="26903"/>
    <cellStyle name="Note 2 3 8 11" xfId="26904"/>
    <cellStyle name="Note 2 3 8 12" xfId="26905"/>
    <cellStyle name="Note 2 3 8 13" xfId="26906"/>
    <cellStyle name="Note 2 3 8 14" xfId="26907"/>
    <cellStyle name="Note 2 3 8 15" xfId="26908"/>
    <cellStyle name="Note 2 3 8 16" xfId="26909"/>
    <cellStyle name="Note 2 3 8 2" xfId="26910"/>
    <cellStyle name="Note 2 3 8 2 2" xfId="26911"/>
    <cellStyle name="Note 2 3 8 2 3" xfId="26912"/>
    <cellStyle name="Note 2 3 8 2 4" xfId="26913"/>
    <cellStyle name="Note 2 3 8 3" xfId="26914"/>
    <cellStyle name="Note 2 3 8 4" xfId="26915"/>
    <cellStyle name="Note 2 3 8 5" xfId="26916"/>
    <cellStyle name="Note 2 3 8 6" xfId="26917"/>
    <cellStyle name="Note 2 3 8 7" xfId="26918"/>
    <cellStyle name="Note 2 3 8 8" xfId="26919"/>
    <cellStyle name="Note 2 3 8 9" xfId="26920"/>
    <cellStyle name="Note 2 3 9" xfId="26921"/>
    <cellStyle name="Note 2 3 9 2" xfId="26922"/>
    <cellStyle name="Note 2 3 9 3" xfId="26923"/>
    <cellStyle name="Note 2 3 9 4" xfId="26924"/>
    <cellStyle name="Note 2 4" xfId="26925"/>
    <cellStyle name="Note 2 4 10" xfId="26926"/>
    <cellStyle name="Note 2 4 11" xfId="26927"/>
    <cellStyle name="Note 2 4 12" xfId="26928"/>
    <cellStyle name="Note 2 4 13" xfId="26929"/>
    <cellStyle name="Note 2 4 14" xfId="26930"/>
    <cellStyle name="Note 2 4 15" xfId="26931"/>
    <cellStyle name="Note 2 4 16" xfId="26932"/>
    <cellStyle name="Note 2 4 17" xfId="26933"/>
    <cellStyle name="Note 2 4 18" xfId="26934"/>
    <cellStyle name="Note 2 4 19" xfId="26935"/>
    <cellStyle name="Note 2 4 2" xfId="26936"/>
    <cellStyle name="Note 2 4 2 10" xfId="26937"/>
    <cellStyle name="Note 2 4 2 11" xfId="26938"/>
    <cellStyle name="Note 2 4 2 12" xfId="26939"/>
    <cellStyle name="Note 2 4 2 13" xfId="26940"/>
    <cellStyle name="Note 2 4 2 14" xfId="26941"/>
    <cellStyle name="Note 2 4 2 15" xfId="26942"/>
    <cellStyle name="Note 2 4 2 16" xfId="26943"/>
    <cellStyle name="Note 2 4 2 2" xfId="26944"/>
    <cellStyle name="Note 2 4 2 2 2" xfId="26945"/>
    <cellStyle name="Note 2 4 2 2 3" xfId="26946"/>
    <cellStyle name="Note 2 4 2 2 4" xfId="26947"/>
    <cellStyle name="Note 2 4 2 3" xfId="26948"/>
    <cellStyle name="Note 2 4 2 4" xfId="26949"/>
    <cellStyle name="Note 2 4 2 5" xfId="26950"/>
    <cellStyle name="Note 2 4 2 6" xfId="26951"/>
    <cellStyle name="Note 2 4 2 7" xfId="26952"/>
    <cellStyle name="Note 2 4 2 8" xfId="26953"/>
    <cellStyle name="Note 2 4 2 9" xfId="26954"/>
    <cellStyle name="Note 2 4 20" xfId="26955"/>
    <cellStyle name="Note 2 4 21" xfId="26956"/>
    <cellStyle name="Note 2 4 22" xfId="26957"/>
    <cellStyle name="Note 2 4 23" xfId="26958"/>
    <cellStyle name="Note 2 4 3" xfId="26959"/>
    <cellStyle name="Note 2 4 3 10" xfId="26960"/>
    <cellStyle name="Note 2 4 3 11" xfId="26961"/>
    <cellStyle name="Note 2 4 3 12" xfId="26962"/>
    <cellStyle name="Note 2 4 3 13" xfId="26963"/>
    <cellStyle name="Note 2 4 3 14" xfId="26964"/>
    <cellStyle name="Note 2 4 3 15" xfId="26965"/>
    <cellStyle name="Note 2 4 3 16" xfId="26966"/>
    <cellStyle name="Note 2 4 3 2" xfId="26967"/>
    <cellStyle name="Note 2 4 3 2 2" xfId="26968"/>
    <cellStyle name="Note 2 4 3 2 3" xfId="26969"/>
    <cellStyle name="Note 2 4 3 2 4" xfId="26970"/>
    <cellStyle name="Note 2 4 3 3" xfId="26971"/>
    <cellStyle name="Note 2 4 3 4" xfId="26972"/>
    <cellStyle name="Note 2 4 3 5" xfId="26973"/>
    <cellStyle name="Note 2 4 3 6" xfId="26974"/>
    <cellStyle name="Note 2 4 3 7" xfId="26975"/>
    <cellStyle name="Note 2 4 3 8" xfId="26976"/>
    <cellStyle name="Note 2 4 3 9" xfId="26977"/>
    <cellStyle name="Note 2 4 4" xfId="26978"/>
    <cellStyle name="Note 2 4 4 10" xfId="26979"/>
    <cellStyle name="Note 2 4 4 11" xfId="26980"/>
    <cellStyle name="Note 2 4 4 12" xfId="26981"/>
    <cellStyle name="Note 2 4 4 13" xfId="26982"/>
    <cellStyle name="Note 2 4 4 14" xfId="26983"/>
    <cellStyle name="Note 2 4 4 15" xfId="26984"/>
    <cellStyle name="Note 2 4 4 16" xfId="26985"/>
    <cellStyle name="Note 2 4 4 2" xfId="26986"/>
    <cellStyle name="Note 2 4 4 2 2" xfId="26987"/>
    <cellStyle name="Note 2 4 4 2 3" xfId="26988"/>
    <cellStyle name="Note 2 4 4 2 4" xfId="26989"/>
    <cellStyle name="Note 2 4 4 3" xfId="26990"/>
    <cellStyle name="Note 2 4 4 4" xfId="26991"/>
    <cellStyle name="Note 2 4 4 5" xfId="26992"/>
    <cellStyle name="Note 2 4 4 6" xfId="26993"/>
    <cellStyle name="Note 2 4 4 7" xfId="26994"/>
    <cellStyle name="Note 2 4 4 8" xfId="26995"/>
    <cellStyle name="Note 2 4 4 9" xfId="26996"/>
    <cellStyle name="Note 2 4 5" xfId="26997"/>
    <cellStyle name="Note 2 4 5 10" xfId="26998"/>
    <cellStyle name="Note 2 4 5 11" xfId="26999"/>
    <cellStyle name="Note 2 4 5 12" xfId="27000"/>
    <cellStyle name="Note 2 4 5 13" xfId="27001"/>
    <cellStyle name="Note 2 4 5 14" xfId="27002"/>
    <cellStyle name="Note 2 4 5 15" xfId="27003"/>
    <cellStyle name="Note 2 4 5 16" xfId="27004"/>
    <cellStyle name="Note 2 4 5 2" xfId="27005"/>
    <cellStyle name="Note 2 4 5 2 2" xfId="27006"/>
    <cellStyle name="Note 2 4 5 2 3" xfId="27007"/>
    <cellStyle name="Note 2 4 5 2 4" xfId="27008"/>
    <cellStyle name="Note 2 4 5 3" xfId="27009"/>
    <cellStyle name="Note 2 4 5 4" xfId="27010"/>
    <cellStyle name="Note 2 4 5 5" xfId="27011"/>
    <cellStyle name="Note 2 4 5 6" xfId="27012"/>
    <cellStyle name="Note 2 4 5 7" xfId="27013"/>
    <cellStyle name="Note 2 4 5 8" xfId="27014"/>
    <cellStyle name="Note 2 4 5 9" xfId="27015"/>
    <cellStyle name="Note 2 4 6" xfId="27016"/>
    <cellStyle name="Note 2 4 6 10" xfId="27017"/>
    <cellStyle name="Note 2 4 6 11" xfId="27018"/>
    <cellStyle name="Note 2 4 6 12" xfId="27019"/>
    <cellStyle name="Note 2 4 6 13" xfId="27020"/>
    <cellStyle name="Note 2 4 6 14" xfId="27021"/>
    <cellStyle name="Note 2 4 6 15" xfId="27022"/>
    <cellStyle name="Note 2 4 6 16" xfId="27023"/>
    <cellStyle name="Note 2 4 6 2" xfId="27024"/>
    <cellStyle name="Note 2 4 6 2 2" xfId="27025"/>
    <cellStyle name="Note 2 4 6 2 3" xfId="27026"/>
    <cellStyle name="Note 2 4 6 2 4" xfId="27027"/>
    <cellStyle name="Note 2 4 6 3" xfId="27028"/>
    <cellStyle name="Note 2 4 6 4" xfId="27029"/>
    <cellStyle name="Note 2 4 6 5" xfId="27030"/>
    <cellStyle name="Note 2 4 6 6" xfId="27031"/>
    <cellStyle name="Note 2 4 6 7" xfId="27032"/>
    <cellStyle name="Note 2 4 6 8" xfId="27033"/>
    <cellStyle name="Note 2 4 6 9" xfId="27034"/>
    <cellStyle name="Note 2 4 7" xfId="27035"/>
    <cellStyle name="Note 2 4 7 10" xfId="27036"/>
    <cellStyle name="Note 2 4 7 11" xfId="27037"/>
    <cellStyle name="Note 2 4 7 12" xfId="27038"/>
    <cellStyle name="Note 2 4 7 13" xfId="27039"/>
    <cellStyle name="Note 2 4 7 14" xfId="27040"/>
    <cellStyle name="Note 2 4 7 15" xfId="27041"/>
    <cellStyle name="Note 2 4 7 16" xfId="27042"/>
    <cellStyle name="Note 2 4 7 2" xfId="27043"/>
    <cellStyle name="Note 2 4 7 2 2" xfId="27044"/>
    <cellStyle name="Note 2 4 7 2 3" xfId="27045"/>
    <cellStyle name="Note 2 4 7 2 4" xfId="27046"/>
    <cellStyle name="Note 2 4 7 3" xfId="27047"/>
    <cellStyle name="Note 2 4 7 4" xfId="27048"/>
    <cellStyle name="Note 2 4 7 5" xfId="27049"/>
    <cellStyle name="Note 2 4 7 6" xfId="27050"/>
    <cellStyle name="Note 2 4 7 7" xfId="27051"/>
    <cellStyle name="Note 2 4 7 8" xfId="27052"/>
    <cellStyle name="Note 2 4 7 9" xfId="27053"/>
    <cellStyle name="Note 2 4 8" xfId="27054"/>
    <cellStyle name="Note 2 4 8 10" xfId="27055"/>
    <cellStyle name="Note 2 4 8 11" xfId="27056"/>
    <cellStyle name="Note 2 4 8 12" xfId="27057"/>
    <cellStyle name="Note 2 4 8 13" xfId="27058"/>
    <cellStyle name="Note 2 4 8 14" xfId="27059"/>
    <cellStyle name="Note 2 4 8 15" xfId="27060"/>
    <cellStyle name="Note 2 4 8 16" xfId="27061"/>
    <cellStyle name="Note 2 4 8 2" xfId="27062"/>
    <cellStyle name="Note 2 4 8 2 2" xfId="27063"/>
    <cellStyle name="Note 2 4 8 2 3" xfId="27064"/>
    <cellStyle name="Note 2 4 8 2 4" xfId="27065"/>
    <cellStyle name="Note 2 4 8 3" xfId="27066"/>
    <cellStyle name="Note 2 4 8 4" xfId="27067"/>
    <cellStyle name="Note 2 4 8 5" xfId="27068"/>
    <cellStyle name="Note 2 4 8 6" xfId="27069"/>
    <cellStyle name="Note 2 4 8 7" xfId="27070"/>
    <cellStyle name="Note 2 4 8 8" xfId="27071"/>
    <cellStyle name="Note 2 4 8 9" xfId="27072"/>
    <cellStyle name="Note 2 4 9" xfId="27073"/>
    <cellStyle name="Note 2 4 9 2" xfId="27074"/>
    <cellStyle name="Note 2 4 9 3" xfId="27075"/>
    <cellStyle name="Note 2 4 9 4" xfId="27076"/>
    <cellStyle name="Note 2 5" xfId="27077"/>
    <cellStyle name="Note 2 5 2" xfId="27078"/>
    <cellStyle name="Note 2 5 3" xfId="27079"/>
    <cellStyle name="Note 2 5 4" xfId="27080"/>
    <cellStyle name="Note 2 6" xfId="27081"/>
    <cellStyle name="Note 2 7" xfId="27082"/>
    <cellStyle name="Note 2 8" xfId="27083"/>
    <cellStyle name="Note 2 9" xfId="27084"/>
    <cellStyle name="Note 3" xfId="27085"/>
    <cellStyle name="Note 3 10" xfId="27086"/>
    <cellStyle name="Note 3 11" xfId="27087"/>
    <cellStyle name="Note 3 12" xfId="27088"/>
    <cellStyle name="Note 3 13" xfId="27089"/>
    <cellStyle name="Note 3 14" xfId="27090"/>
    <cellStyle name="Note 3 15" xfId="27091"/>
    <cellStyle name="Note 3 16" xfId="27092"/>
    <cellStyle name="Note 3 17" xfId="27093"/>
    <cellStyle name="Note 3 18" xfId="27094"/>
    <cellStyle name="Note 3 19" xfId="27095"/>
    <cellStyle name="Note 3 2" xfId="27096"/>
    <cellStyle name="Note 3 2 10" xfId="27097"/>
    <cellStyle name="Note 3 2 11" xfId="27098"/>
    <cellStyle name="Note 3 2 12" xfId="27099"/>
    <cellStyle name="Note 3 2 13" xfId="27100"/>
    <cellStyle name="Note 3 2 14" xfId="27101"/>
    <cellStyle name="Note 3 2 15" xfId="27102"/>
    <cellStyle name="Note 3 2 16" xfId="27103"/>
    <cellStyle name="Note 3 2 17" xfId="27104"/>
    <cellStyle name="Note 3 2 18" xfId="27105"/>
    <cellStyle name="Note 3 2 19" xfId="27106"/>
    <cellStyle name="Note 3 2 2" xfId="27107"/>
    <cellStyle name="Note 3 2 2 10" xfId="27108"/>
    <cellStyle name="Note 3 2 2 11" xfId="27109"/>
    <cellStyle name="Note 3 2 2 12" xfId="27110"/>
    <cellStyle name="Note 3 2 2 13" xfId="27111"/>
    <cellStyle name="Note 3 2 2 14" xfId="27112"/>
    <cellStyle name="Note 3 2 2 15" xfId="27113"/>
    <cellStyle name="Note 3 2 2 16" xfId="27114"/>
    <cellStyle name="Note 3 2 2 2" xfId="27115"/>
    <cellStyle name="Note 3 2 2 2 2" xfId="27116"/>
    <cellStyle name="Note 3 2 2 2 3" xfId="27117"/>
    <cellStyle name="Note 3 2 2 2 4" xfId="27118"/>
    <cellStyle name="Note 3 2 2 3" xfId="27119"/>
    <cellStyle name="Note 3 2 2 4" xfId="27120"/>
    <cellStyle name="Note 3 2 2 5" xfId="27121"/>
    <cellStyle name="Note 3 2 2 6" xfId="27122"/>
    <cellStyle name="Note 3 2 2 7" xfId="27123"/>
    <cellStyle name="Note 3 2 2 8" xfId="27124"/>
    <cellStyle name="Note 3 2 2 9" xfId="27125"/>
    <cellStyle name="Note 3 2 20" xfId="27126"/>
    <cellStyle name="Note 3 2 21" xfId="27127"/>
    <cellStyle name="Note 3 2 22" xfId="27128"/>
    <cellStyle name="Note 3 2 23" xfId="27129"/>
    <cellStyle name="Note 3 2 3" xfId="27130"/>
    <cellStyle name="Note 3 2 3 10" xfId="27131"/>
    <cellStyle name="Note 3 2 3 11" xfId="27132"/>
    <cellStyle name="Note 3 2 3 12" xfId="27133"/>
    <cellStyle name="Note 3 2 3 13" xfId="27134"/>
    <cellStyle name="Note 3 2 3 14" xfId="27135"/>
    <cellStyle name="Note 3 2 3 15" xfId="27136"/>
    <cellStyle name="Note 3 2 3 16" xfId="27137"/>
    <cellStyle name="Note 3 2 3 2" xfId="27138"/>
    <cellStyle name="Note 3 2 3 2 2" xfId="27139"/>
    <cellStyle name="Note 3 2 3 2 3" xfId="27140"/>
    <cellStyle name="Note 3 2 3 2 4" xfId="27141"/>
    <cellStyle name="Note 3 2 3 3" xfId="27142"/>
    <cellStyle name="Note 3 2 3 4" xfId="27143"/>
    <cellStyle name="Note 3 2 3 5" xfId="27144"/>
    <cellStyle name="Note 3 2 3 6" xfId="27145"/>
    <cellStyle name="Note 3 2 3 7" xfId="27146"/>
    <cellStyle name="Note 3 2 3 8" xfId="27147"/>
    <cellStyle name="Note 3 2 3 9" xfId="27148"/>
    <cellStyle name="Note 3 2 4" xfId="27149"/>
    <cellStyle name="Note 3 2 4 10" xfId="27150"/>
    <cellStyle name="Note 3 2 4 11" xfId="27151"/>
    <cellStyle name="Note 3 2 4 12" xfId="27152"/>
    <cellStyle name="Note 3 2 4 13" xfId="27153"/>
    <cellStyle name="Note 3 2 4 14" xfId="27154"/>
    <cellStyle name="Note 3 2 4 15" xfId="27155"/>
    <cellStyle name="Note 3 2 4 16" xfId="27156"/>
    <cellStyle name="Note 3 2 4 2" xfId="27157"/>
    <cellStyle name="Note 3 2 4 2 2" xfId="27158"/>
    <cellStyle name="Note 3 2 4 2 3" xfId="27159"/>
    <cellStyle name="Note 3 2 4 2 4" xfId="27160"/>
    <cellStyle name="Note 3 2 4 3" xfId="27161"/>
    <cellStyle name="Note 3 2 4 4" xfId="27162"/>
    <cellStyle name="Note 3 2 4 5" xfId="27163"/>
    <cellStyle name="Note 3 2 4 6" xfId="27164"/>
    <cellStyle name="Note 3 2 4 7" xfId="27165"/>
    <cellStyle name="Note 3 2 4 8" xfId="27166"/>
    <cellStyle name="Note 3 2 4 9" xfId="27167"/>
    <cellStyle name="Note 3 2 5" xfId="27168"/>
    <cellStyle name="Note 3 2 5 10" xfId="27169"/>
    <cellStyle name="Note 3 2 5 11" xfId="27170"/>
    <cellStyle name="Note 3 2 5 12" xfId="27171"/>
    <cellStyle name="Note 3 2 5 13" xfId="27172"/>
    <cellStyle name="Note 3 2 5 14" xfId="27173"/>
    <cellStyle name="Note 3 2 5 15" xfId="27174"/>
    <cellStyle name="Note 3 2 5 16" xfId="27175"/>
    <cellStyle name="Note 3 2 5 2" xfId="27176"/>
    <cellStyle name="Note 3 2 5 2 2" xfId="27177"/>
    <cellStyle name="Note 3 2 5 2 3" xfId="27178"/>
    <cellStyle name="Note 3 2 5 2 4" xfId="27179"/>
    <cellStyle name="Note 3 2 5 3" xfId="27180"/>
    <cellStyle name="Note 3 2 5 4" xfId="27181"/>
    <cellStyle name="Note 3 2 5 5" xfId="27182"/>
    <cellStyle name="Note 3 2 5 6" xfId="27183"/>
    <cellStyle name="Note 3 2 5 7" xfId="27184"/>
    <cellStyle name="Note 3 2 5 8" xfId="27185"/>
    <cellStyle name="Note 3 2 5 9" xfId="27186"/>
    <cellStyle name="Note 3 2 6" xfId="27187"/>
    <cellStyle name="Note 3 2 6 10" xfId="27188"/>
    <cellStyle name="Note 3 2 6 11" xfId="27189"/>
    <cellStyle name="Note 3 2 6 12" xfId="27190"/>
    <cellStyle name="Note 3 2 6 13" xfId="27191"/>
    <cellStyle name="Note 3 2 6 14" xfId="27192"/>
    <cellStyle name="Note 3 2 6 15" xfId="27193"/>
    <cellStyle name="Note 3 2 6 16" xfId="27194"/>
    <cellStyle name="Note 3 2 6 2" xfId="27195"/>
    <cellStyle name="Note 3 2 6 2 2" xfId="27196"/>
    <cellStyle name="Note 3 2 6 2 3" xfId="27197"/>
    <cellStyle name="Note 3 2 6 2 4" xfId="27198"/>
    <cellStyle name="Note 3 2 6 3" xfId="27199"/>
    <cellStyle name="Note 3 2 6 4" xfId="27200"/>
    <cellStyle name="Note 3 2 6 5" xfId="27201"/>
    <cellStyle name="Note 3 2 6 6" xfId="27202"/>
    <cellStyle name="Note 3 2 6 7" xfId="27203"/>
    <cellStyle name="Note 3 2 6 8" xfId="27204"/>
    <cellStyle name="Note 3 2 6 9" xfId="27205"/>
    <cellStyle name="Note 3 2 7" xfId="27206"/>
    <cellStyle name="Note 3 2 7 10" xfId="27207"/>
    <cellStyle name="Note 3 2 7 11" xfId="27208"/>
    <cellStyle name="Note 3 2 7 12" xfId="27209"/>
    <cellStyle name="Note 3 2 7 13" xfId="27210"/>
    <cellStyle name="Note 3 2 7 14" xfId="27211"/>
    <cellStyle name="Note 3 2 7 15" xfId="27212"/>
    <cellStyle name="Note 3 2 7 16" xfId="27213"/>
    <cellStyle name="Note 3 2 7 2" xfId="27214"/>
    <cellStyle name="Note 3 2 7 2 2" xfId="27215"/>
    <cellStyle name="Note 3 2 7 2 3" xfId="27216"/>
    <cellStyle name="Note 3 2 7 2 4" xfId="27217"/>
    <cellStyle name="Note 3 2 7 3" xfId="27218"/>
    <cellStyle name="Note 3 2 7 4" xfId="27219"/>
    <cellStyle name="Note 3 2 7 5" xfId="27220"/>
    <cellStyle name="Note 3 2 7 6" xfId="27221"/>
    <cellStyle name="Note 3 2 7 7" xfId="27222"/>
    <cellStyle name="Note 3 2 7 8" xfId="27223"/>
    <cellStyle name="Note 3 2 7 9" xfId="27224"/>
    <cellStyle name="Note 3 2 8" xfId="27225"/>
    <cellStyle name="Note 3 2 8 10" xfId="27226"/>
    <cellStyle name="Note 3 2 8 11" xfId="27227"/>
    <cellStyle name="Note 3 2 8 12" xfId="27228"/>
    <cellStyle name="Note 3 2 8 13" xfId="27229"/>
    <cellStyle name="Note 3 2 8 14" xfId="27230"/>
    <cellStyle name="Note 3 2 8 15" xfId="27231"/>
    <cellStyle name="Note 3 2 8 16" xfId="27232"/>
    <cellStyle name="Note 3 2 8 2" xfId="27233"/>
    <cellStyle name="Note 3 2 8 2 2" xfId="27234"/>
    <cellStyle name="Note 3 2 8 2 3" xfId="27235"/>
    <cellStyle name="Note 3 2 8 2 4" xfId="27236"/>
    <cellStyle name="Note 3 2 8 3" xfId="27237"/>
    <cellStyle name="Note 3 2 8 4" xfId="27238"/>
    <cellStyle name="Note 3 2 8 5" xfId="27239"/>
    <cellStyle name="Note 3 2 8 6" xfId="27240"/>
    <cellStyle name="Note 3 2 8 7" xfId="27241"/>
    <cellStyle name="Note 3 2 8 8" xfId="27242"/>
    <cellStyle name="Note 3 2 8 9" xfId="27243"/>
    <cellStyle name="Note 3 2 9" xfId="27244"/>
    <cellStyle name="Note 3 2 9 2" xfId="27245"/>
    <cellStyle name="Note 3 2 9 3" xfId="27246"/>
    <cellStyle name="Note 3 2 9 4" xfId="27247"/>
    <cellStyle name="Note 3 3" xfId="27248"/>
    <cellStyle name="Note 3 3 10" xfId="27249"/>
    <cellStyle name="Note 3 3 11" xfId="27250"/>
    <cellStyle name="Note 3 3 12" xfId="27251"/>
    <cellStyle name="Note 3 3 13" xfId="27252"/>
    <cellStyle name="Note 3 3 14" xfId="27253"/>
    <cellStyle name="Note 3 3 15" xfId="27254"/>
    <cellStyle name="Note 3 3 16" xfId="27255"/>
    <cellStyle name="Note 3 3 17" xfId="27256"/>
    <cellStyle name="Note 3 3 18" xfId="27257"/>
    <cellStyle name="Note 3 3 19" xfId="27258"/>
    <cellStyle name="Note 3 3 2" xfId="27259"/>
    <cellStyle name="Note 3 3 2 10" xfId="27260"/>
    <cellStyle name="Note 3 3 2 11" xfId="27261"/>
    <cellStyle name="Note 3 3 2 12" xfId="27262"/>
    <cellStyle name="Note 3 3 2 13" xfId="27263"/>
    <cellStyle name="Note 3 3 2 14" xfId="27264"/>
    <cellStyle name="Note 3 3 2 15" xfId="27265"/>
    <cellStyle name="Note 3 3 2 16" xfId="27266"/>
    <cellStyle name="Note 3 3 2 2" xfId="27267"/>
    <cellStyle name="Note 3 3 2 2 2" xfId="27268"/>
    <cellStyle name="Note 3 3 2 2 3" xfId="27269"/>
    <cellStyle name="Note 3 3 2 2 4" xfId="27270"/>
    <cellStyle name="Note 3 3 2 3" xfId="27271"/>
    <cellStyle name="Note 3 3 2 4" xfId="27272"/>
    <cellStyle name="Note 3 3 2 5" xfId="27273"/>
    <cellStyle name="Note 3 3 2 6" xfId="27274"/>
    <cellStyle name="Note 3 3 2 7" xfId="27275"/>
    <cellStyle name="Note 3 3 2 8" xfId="27276"/>
    <cellStyle name="Note 3 3 2 9" xfId="27277"/>
    <cellStyle name="Note 3 3 20" xfId="27278"/>
    <cellStyle name="Note 3 3 21" xfId="27279"/>
    <cellStyle name="Note 3 3 22" xfId="27280"/>
    <cellStyle name="Note 3 3 23" xfId="27281"/>
    <cellStyle name="Note 3 3 3" xfId="27282"/>
    <cellStyle name="Note 3 3 3 10" xfId="27283"/>
    <cellStyle name="Note 3 3 3 11" xfId="27284"/>
    <cellStyle name="Note 3 3 3 12" xfId="27285"/>
    <cellStyle name="Note 3 3 3 13" xfId="27286"/>
    <cellStyle name="Note 3 3 3 14" xfId="27287"/>
    <cellStyle name="Note 3 3 3 15" xfId="27288"/>
    <cellStyle name="Note 3 3 3 16" xfId="27289"/>
    <cellStyle name="Note 3 3 3 2" xfId="27290"/>
    <cellStyle name="Note 3 3 3 2 2" xfId="27291"/>
    <cellStyle name="Note 3 3 3 2 3" xfId="27292"/>
    <cellStyle name="Note 3 3 3 2 4" xfId="27293"/>
    <cellStyle name="Note 3 3 3 3" xfId="27294"/>
    <cellStyle name="Note 3 3 3 4" xfId="27295"/>
    <cellStyle name="Note 3 3 3 5" xfId="27296"/>
    <cellStyle name="Note 3 3 3 6" xfId="27297"/>
    <cellStyle name="Note 3 3 3 7" xfId="27298"/>
    <cellStyle name="Note 3 3 3 8" xfId="27299"/>
    <cellStyle name="Note 3 3 3 9" xfId="27300"/>
    <cellStyle name="Note 3 3 4" xfId="27301"/>
    <cellStyle name="Note 3 3 4 10" xfId="27302"/>
    <cellStyle name="Note 3 3 4 11" xfId="27303"/>
    <cellStyle name="Note 3 3 4 12" xfId="27304"/>
    <cellStyle name="Note 3 3 4 13" xfId="27305"/>
    <cellStyle name="Note 3 3 4 14" xfId="27306"/>
    <cellStyle name="Note 3 3 4 15" xfId="27307"/>
    <cellStyle name="Note 3 3 4 16" xfId="27308"/>
    <cellStyle name="Note 3 3 4 2" xfId="27309"/>
    <cellStyle name="Note 3 3 4 2 2" xfId="27310"/>
    <cellStyle name="Note 3 3 4 2 3" xfId="27311"/>
    <cellStyle name="Note 3 3 4 2 4" xfId="27312"/>
    <cellStyle name="Note 3 3 4 3" xfId="27313"/>
    <cellStyle name="Note 3 3 4 4" xfId="27314"/>
    <cellStyle name="Note 3 3 4 5" xfId="27315"/>
    <cellStyle name="Note 3 3 4 6" xfId="27316"/>
    <cellStyle name="Note 3 3 4 7" xfId="27317"/>
    <cellStyle name="Note 3 3 4 8" xfId="27318"/>
    <cellStyle name="Note 3 3 4 9" xfId="27319"/>
    <cellStyle name="Note 3 3 5" xfId="27320"/>
    <cellStyle name="Note 3 3 5 10" xfId="27321"/>
    <cellStyle name="Note 3 3 5 11" xfId="27322"/>
    <cellStyle name="Note 3 3 5 12" xfId="27323"/>
    <cellStyle name="Note 3 3 5 13" xfId="27324"/>
    <cellStyle name="Note 3 3 5 14" xfId="27325"/>
    <cellStyle name="Note 3 3 5 15" xfId="27326"/>
    <cellStyle name="Note 3 3 5 16" xfId="27327"/>
    <cellStyle name="Note 3 3 5 2" xfId="27328"/>
    <cellStyle name="Note 3 3 5 2 2" xfId="27329"/>
    <cellStyle name="Note 3 3 5 2 3" xfId="27330"/>
    <cellStyle name="Note 3 3 5 2 4" xfId="27331"/>
    <cellStyle name="Note 3 3 5 3" xfId="27332"/>
    <cellStyle name="Note 3 3 5 4" xfId="27333"/>
    <cellStyle name="Note 3 3 5 5" xfId="27334"/>
    <cellStyle name="Note 3 3 5 6" xfId="27335"/>
    <cellStyle name="Note 3 3 5 7" xfId="27336"/>
    <cellStyle name="Note 3 3 5 8" xfId="27337"/>
    <cellStyle name="Note 3 3 5 9" xfId="27338"/>
    <cellStyle name="Note 3 3 6" xfId="27339"/>
    <cellStyle name="Note 3 3 6 10" xfId="27340"/>
    <cellStyle name="Note 3 3 6 11" xfId="27341"/>
    <cellStyle name="Note 3 3 6 12" xfId="27342"/>
    <cellStyle name="Note 3 3 6 13" xfId="27343"/>
    <cellStyle name="Note 3 3 6 14" xfId="27344"/>
    <cellStyle name="Note 3 3 6 15" xfId="27345"/>
    <cellStyle name="Note 3 3 6 16" xfId="27346"/>
    <cellStyle name="Note 3 3 6 2" xfId="27347"/>
    <cellStyle name="Note 3 3 6 2 2" xfId="27348"/>
    <cellStyle name="Note 3 3 6 2 3" xfId="27349"/>
    <cellStyle name="Note 3 3 6 2 4" xfId="27350"/>
    <cellStyle name="Note 3 3 6 3" xfId="27351"/>
    <cellStyle name="Note 3 3 6 4" xfId="27352"/>
    <cellStyle name="Note 3 3 6 5" xfId="27353"/>
    <cellStyle name="Note 3 3 6 6" xfId="27354"/>
    <cellStyle name="Note 3 3 6 7" xfId="27355"/>
    <cellStyle name="Note 3 3 6 8" xfId="27356"/>
    <cellStyle name="Note 3 3 6 9" xfId="27357"/>
    <cellStyle name="Note 3 3 7" xfId="27358"/>
    <cellStyle name="Note 3 3 7 10" xfId="27359"/>
    <cellStyle name="Note 3 3 7 11" xfId="27360"/>
    <cellStyle name="Note 3 3 7 12" xfId="27361"/>
    <cellStyle name="Note 3 3 7 13" xfId="27362"/>
    <cellStyle name="Note 3 3 7 14" xfId="27363"/>
    <cellStyle name="Note 3 3 7 15" xfId="27364"/>
    <cellStyle name="Note 3 3 7 16" xfId="27365"/>
    <cellStyle name="Note 3 3 7 2" xfId="27366"/>
    <cellStyle name="Note 3 3 7 2 2" xfId="27367"/>
    <cellStyle name="Note 3 3 7 2 3" xfId="27368"/>
    <cellStyle name="Note 3 3 7 2 4" xfId="27369"/>
    <cellStyle name="Note 3 3 7 3" xfId="27370"/>
    <cellStyle name="Note 3 3 7 4" xfId="27371"/>
    <cellStyle name="Note 3 3 7 5" xfId="27372"/>
    <cellStyle name="Note 3 3 7 6" xfId="27373"/>
    <cellStyle name="Note 3 3 7 7" xfId="27374"/>
    <cellStyle name="Note 3 3 7 8" xfId="27375"/>
    <cellStyle name="Note 3 3 7 9" xfId="27376"/>
    <cellStyle name="Note 3 3 8" xfId="27377"/>
    <cellStyle name="Note 3 3 8 10" xfId="27378"/>
    <cellStyle name="Note 3 3 8 11" xfId="27379"/>
    <cellStyle name="Note 3 3 8 12" xfId="27380"/>
    <cellStyle name="Note 3 3 8 13" xfId="27381"/>
    <cellStyle name="Note 3 3 8 14" xfId="27382"/>
    <cellStyle name="Note 3 3 8 15" xfId="27383"/>
    <cellStyle name="Note 3 3 8 16" xfId="27384"/>
    <cellStyle name="Note 3 3 8 2" xfId="27385"/>
    <cellStyle name="Note 3 3 8 2 2" xfId="27386"/>
    <cellStyle name="Note 3 3 8 2 3" xfId="27387"/>
    <cellStyle name="Note 3 3 8 2 4" xfId="27388"/>
    <cellStyle name="Note 3 3 8 3" xfId="27389"/>
    <cellStyle name="Note 3 3 8 4" xfId="27390"/>
    <cellStyle name="Note 3 3 8 5" xfId="27391"/>
    <cellStyle name="Note 3 3 8 6" xfId="27392"/>
    <cellStyle name="Note 3 3 8 7" xfId="27393"/>
    <cellStyle name="Note 3 3 8 8" xfId="27394"/>
    <cellStyle name="Note 3 3 8 9" xfId="27395"/>
    <cellStyle name="Note 3 3 9" xfId="27396"/>
    <cellStyle name="Note 3 3 9 2" xfId="27397"/>
    <cellStyle name="Note 3 3 9 3" xfId="27398"/>
    <cellStyle name="Note 3 3 9 4" xfId="27399"/>
    <cellStyle name="Note 3 4" xfId="27400"/>
    <cellStyle name="Note 3 4 10" xfId="27401"/>
    <cellStyle name="Note 3 4 11" xfId="27402"/>
    <cellStyle name="Note 3 4 12" xfId="27403"/>
    <cellStyle name="Note 3 4 13" xfId="27404"/>
    <cellStyle name="Note 3 4 14" xfId="27405"/>
    <cellStyle name="Note 3 4 15" xfId="27406"/>
    <cellStyle name="Note 3 4 16" xfId="27407"/>
    <cellStyle name="Note 3 4 17" xfId="27408"/>
    <cellStyle name="Note 3 4 18" xfId="27409"/>
    <cellStyle name="Note 3 4 19" xfId="27410"/>
    <cellStyle name="Note 3 4 2" xfId="27411"/>
    <cellStyle name="Note 3 4 2 10" xfId="27412"/>
    <cellStyle name="Note 3 4 2 11" xfId="27413"/>
    <cellStyle name="Note 3 4 2 12" xfId="27414"/>
    <cellStyle name="Note 3 4 2 13" xfId="27415"/>
    <cellStyle name="Note 3 4 2 14" xfId="27416"/>
    <cellStyle name="Note 3 4 2 15" xfId="27417"/>
    <cellStyle name="Note 3 4 2 16" xfId="27418"/>
    <cellStyle name="Note 3 4 2 2" xfId="27419"/>
    <cellStyle name="Note 3 4 2 2 2" xfId="27420"/>
    <cellStyle name="Note 3 4 2 2 3" xfId="27421"/>
    <cellStyle name="Note 3 4 2 2 4" xfId="27422"/>
    <cellStyle name="Note 3 4 2 3" xfId="27423"/>
    <cellStyle name="Note 3 4 2 4" xfId="27424"/>
    <cellStyle name="Note 3 4 2 5" xfId="27425"/>
    <cellStyle name="Note 3 4 2 6" xfId="27426"/>
    <cellStyle name="Note 3 4 2 7" xfId="27427"/>
    <cellStyle name="Note 3 4 2 8" xfId="27428"/>
    <cellStyle name="Note 3 4 2 9" xfId="27429"/>
    <cellStyle name="Note 3 4 20" xfId="27430"/>
    <cellStyle name="Note 3 4 21" xfId="27431"/>
    <cellStyle name="Note 3 4 22" xfId="27432"/>
    <cellStyle name="Note 3 4 23" xfId="27433"/>
    <cellStyle name="Note 3 4 3" xfId="27434"/>
    <cellStyle name="Note 3 4 3 10" xfId="27435"/>
    <cellStyle name="Note 3 4 3 11" xfId="27436"/>
    <cellStyle name="Note 3 4 3 12" xfId="27437"/>
    <cellStyle name="Note 3 4 3 13" xfId="27438"/>
    <cellStyle name="Note 3 4 3 14" xfId="27439"/>
    <cellStyle name="Note 3 4 3 15" xfId="27440"/>
    <cellStyle name="Note 3 4 3 16" xfId="27441"/>
    <cellStyle name="Note 3 4 3 2" xfId="27442"/>
    <cellStyle name="Note 3 4 3 2 2" xfId="27443"/>
    <cellStyle name="Note 3 4 3 2 3" xfId="27444"/>
    <cellStyle name="Note 3 4 3 2 4" xfId="27445"/>
    <cellStyle name="Note 3 4 3 3" xfId="27446"/>
    <cellStyle name="Note 3 4 3 4" xfId="27447"/>
    <cellStyle name="Note 3 4 3 5" xfId="27448"/>
    <cellStyle name="Note 3 4 3 6" xfId="27449"/>
    <cellStyle name="Note 3 4 3 7" xfId="27450"/>
    <cellStyle name="Note 3 4 3 8" xfId="27451"/>
    <cellStyle name="Note 3 4 3 9" xfId="27452"/>
    <cellStyle name="Note 3 4 4" xfId="27453"/>
    <cellStyle name="Note 3 4 4 10" xfId="27454"/>
    <cellStyle name="Note 3 4 4 11" xfId="27455"/>
    <cellStyle name="Note 3 4 4 12" xfId="27456"/>
    <cellStyle name="Note 3 4 4 13" xfId="27457"/>
    <cellStyle name="Note 3 4 4 14" xfId="27458"/>
    <cellStyle name="Note 3 4 4 15" xfId="27459"/>
    <cellStyle name="Note 3 4 4 16" xfId="27460"/>
    <cellStyle name="Note 3 4 4 2" xfId="27461"/>
    <cellStyle name="Note 3 4 4 2 2" xfId="27462"/>
    <cellStyle name="Note 3 4 4 2 3" xfId="27463"/>
    <cellStyle name="Note 3 4 4 2 4" xfId="27464"/>
    <cellStyle name="Note 3 4 4 3" xfId="27465"/>
    <cellStyle name="Note 3 4 4 4" xfId="27466"/>
    <cellStyle name="Note 3 4 4 5" xfId="27467"/>
    <cellStyle name="Note 3 4 4 6" xfId="27468"/>
    <cellStyle name="Note 3 4 4 7" xfId="27469"/>
    <cellStyle name="Note 3 4 4 8" xfId="27470"/>
    <cellStyle name="Note 3 4 4 9" xfId="27471"/>
    <cellStyle name="Note 3 4 5" xfId="27472"/>
    <cellStyle name="Note 3 4 5 10" xfId="27473"/>
    <cellStyle name="Note 3 4 5 11" xfId="27474"/>
    <cellStyle name="Note 3 4 5 12" xfId="27475"/>
    <cellStyle name="Note 3 4 5 13" xfId="27476"/>
    <cellStyle name="Note 3 4 5 14" xfId="27477"/>
    <cellStyle name="Note 3 4 5 15" xfId="27478"/>
    <cellStyle name="Note 3 4 5 16" xfId="27479"/>
    <cellStyle name="Note 3 4 5 2" xfId="27480"/>
    <cellStyle name="Note 3 4 5 2 2" xfId="27481"/>
    <cellStyle name="Note 3 4 5 2 3" xfId="27482"/>
    <cellStyle name="Note 3 4 5 2 4" xfId="27483"/>
    <cellStyle name="Note 3 4 5 3" xfId="27484"/>
    <cellStyle name="Note 3 4 5 4" xfId="27485"/>
    <cellStyle name="Note 3 4 5 5" xfId="27486"/>
    <cellStyle name="Note 3 4 5 6" xfId="27487"/>
    <cellStyle name="Note 3 4 5 7" xfId="27488"/>
    <cellStyle name="Note 3 4 5 8" xfId="27489"/>
    <cellStyle name="Note 3 4 5 9" xfId="27490"/>
    <cellStyle name="Note 3 4 6" xfId="27491"/>
    <cellStyle name="Note 3 4 6 10" xfId="27492"/>
    <cellStyle name="Note 3 4 6 11" xfId="27493"/>
    <cellStyle name="Note 3 4 6 12" xfId="27494"/>
    <cellStyle name="Note 3 4 6 13" xfId="27495"/>
    <cellStyle name="Note 3 4 6 14" xfId="27496"/>
    <cellStyle name="Note 3 4 6 15" xfId="27497"/>
    <cellStyle name="Note 3 4 6 16" xfId="27498"/>
    <cellStyle name="Note 3 4 6 2" xfId="27499"/>
    <cellStyle name="Note 3 4 6 2 2" xfId="27500"/>
    <cellStyle name="Note 3 4 6 2 3" xfId="27501"/>
    <cellStyle name="Note 3 4 6 2 4" xfId="27502"/>
    <cellStyle name="Note 3 4 6 3" xfId="27503"/>
    <cellStyle name="Note 3 4 6 4" xfId="27504"/>
    <cellStyle name="Note 3 4 6 5" xfId="27505"/>
    <cellStyle name="Note 3 4 6 6" xfId="27506"/>
    <cellStyle name="Note 3 4 6 7" xfId="27507"/>
    <cellStyle name="Note 3 4 6 8" xfId="27508"/>
    <cellStyle name="Note 3 4 6 9" xfId="27509"/>
    <cellStyle name="Note 3 4 7" xfId="27510"/>
    <cellStyle name="Note 3 4 7 10" xfId="27511"/>
    <cellStyle name="Note 3 4 7 11" xfId="27512"/>
    <cellStyle name="Note 3 4 7 12" xfId="27513"/>
    <cellStyle name="Note 3 4 7 13" xfId="27514"/>
    <cellStyle name="Note 3 4 7 14" xfId="27515"/>
    <cellStyle name="Note 3 4 7 15" xfId="27516"/>
    <cellStyle name="Note 3 4 7 16" xfId="27517"/>
    <cellStyle name="Note 3 4 7 2" xfId="27518"/>
    <cellStyle name="Note 3 4 7 2 2" xfId="27519"/>
    <cellStyle name="Note 3 4 7 2 3" xfId="27520"/>
    <cellStyle name="Note 3 4 7 2 4" xfId="27521"/>
    <cellStyle name="Note 3 4 7 3" xfId="27522"/>
    <cellStyle name="Note 3 4 7 4" xfId="27523"/>
    <cellStyle name="Note 3 4 7 5" xfId="27524"/>
    <cellStyle name="Note 3 4 7 6" xfId="27525"/>
    <cellStyle name="Note 3 4 7 7" xfId="27526"/>
    <cellStyle name="Note 3 4 7 8" xfId="27527"/>
    <cellStyle name="Note 3 4 7 9" xfId="27528"/>
    <cellStyle name="Note 3 4 8" xfId="27529"/>
    <cellStyle name="Note 3 4 8 10" xfId="27530"/>
    <cellStyle name="Note 3 4 8 11" xfId="27531"/>
    <cellStyle name="Note 3 4 8 12" xfId="27532"/>
    <cellStyle name="Note 3 4 8 13" xfId="27533"/>
    <cellStyle name="Note 3 4 8 14" xfId="27534"/>
    <cellStyle name="Note 3 4 8 15" xfId="27535"/>
    <cellStyle name="Note 3 4 8 16" xfId="27536"/>
    <cellStyle name="Note 3 4 8 2" xfId="27537"/>
    <cellStyle name="Note 3 4 8 2 2" xfId="27538"/>
    <cellStyle name="Note 3 4 8 2 3" xfId="27539"/>
    <cellStyle name="Note 3 4 8 2 4" xfId="27540"/>
    <cellStyle name="Note 3 4 8 3" xfId="27541"/>
    <cellStyle name="Note 3 4 8 4" xfId="27542"/>
    <cellStyle name="Note 3 4 8 5" xfId="27543"/>
    <cellStyle name="Note 3 4 8 6" xfId="27544"/>
    <cellStyle name="Note 3 4 8 7" xfId="27545"/>
    <cellStyle name="Note 3 4 8 8" xfId="27546"/>
    <cellStyle name="Note 3 4 8 9" xfId="27547"/>
    <cellStyle name="Note 3 4 9" xfId="27548"/>
    <cellStyle name="Note 3 4 9 2" xfId="27549"/>
    <cellStyle name="Note 3 4 9 3" xfId="27550"/>
    <cellStyle name="Note 3 4 9 4" xfId="27551"/>
    <cellStyle name="Note 3 5" xfId="27552"/>
    <cellStyle name="Note 3 5 2" xfId="27553"/>
    <cellStyle name="Note 3 5 3" xfId="27554"/>
    <cellStyle name="Note 3 5 4" xfId="27555"/>
    <cellStyle name="Note 3 6" xfId="27556"/>
    <cellStyle name="Note 3 7" xfId="27557"/>
    <cellStyle name="Note 3 8" xfId="27558"/>
    <cellStyle name="Note 3 9" xfId="27559"/>
    <cellStyle name="Note 4" xfId="27560"/>
    <cellStyle name="Note 4 10" xfId="27561"/>
    <cellStyle name="Note 4 11" xfId="27562"/>
    <cellStyle name="Note 4 12" xfId="27563"/>
    <cellStyle name="Note 4 13" xfId="27564"/>
    <cellStyle name="Note 4 14" xfId="27565"/>
    <cellStyle name="Note 4 15" xfId="27566"/>
    <cellStyle name="Note 4 16" xfId="27567"/>
    <cellStyle name="Note 4 17" xfId="27568"/>
    <cellStyle name="Note 4 18" xfId="27569"/>
    <cellStyle name="Note 4 19" xfId="27570"/>
    <cellStyle name="Note 4 2" xfId="27571"/>
    <cellStyle name="Note 4 2 10" xfId="27572"/>
    <cellStyle name="Note 4 2 11" xfId="27573"/>
    <cellStyle name="Note 4 2 12" xfId="27574"/>
    <cellStyle name="Note 4 2 13" xfId="27575"/>
    <cellStyle name="Note 4 2 14" xfId="27576"/>
    <cellStyle name="Note 4 2 15" xfId="27577"/>
    <cellStyle name="Note 4 2 16" xfId="27578"/>
    <cellStyle name="Note 4 2 17" xfId="27579"/>
    <cellStyle name="Note 4 2 18" xfId="27580"/>
    <cellStyle name="Note 4 2 19" xfId="27581"/>
    <cellStyle name="Note 4 2 2" xfId="27582"/>
    <cellStyle name="Note 4 2 2 10" xfId="27583"/>
    <cellStyle name="Note 4 2 2 11" xfId="27584"/>
    <cellStyle name="Note 4 2 2 12" xfId="27585"/>
    <cellStyle name="Note 4 2 2 13" xfId="27586"/>
    <cellStyle name="Note 4 2 2 14" xfId="27587"/>
    <cellStyle name="Note 4 2 2 15" xfId="27588"/>
    <cellStyle name="Note 4 2 2 16" xfId="27589"/>
    <cellStyle name="Note 4 2 2 2" xfId="27590"/>
    <cellStyle name="Note 4 2 2 2 2" xfId="27591"/>
    <cellStyle name="Note 4 2 2 2 3" xfId="27592"/>
    <cellStyle name="Note 4 2 2 2 4" xfId="27593"/>
    <cellStyle name="Note 4 2 2 3" xfId="27594"/>
    <cellStyle name="Note 4 2 2 4" xfId="27595"/>
    <cellStyle name="Note 4 2 2 5" xfId="27596"/>
    <cellStyle name="Note 4 2 2 6" xfId="27597"/>
    <cellStyle name="Note 4 2 2 7" xfId="27598"/>
    <cellStyle name="Note 4 2 2 8" xfId="27599"/>
    <cellStyle name="Note 4 2 2 9" xfId="27600"/>
    <cellStyle name="Note 4 2 20" xfId="27601"/>
    <cellStyle name="Note 4 2 21" xfId="27602"/>
    <cellStyle name="Note 4 2 22" xfId="27603"/>
    <cellStyle name="Note 4 2 23" xfId="27604"/>
    <cellStyle name="Note 4 2 3" xfId="27605"/>
    <cellStyle name="Note 4 2 3 10" xfId="27606"/>
    <cellStyle name="Note 4 2 3 11" xfId="27607"/>
    <cellStyle name="Note 4 2 3 12" xfId="27608"/>
    <cellStyle name="Note 4 2 3 13" xfId="27609"/>
    <cellStyle name="Note 4 2 3 14" xfId="27610"/>
    <cellStyle name="Note 4 2 3 15" xfId="27611"/>
    <cellStyle name="Note 4 2 3 16" xfId="27612"/>
    <cellStyle name="Note 4 2 3 2" xfId="27613"/>
    <cellStyle name="Note 4 2 3 2 2" xfId="27614"/>
    <cellStyle name="Note 4 2 3 2 3" xfId="27615"/>
    <cellStyle name="Note 4 2 3 2 4" xfId="27616"/>
    <cellStyle name="Note 4 2 3 3" xfId="27617"/>
    <cellStyle name="Note 4 2 3 4" xfId="27618"/>
    <cellStyle name="Note 4 2 3 5" xfId="27619"/>
    <cellStyle name="Note 4 2 3 6" xfId="27620"/>
    <cellStyle name="Note 4 2 3 7" xfId="27621"/>
    <cellStyle name="Note 4 2 3 8" xfId="27622"/>
    <cellStyle name="Note 4 2 3 9" xfId="27623"/>
    <cellStyle name="Note 4 2 4" xfId="27624"/>
    <cellStyle name="Note 4 2 4 10" xfId="27625"/>
    <cellStyle name="Note 4 2 4 11" xfId="27626"/>
    <cellStyle name="Note 4 2 4 12" xfId="27627"/>
    <cellStyle name="Note 4 2 4 13" xfId="27628"/>
    <cellStyle name="Note 4 2 4 14" xfId="27629"/>
    <cellStyle name="Note 4 2 4 15" xfId="27630"/>
    <cellStyle name="Note 4 2 4 16" xfId="27631"/>
    <cellStyle name="Note 4 2 4 2" xfId="27632"/>
    <cellStyle name="Note 4 2 4 2 2" xfId="27633"/>
    <cellStyle name="Note 4 2 4 2 3" xfId="27634"/>
    <cellStyle name="Note 4 2 4 2 4" xfId="27635"/>
    <cellStyle name="Note 4 2 4 3" xfId="27636"/>
    <cellStyle name="Note 4 2 4 4" xfId="27637"/>
    <cellStyle name="Note 4 2 4 5" xfId="27638"/>
    <cellStyle name="Note 4 2 4 6" xfId="27639"/>
    <cellStyle name="Note 4 2 4 7" xfId="27640"/>
    <cellStyle name="Note 4 2 4 8" xfId="27641"/>
    <cellStyle name="Note 4 2 4 9" xfId="27642"/>
    <cellStyle name="Note 4 2 5" xfId="27643"/>
    <cellStyle name="Note 4 2 5 10" xfId="27644"/>
    <cellStyle name="Note 4 2 5 11" xfId="27645"/>
    <cellStyle name="Note 4 2 5 12" xfId="27646"/>
    <cellStyle name="Note 4 2 5 13" xfId="27647"/>
    <cellStyle name="Note 4 2 5 14" xfId="27648"/>
    <cellStyle name="Note 4 2 5 15" xfId="27649"/>
    <cellStyle name="Note 4 2 5 16" xfId="27650"/>
    <cellStyle name="Note 4 2 5 2" xfId="27651"/>
    <cellStyle name="Note 4 2 5 2 2" xfId="27652"/>
    <cellStyle name="Note 4 2 5 2 3" xfId="27653"/>
    <cellStyle name="Note 4 2 5 2 4" xfId="27654"/>
    <cellStyle name="Note 4 2 5 3" xfId="27655"/>
    <cellStyle name="Note 4 2 5 4" xfId="27656"/>
    <cellStyle name="Note 4 2 5 5" xfId="27657"/>
    <cellStyle name="Note 4 2 5 6" xfId="27658"/>
    <cellStyle name="Note 4 2 5 7" xfId="27659"/>
    <cellStyle name="Note 4 2 5 8" xfId="27660"/>
    <cellStyle name="Note 4 2 5 9" xfId="27661"/>
    <cellStyle name="Note 4 2 6" xfId="27662"/>
    <cellStyle name="Note 4 2 6 10" xfId="27663"/>
    <cellStyle name="Note 4 2 6 11" xfId="27664"/>
    <cellStyle name="Note 4 2 6 12" xfId="27665"/>
    <cellStyle name="Note 4 2 6 13" xfId="27666"/>
    <cellStyle name="Note 4 2 6 14" xfId="27667"/>
    <cellStyle name="Note 4 2 6 15" xfId="27668"/>
    <cellStyle name="Note 4 2 6 16" xfId="27669"/>
    <cellStyle name="Note 4 2 6 2" xfId="27670"/>
    <cellStyle name="Note 4 2 6 2 2" xfId="27671"/>
    <cellStyle name="Note 4 2 6 2 3" xfId="27672"/>
    <cellStyle name="Note 4 2 6 2 4" xfId="27673"/>
    <cellStyle name="Note 4 2 6 3" xfId="27674"/>
    <cellStyle name="Note 4 2 6 4" xfId="27675"/>
    <cellStyle name="Note 4 2 6 5" xfId="27676"/>
    <cellStyle name="Note 4 2 6 6" xfId="27677"/>
    <cellStyle name="Note 4 2 6 7" xfId="27678"/>
    <cellStyle name="Note 4 2 6 8" xfId="27679"/>
    <cellStyle name="Note 4 2 6 9" xfId="27680"/>
    <cellStyle name="Note 4 2 7" xfId="27681"/>
    <cellStyle name="Note 4 2 7 10" xfId="27682"/>
    <cellStyle name="Note 4 2 7 11" xfId="27683"/>
    <cellStyle name="Note 4 2 7 12" xfId="27684"/>
    <cellStyle name="Note 4 2 7 13" xfId="27685"/>
    <cellStyle name="Note 4 2 7 14" xfId="27686"/>
    <cellStyle name="Note 4 2 7 15" xfId="27687"/>
    <cellStyle name="Note 4 2 7 16" xfId="27688"/>
    <cellStyle name="Note 4 2 7 2" xfId="27689"/>
    <cellStyle name="Note 4 2 7 2 2" xfId="27690"/>
    <cellStyle name="Note 4 2 7 2 3" xfId="27691"/>
    <cellStyle name="Note 4 2 7 2 4" xfId="27692"/>
    <cellStyle name="Note 4 2 7 3" xfId="27693"/>
    <cellStyle name="Note 4 2 7 4" xfId="27694"/>
    <cellStyle name="Note 4 2 7 5" xfId="27695"/>
    <cellStyle name="Note 4 2 7 6" xfId="27696"/>
    <cellStyle name="Note 4 2 7 7" xfId="27697"/>
    <cellStyle name="Note 4 2 7 8" xfId="27698"/>
    <cellStyle name="Note 4 2 7 9" xfId="27699"/>
    <cellStyle name="Note 4 2 8" xfId="27700"/>
    <cellStyle name="Note 4 2 8 10" xfId="27701"/>
    <cellStyle name="Note 4 2 8 11" xfId="27702"/>
    <cellStyle name="Note 4 2 8 12" xfId="27703"/>
    <cellStyle name="Note 4 2 8 13" xfId="27704"/>
    <cellStyle name="Note 4 2 8 14" xfId="27705"/>
    <cellStyle name="Note 4 2 8 15" xfId="27706"/>
    <cellStyle name="Note 4 2 8 16" xfId="27707"/>
    <cellStyle name="Note 4 2 8 2" xfId="27708"/>
    <cellStyle name="Note 4 2 8 2 2" xfId="27709"/>
    <cellStyle name="Note 4 2 8 2 3" xfId="27710"/>
    <cellStyle name="Note 4 2 8 2 4" xfId="27711"/>
    <cellStyle name="Note 4 2 8 3" xfId="27712"/>
    <cellStyle name="Note 4 2 8 4" xfId="27713"/>
    <cellStyle name="Note 4 2 8 5" xfId="27714"/>
    <cellStyle name="Note 4 2 8 6" xfId="27715"/>
    <cellStyle name="Note 4 2 8 7" xfId="27716"/>
    <cellStyle name="Note 4 2 8 8" xfId="27717"/>
    <cellStyle name="Note 4 2 8 9" xfId="27718"/>
    <cellStyle name="Note 4 2 9" xfId="27719"/>
    <cellStyle name="Note 4 2 9 2" xfId="27720"/>
    <cellStyle name="Note 4 2 9 3" xfId="27721"/>
    <cellStyle name="Note 4 2 9 4" xfId="27722"/>
    <cellStyle name="Note 4 3" xfId="27723"/>
    <cellStyle name="Note 4 3 10" xfId="27724"/>
    <cellStyle name="Note 4 3 11" xfId="27725"/>
    <cellStyle name="Note 4 3 12" xfId="27726"/>
    <cellStyle name="Note 4 3 13" xfId="27727"/>
    <cellStyle name="Note 4 3 14" xfId="27728"/>
    <cellStyle name="Note 4 3 15" xfId="27729"/>
    <cellStyle name="Note 4 3 16" xfId="27730"/>
    <cellStyle name="Note 4 3 17" xfId="27731"/>
    <cellStyle name="Note 4 3 18" xfId="27732"/>
    <cellStyle name="Note 4 3 19" xfId="27733"/>
    <cellStyle name="Note 4 3 2" xfId="27734"/>
    <cellStyle name="Note 4 3 2 10" xfId="27735"/>
    <cellStyle name="Note 4 3 2 11" xfId="27736"/>
    <cellStyle name="Note 4 3 2 12" xfId="27737"/>
    <cellStyle name="Note 4 3 2 13" xfId="27738"/>
    <cellStyle name="Note 4 3 2 14" xfId="27739"/>
    <cellStyle name="Note 4 3 2 15" xfId="27740"/>
    <cellStyle name="Note 4 3 2 16" xfId="27741"/>
    <cellStyle name="Note 4 3 2 2" xfId="27742"/>
    <cellStyle name="Note 4 3 2 2 2" xfId="27743"/>
    <cellStyle name="Note 4 3 2 2 3" xfId="27744"/>
    <cellStyle name="Note 4 3 2 2 4" xfId="27745"/>
    <cellStyle name="Note 4 3 2 3" xfId="27746"/>
    <cellStyle name="Note 4 3 2 4" xfId="27747"/>
    <cellStyle name="Note 4 3 2 5" xfId="27748"/>
    <cellStyle name="Note 4 3 2 6" xfId="27749"/>
    <cellStyle name="Note 4 3 2 7" xfId="27750"/>
    <cellStyle name="Note 4 3 2 8" xfId="27751"/>
    <cellStyle name="Note 4 3 2 9" xfId="27752"/>
    <cellStyle name="Note 4 3 20" xfId="27753"/>
    <cellStyle name="Note 4 3 21" xfId="27754"/>
    <cellStyle name="Note 4 3 22" xfId="27755"/>
    <cellStyle name="Note 4 3 23" xfId="27756"/>
    <cellStyle name="Note 4 3 3" xfId="27757"/>
    <cellStyle name="Note 4 3 3 10" xfId="27758"/>
    <cellStyle name="Note 4 3 3 11" xfId="27759"/>
    <cellStyle name="Note 4 3 3 12" xfId="27760"/>
    <cellStyle name="Note 4 3 3 13" xfId="27761"/>
    <cellStyle name="Note 4 3 3 14" xfId="27762"/>
    <cellStyle name="Note 4 3 3 15" xfId="27763"/>
    <cellStyle name="Note 4 3 3 16" xfId="27764"/>
    <cellStyle name="Note 4 3 3 2" xfId="27765"/>
    <cellStyle name="Note 4 3 3 2 2" xfId="27766"/>
    <cellStyle name="Note 4 3 3 2 3" xfId="27767"/>
    <cellStyle name="Note 4 3 3 2 4" xfId="27768"/>
    <cellStyle name="Note 4 3 3 3" xfId="27769"/>
    <cellStyle name="Note 4 3 3 4" xfId="27770"/>
    <cellStyle name="Note 4 3 3 5" xfId="27771"/>
    <cellStyle name="Note 4 3 3 6" xfId="27772"/>
    <cellStyle name="Note 4 3 3 7" xfId="27773"/>
    <cellStyle name="Note 4 3 3 8" xfId="27774"/>
    <cellStyle name="Note 4 3 3 9" xfId="27775"/>
    <cellStyle name="Note 4 3 4" xfId="27776"/>
    <cellStyle name="Note 4 3 4 10" xfId="27777"/>
    <cellStyle name="Note 4 3 4 11" xfId="27778"/>
    <cellStyle name="Note 4 3 4 12" xfId="27779"/>
    <cellStyle name="Note 4 3 4 13" xfId="27780"/>
    <cellStyle name="Note 4 3 4 14" xfId="27781"/>
    <cellStyle name="Note 4 3 4 15" xfId="27782"/>
    <cellStyle name="Note 4 3 4 16" xfId="27783"/>
    <cellStyle name="Note 4 3 4 2" xfId="27784"/>
    <cellStyle name="Note 4 3 4 2 2" xfId="27785"/>
    <cellStyle name="Note 4 3 4 2 3" xfId="27786"/>
    <cellStyle name="Note 4 3 4 2 4" xfId="27787"/>
    <cellStyle name="Note 4 3 4 3" xfId="27788"/>
    <cellStyle name="Note 4 3 4 4" xfId="27789"/>
    <cellStyle name="Note 4 3 4 5" xfId="27790"/>
    <cellStyle name="Note 4 3 4 6" xfId="27791"/>
    <cellStyle name="Note 4 3 4 7" xfId="27792"/>
    <cellStyle name="Note 4 3 4 8" xfId="27793"/>
    <cellStyle name="Note 4 3 4 9" xfId="27794"/>
    <cellStyle name="Note 4 3 5" xfId="27795"/>
    <cellStyle name="Note 4 3 5 10" xfId="27796"/>
    <cellStyle name="Note 4 3 5 11" xfId="27797"/>
    <cellStyle name="Note 4 3 5 12" xfId="27798"/>
    <cellStyle name="Note 4 3 5 13" xfId="27799"/>
    <cellStyle name="Note 4 3 5 14" xfId="27800"/>
    <cellStyle name="Note 4 3 5 15" xfId="27801"/>
    <cellStyle name="Note 4 3 5 16" xfId="27802"/>
    <cellStyle name="Note 4 3 5 2" xfId="27803"/>
    <cellStyle name="Note 4 3 5 2 2" xfId="27804"/>
    <cellStyle name="Note 4 3 5 2 3" xfId="27805"/>
    <cellStyle name="Note 4 3 5 2 4" xfId="27806"/>
    <cellStyle name="Note 4 3 5 3" xfId="27807"/>
    <cellStyle name="Note 4 3 5 4" xfId="27808"/>
    <cellStyle name="Note 4 3 5 5" xfId="27809"/>
    <cellStyle name="Note 4 3 5 6" xfId="27810"/>
    <cellStyle name="Note 4 3 5 7" xfId="27811"/>
    <cellStyle name="Note 4 3 5 8" xfId="27812"/>
    <cellStyle name="Note 4 3 5 9" xfId="27813"/>
    <cellStyle name="Note 4 3 6" xfId="27814"/>
    <cellStyle name="Note 4 3 6 10" xfId="27815"/>
    <cellStyle name="Note 4 3 6 11" xfId="27816"/>
    <cellStyle name="Note 4 3 6 12" xfId="27817"/>
    <cellStyle name="Note 4 3 6 13" xfId="27818"/>
    <cellStyle name="Note 4 3 6 14" xfId="27819"/>
    <cellStyle name="Note 4 3 6 15" xfId="27820"/>
    <cellStyle name="Note 4 3 6 16" xfId="27821"/>
    <cellStyle name="Note 4 3 6 2" xfId="27822"/>
    <cellStyle name="Note 4 3 6 2 2" xfId="27823"/>
    <cellStyle name="Note 4 3 6 2 3" xfId="27824"/>
    <cellStyle name="Note 4 3 6 2 4" xfId="27825"/>
    <cellStyle name="Note 4 3 6 3" xfId="27826"/>
    <cellStyle name="Note 4 3 6 4" xfId="27827"/>
    <cellStyle name="Note 4 3 6 5" xfId="27828"/>
    <cellStyle name="Note 4 3 6 6" xfId="27829"/>
    <cellStyle name="Note 4 3 6 7" xfId="27830"/>
    <cellStyle name="Note 4 3 6 8" xfId="27831"/>
    <cellStyle name="Note 4 3 6 9" xfId="27832"/>
    <cellStyle name="Note 4 3 7" xfId="27833"/>
    <cellStyle name="Note 4 3 7 10" xfId="27834"/>
    <cellStyle name="Note 4 3 7 11" xfId="27835"/>
    <cellStyle name="Note 4 3 7 12" xfId="27836"/>
    <cellStyle name="Note 4 3 7 13" xfId="27837"/>
    <cellStyle name="Note 4 3 7 14" xfId="27838"/>
    <cellStyle name="Note 4 3 7 15" xfId="27839"/>
    <cellStyle name="Note 4 3 7 16" xfId="27840"/>
    <cellStyle name="Note 4 3 7 2" xfId="27841"/>
    <cellStyle name="Note 4 3 7 2 2" xfId="27842"/>
    <cellStyle name="Note 4 3 7 2 3" xfId="27843"/>
    <cellStyle name="Note 4 3 7 2 4" xfId="27844"/>
    <cellStyle name="Note 4 3 7 3" xfId="27845"/>
    <cellStyle name="Note 4 3 7 4" xfId="27846"/>
    <cellStyle name="Note 4 3 7 5" xfId="27847"/>
    <cellStyle name="Note 4 3 7 6" xfId="27848"/>
    <cellStyle name="Note 4 3 7 7" xfId="27849"/>
    <cellStyle name="Note 4 3 7 8" xfId="27850"/>
    <cellStyle name="Note 4 3 7 9" xfId="27851"/>
    <cellStyle name="Note 4 3 8" xfId="27852"/>
    <cellStyle name="Note 4 3 8 10" xfId="27853"/>
    <cellStyle name="Note 4 3 8 11" xfId="27854"/>
    <cellStyle name="Note 4 3 8 12" xfId="27855"/>
    <cellStyle name="Note 4 3 8 13" xfId="27856"/>
    <cellStyle name="Note 4 3 8 14" xfId="27857"/>
    <cellStyle name="Note 4 3 8 15" xfId="27858"/>
    <cellStyle name="Note 4 3 8 16" xfId="27859"/>
    <cellStyle name="Note 4 3 8 2" xfId="27860"/>
    <cellStyle name="Note 4 3 8 2 2" xfId="27861"/>
    <cellStyle name="Note 4 3 8 2 3" xfId="27862"/>
    <cellStyle name="Note 4 3 8 2 4" xfId="27863"/>
    <cellStyle name="Note 4 3 8 3" xfId="27864"/>
    <cellStyle name="Note 4 3 8 4" xfId="27865"/>
    <cellStyle name="Note 4 3 8 5" xfId="27866"/>
    <cellStyle name="Note 4 3 8 6" xfId="27867"/>
    <cellStyle name="Note 4 3 8 7" xfId="27868"/>
    <cellStyle name="Note 4 3 8 8" xfId="27869"/>
    <cellStyle name="Note 4 3 8 9" xfId="27870"/>
    <cellStyle name="Note 4 3 9" xfId="27871"/>
    <cellStyle name="Note 4 3 9 2" xfId="27872"/>
    <cellStyle name="Note 4 3 9 3" xfId="27873"/>
    <cellStyle name="Note 4 3 9 4" xfId="27874"/>
    <cellStyle name="Note 4 4" xfId="27875"/>
    <cellStyle name="Note 4 4 10" xfId="27876"/>
    <cellStyle name="Note 4 4 11" xfId="27877"/>
    <cellStyle name="Note 4 4 12" xfId="27878"/>
    <cellStyle name="Note 4 4 13" xfId="27879"/>
    <cellStyle name="Note 4 4 14" xfId="27880"/>
    <cellStyle name="Note 4 4 15" xfId="27881"/>
    <cellStyle name="Note 4 4 16" xfId="27882"/>
    <cellStyle name="Note 4 4 17" xfId="27883"/>
    <cellStyle name="Note 4 4 18" xfId="27884"/>
    <cellStyle name="Note 4 4 19" xfId="27885"/>
    <cellStyle name="Note 4 4 2" xfId="27886"/>
    <cellStyle name="Note 4 4 2 10" xfId="27887"/>
    <cellStyle name="Note 4 4 2 11" xfId="27888"/>
    <cellStyle name="Note 4 4 2 12" xfId="27889"/>
    <cellStyle name="Note 4 4 2 13" xfId="27890"/>
    <cellStyle name="Note 4 4 2 14" xfId="27891"/>
    <cellStyle name="Note 4 4 2 15" xfId="27892"/>
    <cellStyle name="Note 4 4 2 16" xfId="27893"/>
    <cellStyle name="Note 4 4 2 2" xfId="27894"/>
    <cellStyle name="Note 4 4 2 2 2" xfId="27895"/>
    <cellStyle name="Note 4 4 2 2 3" xfId="27896"/>
    <cellStyle name="Note 4 4 2 2 4" xfId="27897"/>
    <cellStyle name="Note 4 4 2 3" xfId="27898"/>
    <cellStyle name="Note 4 4 2 4" xfId="27899"/>
    <cellStyle name="Note 4 4 2 5" xfId="27900"/>
    <cellStyle name="Note 4 4 2 6" xfId="27901"/>
    <cellStyle name="Note 4 4 2 7" xfId="27902"/>
    <cellStyle name="Note 4 4 2 8" xfId="27903"/>
    <cellStyle name="Note 4 4 2 9" xfId="27904"/>
    <cellStyle name="Note 4 4 20" xfId="27905"/>
    <cellStyle name="Note 4 4 21" xfId="27906"/>
    <cellStyle name="Note 4 4 22" xfId="27907"/>
    <cellStyle name="Note 4 4 23" xfId="27908"/>
    <cellStyle name="Note 4 4 3" xfId="27909"/>
    <cellStyle name="Note 4 4 3 10" xfId="27910"/>
    <cellStyle name="Note 4 4 3 11" xfId="27911"/>
    <cellStyle name="Note 4 4 3 12" xfId="27912"/>
    <cellStyle name="Note 4 4 3 13" xfId="27913"/>
    <cellStyle name="Note 4 4 3 14" xfId="27914"/>
    <cellStyle name="Note 4 4 3 15" xfId="27915"/>
    <cellStyle name="Note 4 4 3 16" xfId="27916"/>
    <cellStyle name="Note 4 4 3 2" xfId="27917"/>
    <cellStyle name="Note 4 4 3 2 2" xfId="27918"/>
    <cellStyle name="Note 4 4 3 2 3" xfId="27919"/>
    <cellStyle name="Note 4 4 3 2 4" xfId="27920"/>
    <cellStyle name="Note 4 4 3 3" xfId="27921"/>
    <cellStyle name="Note 4 4 3 4" xfId="27922"/>
    <cellStyle name="Note 4 4 3 5" xfId="27923"/>
    <cellStyle name="Note 4 4 3 6" xfId="27924"/>
    <cellStyle name="Note 4 4 3 7" xfId="27925"/>
    <cellStyle name="Note 4 4 3 8" xfId="27926"/>
    <cellStyle name="Note 4 4 3 9" xfId="27927"/>
    <cellStyle name="Note 4 4 4" xfId="27928"/>
    <cellStyle name="Note 4 4 4 10" xfId="27929"/>
    <cellStyle name="Note 4 4 4 11" xfId="27930"/>
    <cellStyle name="Note 4 4 4 12" xfId="27931"/>
    <cellStyle name="Note 4 4 4 13" xfId="27932"/>
    <cellStyle name="Note 4 4 4 14" xfId="27933"/>
    <cellStyle name="Note 4 4 4 15" xfId="27934"/>
    <cellStyle name="Note 4 4 4 16" xfId="27935"/>
    <cellStyle name="Note 4 4 4 2" xfId="27936"/>
    <cellStyle name="Note 4 4 4 2 2" xfId="27937"/>
    <cellStyle name="Note 4 4 4 2 3" xfId="27938"/>
    <cellStyle name="Note 4 4 4 2 4" xfId="27939"/>
    <cellStyle name="Note 4 4 4 3" xfId="27940"/>
    <cellStyle name="Note 4 4 4 4" xfId="27941"/>
    <cellStyle name="Note 4 4 4 5" xfId="27942"/>
    <cellStyle name="Note 4 4 4 6" xfId="27943"/>
    <cellStyle name="Note 4 4 4 7" xfId="27944"/>
    <cellStyle name="Note 4 4 4 8" xfId="27945"/>
    <cellStyle name="Note 4 4 4 9" xfId="27946"/>
    <cellStyle name="Note 4 4 5" xfId="27947"/>
    <cellStyle name="Note 4 4 5 10" xfId="27948"/>
    <cellStyle name="Note 4 4 5 11" xfId="27949"/>
    <cellStyle name="Note 4 4 5 12" xfId="27950"/>
    <cellStyle name="Note 4 4 5 13" xfId="27951"/>
    <cellStyle name="Note 4 4 5 14" xfId="27952"/>
    <cellStyle name="Note 4 4 5 15" xfId="27953"/>
    <cellStyle name="Note 4 4 5 16" xfId="27954"/>
    <cellStyle name="Note 4 4 5 2" xfId="27955"/>
    <cellStyle name="Note 4 4 5 2 2" xfId="27956"/>
    <cellStyle name="Note 4 4 5 2 3" xfId="27957"/>
    <cellStyle name="Note 4 4 5 2 4" xfId="27958"/>
    <cellStyle name="Note 4 4 5 3" xfId="27959"/>
    <cellStyle name="Note 4 4 5 4" xfId="27960"/>
    <cellStyle name="Note 4 4 5 5" xfId="27961"/>
    <cellStyle name="Note 4 4 5 6" xfId="27962"/>
    <cellStyle name="Note 4 4 5 7" xfId="27963"/>
    <cellStyle name="Note 4 4 5 8" xfId="27964"/>
    <cellStyle name="Note 4 4 5 9" xfId="27965"/>
    <cellStyle name="Note 4 4 6" xfId="27966"/>
    <cellStyle name="Note 4 4 6 10" xfId="27967"/>
    <cellStyle name="Note 4 4 6 11" xfId="27968"/>
    <cellStyle name="Note 4 4 6 12" xfId="27969"/>
    <cellStyle name="Note 4 4 6 13" xfId="27970"/>
    <cellStyle name="Note 4 4 6 14" xfId="27971"/>
    <cellStyle name="Note 4 4 6 15" xfId="27972"/>
    <cellStyle name="Note 4 4 6 16" xfId="27973"/>
    <cellStyle name="Note 4 4 6 2" xfId="27974"/>
    <cellStyle name="Note 4 4 6 2 2" xfId="27975"/>
    <cellStyle name="Note 4 4 6 2 3" xfId="27976"/>
    <cellStyle name="Note 4 4 6 2 4" xfId="27977"/>
    <cellStyle name="Note 4 4 6 3" xfId="27978"/>
    <cellStyle name="Note 4 4 6 4" xfId="27979"/>
    <cellStyle name="Note 4 4 6 5" xfId="27980"/>
    <cellStyle name="Note 4 4 6 6" xfId="27981"/>
    <cellStyle name="Note 4 4 6 7" xfId="27982"/>
    <cellStyle name="Note 4 4 6 8" xfId="27983"/>
    <cellStyle name="Note 4 4 6 9" xfId="27984"/>
    <cellStyle name="Note 4 4 7" xfId="27985"/>
    <cellStyle name="Note 4 4 7 10" xfId="27986"/>
    <cellStyle name="Note 4 4 7 11" xfId="27987"/>
    <cellStyle name="Note 4 4 7 12" xfId="27988"/>
    <cellStyle name="Note 4 4 7 13" xfId="27989"/>
    <cellStyle name="Note 4 4 7 14" xfId="27990"/>
    <cellStyle name="Note 4 4 7 15" xfId="27991"/>
    <cellStyle name="Note 4 4 7 16" xfId="27992"/>
    <cellStyle name="Note 4 4 7 2" xfId="27993"/>
    <cellStyle name="Note 4 4 7 2 2" xfId="27994"/>
    <cellStyle name="Note 4 4 7 2 3" xfId="27995"/>
    <cellStyle name="Note 4 4 7 2 4" xfId="27996"/>
    <cellStyle name="Note 4 4 7 3" xfId="27997"/>
    <cellStyle name="Note 4 4 7 4" xfId="27998"/>
    <cellStyle name="Note 4 4 7 5" xfId="27999"/>
    <cellStyle name="Note 4 4 7 6" xfId="28000"/>
    <cellStyle name="Note 4 4 7 7" xfId="28001"/>
    <cellStyle name="Note 4 4 7 8" xfId="28002"/>
    <cellStyle name="Note 4 4 7 9" xfId="28003"/>
    <cellStyle name="Note 4 4 8" xfId="28004"/>
    <cellStyle name="Note 4 4 8 10" xfId="28005"/>
    <cellStyle name="Note 4 4 8 11" xfId="28006"/>
    <cellStyle name="Note 4 4 8 12" xfId="28007"/>
    <cellStyle name="Note 4 4 8 13" xfId="28008"/>
    <cellStyle name="Note 4 4 8 14" xfId="28009"/>
    <cellStyle name="Note 4 4 8 15" xfId="28010"/>
    <cellStyle name="Note 4 4 8 16" xfId="28011"/>
    <cellStyle name="Note 4 4 8 2" xfId="28012"/>
    <cellStyle name="Note 4 4 8 2 2" xfId="28013"/>
    <cellStyle name="Note 4 4 8 2 3" xfId="28014"/>
    <cellStyle name="Note 4 4 8 2 4" xfId="28015"/>
    <cellStyle name="Note 4 4 8 3" xfId="28016"/>
    <cellStyle name="Note 4 4 8 4" xfId="28017"/>
    <cellStyle name="Note 4 4 8 5" xfId="28018"/>
    <cellStyle name="Note 4 4 8 6" xfId="28019"/>
    <cellStyle name="Note 4 4 8 7" xfId="28020"/>
    <cellStyle name="Note 4 4 8 8" xfId="28021"/>
    <cellStyle name="Note 4 4 8 9" xfId="28022"/>
    <cellStyle name="Note 4 4 9" xfId="28023"/>
    <cellStyle name="Note 4 4 9 2" xfId="28024"/>
    <cellStyle name="Note 4 4 9 3" xfId="28025"/>
    <cellStyle name="Note 4 4 9 4" xfId="28026"/>
    <cellStyle name="Note 4 5" xfId="28027"/>
    <cellStyle name="Note 4 5 2" xfId="28028"/>
    <cellStyle name="Note 4 5 3" xfId="28029"/>
    <cellStyle name="Note 4 5 4" xfId="28030"/>
    <cellStyle name="Note 4 6" xfId="28031"/>
    <cellStyle name="Note 4 7" xfId="28032"/>
    <cellStyle name="Note 4 8" xfId="28033"/>
    <cellStyle name="Note 4 9" xfId="28034"/>
    <cellStyle name="Note 5" xfId="28035"/>
    <cellStyle name="Note 5 10" xfId="28036"/>
    <cellStyle name="Note 5 11" xfId="28037"/>
    <cellStyle name="Note 5 12" xfId="28038"/>
    <cellStyle name="Note 5 13" xfId="28039"/>
    <cellStyle name="Note 5 14" xfId="28040"/>
    <cellStyle name="Note 5 15" xfId="28041"/>
    <cellStyle name="Note 5 16" xfId="28042"/>
    <cellStyle name="Note 5 17" xfId="28043"/>
    <cellStyle name="Note 5 18" xfId="28044"/>
    <cellStyle name="Note 5 2" xfId="28045"/>
    <cellStyle name="Note 5 2 10" xfId="28046"/>
    <cellStyle name="Note 5 2 11" xfId="28047"/>
    <cellStyle name="Note 5 2 12" xfId="28048"/>
    <cellStyle name="Note 5 2 13" xfId="28049"/>
    <cellStyle name="Note 5 2 14" xfId="28050"/>
    <cellStyle name="Note 5 2 15" xfId="28051"/>
    <cellStyle name="Note 5 2 16" xfId="28052"/>
    <cellStyle name="Note 5 2 17" xfId="28053"/>
    <cellStyle name="Note 5 2 18" xfId="28054"/>
    <cellStyle name="Note 5 2 19" xfId="28055"/>
    <cellStyle name="Note 5 2 2" xfId="28056"/>
    <cellStyle name="Note 5 2 2 10" xfId="28057"/>
    <cellStyle name="Note 5 2 2 11" xfId="28058"/>
    <cellStyle name="Note 5 2 2 12" xfId="28059"/>
    <cellStyle name="Note 5 2 2 13" xfId="28060"/>
    <cellStyle name="Note 5 2 2 14" xfId="28061"/>
    <cellStyle name="Note 5 2 2 15" xfId="28062"/>
    <cellStyle name="Note 5 2 2 16" xfId="28063"/>
    <cellStyle name="Note 5 2 2 2" xfId="28064"/>
    <cellStyle name="Note 5 2 2 2 2" xfId="28065"/>
    <cellStyle name="Note 5 2 2 2 3" xfId="28066"/>
    <cellStyle name="Note 5 2 2 2 4" xfId="28067"/>
    <cellStyle name="Note 5 2 2 3" xfId="28068"/>
    <cellStyle name="Note 5 2 2 4" xfId="28069"/>
    <cellStyle name="Note 5 2 2 5" xfId="28070"/>
    <cellStyle name="Note 5 2 2 6" xfId="28071"/>
    <cellStyle name="Note 5 2 2 7" xfId="28072"/>
    <cellStyle name="Note 5 2 2 8" xfId="28073"/>
    <cellStyle name="Note 5 2 2 9" xfId="28074"/>
    <cellStyle name="Note 5 2 20" xfId="28075"/>
    <cellStyle name="Note 5 2 21" xfId="28076"/>
    <cellStyle name="Note 5 2 22" xfId="28077"/>
    <cellStyle name="Note 5 2 23" xfId="28078"/>
    <cellStyle name="Note 5 2 3" xfId="28079"/>
    <cellStyle name="Note 5 2 3 10" xfId="28080"/>
    <cellStyle name="Note 5 2 3 11" xfId="28081"/>
    <cellStyle name="Note 5 2 3 12" xfId="28082"/>
    <cellStyle name="Note 5 2 3 13" xfId="28083"/>
    <cellStyle name="Note 5 2 3 14" xfId="28084"/>
    <cellStyle name="Note 5 2 3 15" xfId="28085"/>
    <cellStyle name="Note 5 2 3 16" xfId="28086"/>
    <cellStyle name="Note 5 2 3 2" xfId="28087"/>
    <cellStyle name="Note 5 2 3 2 2" xfId="28088"/>
    <cellStyle name="Note 5 2 3 2 3" xfId="28089"/>
    <cellStyle name="Note 5 2 3 2 4" xfId="28090"/>
    <cellStyle name="Note 5 2 3 3" xfId="28091"/>
    <cellStyle name="Note 5 2 3 4" xfId="28092"/>
    <cellStyle name="Note 5 2 3 5" xfId="28093"/>
    <cellStyle name="Note 5 2 3 6" xfId="28094"/>
    <cellStyle name="Note 5 2 3 7" xfId="28095"/>
    <cellStyle name="Note 5 2 3 8" xfId="28096"/>
    <cellStyle name="Note 5 2 3 9" xfId="28097"/>
    <cellStyle name="Note 5 2 4" xfId="28098"/>
    <cellStyle name="Note 5 2 4 10" xfId="28099"/>
    <cellStyle name="Note 5 2 4 11" xfId="28100"/>
    <cellStyle name="Note 5 2 4 12" xfId="28101"/>
    <cellStyle name="Note 5 2 4 13" xfId="28102"/>
    <cellStyle name="Note 5 2 4 14" xfId="28103"/>
    <cellStyle name="Note 5 2 4 15" xfId="28104"/>
    <cellStyle name="Note 5 2 4 16" xfId="28105"/>
    <cellStyle name="Note 5 2 4 2" xfId="28106"/>
    <cellStyle name="Note 5 2 4 2 2" xfId="28107"/>
    <cellStyle name="Note 5 2 4 2 3" xfId="28108"/>
    <cellStyle name="Note 5 2 4 2 4" xfId="28109"/>
    <cellStyle name="Note 5 2 4 3" xfId="28110"/>
    <cellStyle name="Note 5 2 4 4" xfId="28111"/>
    <cellStyle name="Note 5 2 4 5" xfId="28112"/>
    <cellStyle name="Note 5 2 4 6" xfId="28113"/>
    <cellStyle name="Note 5 2 4 7" xfId="28114"/>
    <cellStyle name="Note 5 2 4 8" xfId="28115"/>
    <cellStyle name="Note 5 2 4 9" xfId="28116"/>
    <cellStyle name="Note 5 2 5" xfId="28117"/>
    <cellStyle name="Note 5 2 5 10" xfId="28118"/>
    <cellStyle name="Note 5 2 5 11" xfId="28119"/>
    <cellStyle name="Note 5 2 5 12" xfId="28120"/>
    <cellStyle name="Note 5 2 5 13" xfId="28121"/>
    <cellStyle name="Note 5 2 5 14" xfId="28122"/>
    <cellStyle name="Note 5 2 5 15" xfId="28123"/>
    <cellStyle name="Note 5 2 5 16" xfId="28124"/>
    <cellStyle name="Note 5 2 5 2" xfId="28125"/>
    <cellStyle name="Note 5 2 5 2 2" xfId="28126"/>
    <cellStyle name="Note 5 2 5 2 3" xfId="28127"/>
    <cellStyle name="Note 5 2 5 2 4" xfId="28128"/>
    <cellStyle name="Note 5 2 5 3" xfId="28129"/>
    <cellStyle name="Note 5 2 5 4" xfId="28130"/>
    <cellStyle name="Note 5 2 5 5" xfId="28131"/>
    <cellStyle name="Note 5 2 5 6" xfId="28132"/>
    <cellStyle name="Note 5 2 5 7" xfId="28133"/>
    <cellStyle name="Note 5 2 5 8" xfId="28134"/>
    <cellStyle name="Note 5 2 5 9" xfId="28135"/>
    <cellStyle name="Note 5 2 6" xfId="28136"/>
    <cellStyle name="Note 5 2 6 10" xfId="28137"/>
    <cellStyle name="Note 5 2 6 11" xfId="28138"/>
    <cellStyle name="Note 5 2 6 12" xfId="28139"/>
    <cellStyle name="Note 5 2 6 13" xfId="28140"/>
    <cellStyle name="Note 5 2 6 14" xfId="28141"/>
    <cellStyle name="Note 5 2 6 15" xfId="28142"/>
    <cellStyle name="Note 5 2 6 16" xfId="28143"/>
    <cellStyle name="Note 5 2 6 2" xfId="28144"/>
    <cellStyle name="Note 5 2 6 2 2" xfId="28145"/>
    <cellStyle name="Note 5 2 6 2 3" xfId="28146"/>
    <cellStyle name="Note 5 2 6 2 4" xfId="28147"/>
    <cellStyle name="Note 5 2 6 3" xfId="28148"/>
    <cellStyle name="Note 5 2 6 4" xfId="28149"/>
    <cellStyle name="Note 5 2 6 5" xfId="28150"/>
    <cellStyle name="Note 5 2 6 6" xfId="28151"/>
    <cellStyle name="Note 5 2 6 7" xfId="28152"/>
    <cellStyle name="Note 5 2 6 8" xfId="28153"/>
    <cellStyle name="Note 5 2 6 9" xfId="28154"/>
    <cellStyle name="Note 5 2 7" xfId="28155"/>
    <cellStyle name="Note 5 2 7 10" xfId="28156"/>
    <cellStyle name="Note 5 2 7 11" xfId="28157"/>
    <cellStyle name="Note 5 2 7 12" xfId="28158"/>
    <cellStyle name="Note 5 2 7 13" xfId="28159"/>
    <cellStyle name="Note 5 2 7 14" xfId="28160"/>
    <cellStyle name="Note 5 2 7 15" xfId="28161"/>
    <cellStyle name="Note 5 2 7 16" xfId="28162"/>
    <cellStyle name="Note 5 2 7 2" xfId="28163"/>
    <cellStyle name="Note 5 2 7 2 2" xfId="28164"/>
    <cellStyle name="Note 5 2 7 2 3" xfId="28165"/>
    <cellStyle name="Note 5 2 7 2 4" xfId="28166"/>
    <cellStyle name="Note 5 2 7 3" xfId="28167"/>
    <cellStyle name="Note 5 2 7 4" xfId="28168"/>
    <cellStyle name="Note 5 2 7 5" xfId="28169"/>
    <cellStyle name="Note 5 2 7 6" xfId="28170"/>
    <cellStyle name="Note 5 2 7 7" xfId="28171"/>
    <cellStyle name="Note 5 2 7 8" xfId="28172"/>
    <cellStyle name="Note 5 2 7 9" xfId="28173"/>
    <cellStyle name="Note 5 2 8" xfId="28174"/>
    <cellStyle name="Note 5 2 8 10" xfId="28175"/>
    <cellStyle name="Note 5 2 8 11" xfId="28176"/>
    <cellStyle name="Note 5 2 8 12" xfId="28177"/>
    <cellStyle name="Note 5 2 8 13" xfId="28178"/>
    <cellStyle name="Note 5 2 8 14" xfId="28179"/>
    <cellStyle name="Note 5 2 8 15" xfId="28180"/>
    <cellStyle name="Note 5 2 8 16" xfId="28181"/>
    <cellStyle name="Note 5 2 8 2" xfId="28182"/>
    <cellStyle name="Note 5 2 8 2 2" xfId="28183"/>
    <cellStyle name="Note 5 2 8 2 3" xfId="28184"/>
    <cellStyle name="Note 5 2 8 2 4" xfId="28185"/>
    <cellStyle name="Note 5 2 8 3" xfId="28186"/>
    <cellStyle name="Note 5 2 8 4" xfId="28187"/>
    <cellStyle name="Note 5 2 8 5" xfId="28188"/>
    <cellStyle name="Note 5 2 8 6" xfId="28189"/>
    <cellStyle name="Note 5 2 8 7" xfId="28190"/>
    <cellStyle name="Note 5 2 8 8" xfId="28191"/>
    <cellStyle name="Note 5 2 8 9" xfId="28192"/>
    <cellStyle name="Note 5 2 9" xfId="28193"/>
    <cellStyle name="Note 5 2 9 2" xfId="28194"/>
    <cellStyle name="Note 5 2 9 3" xfId="28195"/>
    <cellStyle name="Note 5 2 9 4" xfId="28196"/>
    <cellStyle name="Note 5 3" xfId="28197"/>
    <cellStyle name="Note 5 3 10" xfId="28198"/>
    <cellStyle name="Note 5 3 11" xfId="28199"/>
    <cellStyle name="Note 5 3 12" xfId="28200"/>
    <cellStyle name="Note 5 3 13" xfId="28201"/>
    <cellStyle name="Note 5 3 14" xfId="28202"/>
    <cellStyle name="Note 5 3 15" xfId="28203"/>
    <cellStyle name="Note 5 3 16" xfId="28204"/>
    <cellStyle name="Note 5 3 17" xfId="28205"/>
    <cellStyle name="Note 5 3 18" xfId="28206"/>
    <cellStyle name="Note 5 3 19" xfId="28207"/>
    <cellStyle name="Note 5 3 2" xfId="28208"/>
    <cellStyle name="Note 5 3 2 10" xfId="28209"/>
    <cellStyle name="Note 5 3 2 11" xfId="28210"/>
    <cellStyle name="Note 5 3 2 12" xfId="28211"/>
    <cellStyle name="Note 5 3 2 13" xfId="28212"/>
    <cellStyle name="Note 5 3 2 14" xfId="28213"/>
    <cellStyle name="Note 5 3 2 15" xfId="28214"/>
    <cellStyle name="Note 5 3 2 16" xfId="28215"/>
    <cellStyle name="Note 5 3 2 2" xfId="28216"/>
    <cellStyle name="Note 5 3 2 2 2" xfId="28217"/>
    <cellStyle name="Note 5 3 2 2 3" xfId="28218"/>
    <cellStyle name="Note 5 3 2 2 4" xfId="28219"/>
    <cellStyle name="Note 5 3 2 3" xfId="28220"/>
    <cellStyle name="Note 5 3 2 4" xfId="28221"/>
    <cellStyle name="Note 5 3 2 5" xfId="28222"/>
    <cellStyle name="Note 5 3 2 6" xfId="28223"/>
    <cellStyle name="Note 5 3 2 7" xfId="28224"/>
    <cellStyle name="Note 5 3 2 8" xfId="28225"/>
    <cellStyle name="Note 5 3 2 9" xfId="28226"/>
    <cellStyle name="Note 5 3 20" xfId="28227"/>
    <cellStyle name="Note 5 3 21" xfId="28228"/>
    <cellStyle name="Note 5 3 22" xfId="28229"/>
    <cellStyle name="Note 5 3 23" xfId="28230"/>
    <cellStyle name="Note 5 3 3" xfId="28231"/>
    <cellStyle name="Note 5 3 3 10" xfId="28232"/>
    <cellStyle name="Note 5 3 3 11" xfId="28233"/>
    <cellStyle name="Note 5 3 3 12" xfId="28234"/>
    <cellStyle name="Note 5 3 3 13" xfId="28235"/>
    <cellStyle name="Note 5 3 3 14" xfId="28236"/>
    <cellStyle name="Note 5 3 3 15" xfId="28237"/>
    <cellStyle name="Note 5 3 3 16" xfId="28238"/>
    <cellStyle name="Note 5 3 3 2" xfId="28239"/>
    <cellStyle name="Note 5 3 3 2 2" xfId="28240"/>
    <cellStyle name="Note 5 3 3 2 3" xfId="28241"/>
    <cellStyle name="Note 5 3 3 2 4" xfId="28242"/>
    <cellStyle name="Note 5 3 3 3" xfId="28243"/>
    <cellStyle name="Note 5 3 3 4" xfId="28244"/>
    <cellStyle name="Note 5 3 3 5" xfId="28245"/>
    <cellStyle name="Note 5 3 3 6" xfId="28246"/>
    <cellStyle name="Note 5 3 3 7" xfId="28247"/>
    <cellStyle name="Note 5 3 3 8" xfId="28248"/>
    <cellStyle name="Note 5 3 3 9" xfId="28249"/>
    <cellStyle name="Note 5 3 4" xfId="28250"/>
    <cellStyle name="Note 5 3 4 10" xfId="28251"/>
    <cellStyle name="Note 5 3 4 11" xfId="28252"/>
    <cellStyle name="Note 5 3 4 12" xfId="28253"/>
    <cellStyle name="Note 5 3 4 13" xfId="28254"/>
    <cellStyle name="Note 5 3 4 14" xfId="28255"/>
    <cellStyle name="Note 5 3 4 15" xfId="28256"/>
    <cellStyle name="Note 5 3 4 16" xfId="28257"/>
    <cellStyle name="Note 5 3 4 2" xfId="28258"/>
    <cellStyle name="Note 5 3 4 2 2" xfId="28259"/>
    <cellStyle name="Note 5 3 4 2 3" xfId="28260"/>
    <cellStyle name="Note 5 3 4 2 4" xfId="28261"/>
    <cellStyle name="Note 5 3 4 3" xfId="28262"/>
    <cellStyle name="Note 5 3 4 4" xfId="28263"/>
    <cellStyle name="Note 5 3 4 5" xfId="28264"/>
    <cellStyle name="Note 5 3 4 6" xfId="28265"/>
    <cellStyle name="Note 5 3 4 7" xfId="28266"/>
    <cellStyle name="Note 5 3 4 8" xfId="28267"/>
    <cellStyle name="Note 5 3 4 9" xfId="28268"/>
    <cellStyle name="Note 5 3 5" xfId="28269"/>
    <cellStyle name="Note 5 3 5 10" xfId="28270"/>
    <cellStyle name="Note 5 3 5 11" xfId="28271"/>
    <cellStyle name="Note 5 3 5 12" xfId="28272"/>
    <cellStyle name="Note 5 3 5 13" xfId="28273"/>
    <cellStyle name="Note 5 3 5 14" xfId="28274"/>
    <cellStyle name="Note 5 3 5 15" xfId="28275"/>
    <cellStyle name="Note 5 3 5 16" xfId="28276"/>
    <cellStyle name="Note 5 3 5 2" xfId="28277"/>
    <cellStyle name="Note 5 3 5 2 2" xfId="28278"/>
    <cellStyle name="Note 5 3 5 2 3" xfId="28279"/>
    <cellStyle name="Note 5 3 5 2 4" xfId="28280"/>
    <cellStyle name="Note 5 3 5 3" xfId="28281"/>
    <cellStyle name="Note 5 3 5 4" xfId="28282"/>
    <cellStyle name="Note 5 3 5 5" xfId="28283"/>
    <cellStyle name="Note 5 3 5 6" xfId="28284"/>
    <cellStyle name="Note 5 3 5 7" xfId="28285"/>
    <cellStyle name="Note 5 3 5 8" xfId="28286"/>
    <cellStyle name="Note 5 3 5 9" xfId="28287"/>
    <cellStyle name="Note 5 3 6" xfId="28288"/>
    <cellStyle name="Note 5 3 6 10" xfId="28289"/>
    <cellStyle name="Note 5 3 6 11" xfId="28290"/>
    <cellStyle name="Note 5 3 6 12" xfId="28291"/>
    <cellStyle name="Note 5 3 6 13" xfId="28292"/>
    <cellStyle name="Note 5 3 6 14" xfId="28293"/>
    <cellStyle name="Note 5 3 6 15" xfId="28294"/>
    <cellStyle name="Note 5 3 6 16" xfId="28295"/>
    <cellStyle name="Note 5 3 6 2" xfId="28296"/>
    <cellStyle name="Note 5 3 6 2 2" xfId="28297"/>
    <cellStyle name="Note 5 3 6 2 3" xfId="28298"/>
    <cellStyle name="Note 5 3 6 2 4" xfId="28299"/>
    <cellStyle name="Note 5 3 6 3" xfId="28300"/>
    <cellStyle name="Note 5 3 6 4" xfId="28301"/>
    <cellStyle name="Note 5 3 6 5" xfId="28302"/>
    <cellStyle name="Note 5 3 6 6" xfId="28303"/>
    <cellStyle name="Note 5 3 6 7" xfId="28304"/>
    <cellStyle name="Note 5 3 6 8" xfId="28305"/>
    <cellStyle name="Note 5 3 6 9" xfId="28306"/>
    <cellStyle name="Note 5 3 7" xfId="28307"/>
    <cellStyle name="Note 5 3 7 10" xfId="28308"/>
    <cellStyle name="Note 5 3 7 11" xfId="28309"/>
    <cellStyle name="Note 5 3 7 12" xfId="28310"/>
    <cellStyle name="Note 5 3 7 13" xfId="28311"/>
    <cellStyle name="Note 5 3 7 14" xfId="28312"/>
    <cellStyle name="Note 5 3 7 15" xfId="28313"/>
    <cellStyle name="Note 5 3 7 16" xfId="28314"/>
    <cellStyle name="Note 5 3 7 2" xfId="28315"/>
    <cellStyle name="Note 5 3 7 2 2" xfId="28316"/>
    <cellStyle name="Note 5 3 7 2 3" xfId="28317"/>
    <cellStyle name="Note 5 3 7 2 4" xfId="28318"/>
    <cellStyle name="Note 5 3 7 3" xfId="28319"/>
    <cellStyle name="Note 5 3 7 4" xfId="28320"/>
    <cellStyle name="Note 5 3 7 5" xfId="28321"/>
    <cellStyle name="Note 5 3 7 6" xfId="28322"/>
    <cellStyle name="Note 5 3 7 7" xfId="28323"/>
    <cellStyle name="Note 5 3 7 8" xfId="28324"/>
    <cellStyle name="Note 5 3 7 9" xfId="28325"/>
    <cellStyle name="Note 5 3 8" xfId="28326"/>
    <cellStyle name="Note 5 3 8 10" xfId="28327"/>
    <cellStyle name="Note 5 3 8 11" xfId="28328"/>
    <cellStyle name="Note 5 3 8 12" xfId="28329"/>
    <cellStyle name="Note 5 3 8 13" xfId="28330"/>
    <cellStyle name="Note 5 3 8 14" xfId="28331"/>
    <cellStyle name="Note 5 3 8 15" xfId="28332"/>
    <cellStyle name="Note 5 3 8 16" xfId="28333"/>
    <cellStyle name="Note 5 3 8 2" xfId="28334"/>
    <cellStyle name="Note 5 3 8 2 2" xfId="28335"/>
    <cellStyle name="Note 5 3 8 2 3" xfId="28336"/>
    <cellStyle name="Note 5 3 8 2 4" xfId="28337"/>
    <cellStyle name="Note 5 3 8 3" xfId="28338"/>
    <cellStyle name="Note 5 3 8 4" xfId="28339"/>
    <cellStyle name="Note 5 3 8 5" xfId="28340"/>
    <cellStyle name="Note 5 3 8 6" xfId="28341"/>
    <cellStyle name="Note 5 3 8 7" xfId="28342"/>
    <cellStyle name="Note 5 3 8 8" xfId="28343"/>
    <cellStyle name="Note 5 3 8 9" xfId="28344"/>
    <cellStyle name="Note 5 3 9" xfId="28345"/>
    <cellStyle name="Note 5 3 9 2" xfId="28346"/>
    <cellStyle name="Note 5 3 9 3" xfId="28347"/>
    <cellStyle name="Note 5 3 9 4" xfId="28348"/>
    <cellStyle name="Note 5 4" xfId="28349"/>
    <cellStyle name="Note 5 4 10" xfId="28350"/>
    <cellStyle name="Note 5 4 11" xfId="28351"/>
    <cellStyle name="Note 5 4 12" xfId="28352"/>
    <cellStyle name="Note 5 4 13" xfId="28353"/>
    <cellStyle name="Note 5 4 14" xfId="28354"/>
    <cellStyle name="Note 5 4 15" xfId="28355"/>
    <cellStyle name="Note 5 4 16" xfId="28356"/>
    <cellStyle name="Note 5 4 17" xfId="28357"/>
    <cellStyle name="Note 5 4 18" xfId="28358"/>
    <cellStyle name="Note 5 4 19" xfId="28359"/>
    <cellStyle name="Note 5 4 2" xfId="28360"/>
    <cellStyle name="Note 5 4 2 10" xfId="28361"/>
    <cellStyle name="Note 5 4 2 11" xfId="28362"/>
    <cellStyle name="Note 5 4 2 12" xfId="28363"/>
    <cellStyle name="Note 5 4 2 13" xfId="28364"/>
    <cellStyle name="Note 5 4 2 14" xfId="28365"/>
    <cellStyle name="Note 5 4 2 15" xfId="28366"/>
    <cellStyle name="Note 5 4 2 16" xfId="28367"/>
    <cellStyle name="Note 5 4 2 2" xfId="28368"/>
    <cellStyle name="Note 5 4 2 2 2" xfId="28369"/>
    <cellStyle name="Note 5 4 2 2 3" xfId="28370"/>
    <cellStyle name="Note 5 4 2 2 4" xfId="28371"/>
    <cellStyle name="Note 5 4 2 3" xfId="28372"/>
    <cellStyle name="Note 5 4 2 4" xfId="28373"/>
    <cellStyle name="Note 5 4 2 5" xfId="28374"/>
    <cellStyle name="Note 5 4 2 6" xfId="28375"/>
    <cellStyle name="Note 5 4 2 7" xfId="28376"/>
    <cellStyle name="Note 5 4 2 8" xfId="28377"/>
    <cellStyle name="Note 5 4 2 9" xfId="28378"/>
    <cellStyle name="Note 5 4 20" xfId="28379"/>
    <cellStyle name="Note 5 4 21" xfId="28380"/>
    <cellStyle name="Note 5 4 22" xfId="28381"/>
    <cellStyle name="Note 5 4 23" xfId="28382"/>
    <cellStyle name="Note 5 4 3" xfId="28383"/>
    <cellStyle name="Note 5 4 3 10" xfId="28384"/>
    <cellStyle name="Note 5 4 3 11" xfId="28385"/>
    <cellStyle name="Note 5 4 3 12" xfId="28386"/>
    <cellStyle name="Note 5 4 3 13" xfId="28387"/>
    <cellStyle name="Note 5 4 3 14" xfId="28388"/>
    <cellStyle name="Note 5 4 3 15" xfId="28389"/>
    <cellStyle name="Note 5 4 3 16" xfId="28390"/>
    <cellStyle name="Note 5 4 3 2" xfId="28391"/>
    <cellStyle name="Note 5 4 3 2 2" xfId="28392"/>
    <cellStyle name="Note 5 4 3 2 3" xfId="28393"/>
    <cellStyle name="Note 5 4 3 2 4" xfId="28394"/>
    <cellStyle name="Note 5 4 3 3" xfId="28395"/>
    <cellStyle name="Note 5 4 3 4" xfId="28396"/>
    <cellStyle name="Note 5 4 3 5" xfId="28397"/>
    <cellStyle name="Note 5 4 3 6" xfId="28398"/>
    <cellStyle name="Note 5 4 3 7" xfId="28399"/>
    <cellStyle name="Note 5 4 3 8" xfId="28400"/>
    <cellStyle name="Note 5 4 3 9" xfId="28401"/>
    <cellStyle name="Note 5 4 4" xfId="28402"/>
    <cellStyle name="Note 5 4 4 10" xfId="28403"/>
    <cellStyle name="Note 5 4 4 11" xfId="28404"/>
    <cellStyle name="Note 5 4 4 12" xfId="28405"/>
    <cellStyle name="Note 5 4 4 13" xfId="28406"/>
    <cellStyle name="Note 5 4 4 14" xfId="28407"/>
    <cellStyle name="Note 5 4 4 15" xfId="28408"/>
    <cellStyle name="Note 5 4 4 16" xfId="28409"/>
    <cellStyle name="Note 5 4 4 2" xfId="28410"/>
    <cellStyle name="Note 5 4 4 2 2" xfId="28411"/>
    <cellStyle name="Note 5 4 4 2 3" xfId="28412"/>
    <cellStyle name="Note 5 4 4 2 4" xfId="28413"/>
    <cellStyle name="Note 5 4 4 3" xfId="28414"/>
    <cellStyle name="Note 5 4 4 4" xfId="28415"/>
    <cellStyle name="Note 5 4 4 5" xfId="28416"/>
    <cellStyle name="Note 5 4 4 6" xfId="28417"/>
    <cellStyle name="Note 5 4 4 7" xfId="28418"/>
    <cellStyle name="Note 5 4 4 8" xfId="28419"/>
    <cellStyle name="Note 5 4 4 9" xfId="28420"/>
    <cellStyle name="Note 5 4 5" xfId="28421"/>
    <cellStyle name="Note 5 4 5 10" xfId="28422"/>
    <cellStyle name="Note 5 4 5 11" xfId="28423"/>
    <cellStyle name="Note 5 4 5 12" xfId="28424"/>
    <cellStyle name="Note 5 4 5 13" xfId="28425"/>
    <cellStyle name="Note 5 4 5 14" xfId="28426"/>
    <cellStyle name="Note 5 4 5 15" xfId="28427"/>
    <cellStyle name="Note 5 4 5 16" xfId="28428"/>
    <cellStyle name="Note 5 4 5 2" xfId="28429"/>
    <cellStyle name="Note 5 4 5 2 2" xfId="28430"/>
    <cellStyle name="Note 5 4 5 2 3" xfId="28431"/>
    <cellStyle name="Note 5 4 5 2 4" xfId="28432"/>
    <cellStyle name="Note 5 4 5 3" xfId="28433"/>
    <cellStyle name="Note 5 4 5 4" xfId="28434"/>
    <cellStyle name="Note 5 4 5 5" xfId="28435"/>
    <cellStyle name="Note 5 4 5 6" xfId="28436"/>
    <cellStyle name="Note 5 4 5 7" xfId="28437"/>
    <cellStyle name="Note 5 4 5 8" xfId="28438"/>
    <cellStyle name="Note 5 4 5 9" xfId="28439"/>
    <cellStyle name="Note 5 4 6" xfId="28440"/>
    <cellStyle name="Note 5 4 6 10" xfId="28441"/>
    <cellStyle name="Note 5 4 6 11" xfId="28442"/>
    <cellStyle name="Note 5 4 6 12" xfId="28443"/>
    <cellStyle name="Note 5 4 6 13" xfId="28444"/>
    <cellStyle name="Note 5 4 6 14" xfId="28445"/>
    <cellStyle name="Note 5 4 6 15" xfId="28446"/>
    <cellStyle name="Note 5 4 6 16" xfId="28447"/>
    <cellStyle name="Note 5 4 6 2" xfId="28448"/>
    <cellStyle name="Note 5 4 6 2 2" xfId="28449"/>
    <cellStyle name="Note 5 4 6 2 3" xfId="28450"/>
    <cellStyle name="Note 5 4 6 2 4" xfId="28451"/>
    <cellStyle name="Note 5 4 6 3" xfId="28452"/>
    <cellStyle name="Note 5 4 6 4" xfId="28453"/>
    <cellStyle name="Note 5 4 6 5" xfId="28454"/>
    <cellStyle name="Note 5 4 6 6" xfId="28455"/>
    <cellStyle name="Note 5 4 6 7" xfId="28456"/>
    <cellStyle name="Note 5 4 6 8" xfId="28457"/>
    <cellStyle name="Note 5 4 6 9" xfId="28458"/>
    <cellStyle name="Note 5 4 7" xfId="28459"/>
    <cellStyle name="Note 5 4 7 10" xfId="28460"/>
    <cellStyle name="Note 5 4 7 11" xfId="28461"/>
    <cellStyle name="Note 5 4 7 12" xfId="28462"/>
    <cellStyle name="Note 5 4 7 13" xfId="28463"/>
    <cellStyle name="Note 5 4 7 14" xfId="28464"/>
    <cellStyle name="Note 5 4 7 15" xfId="28465"/>
    <cellStyle name="Note 5 4 7 16" xfId="28466"/>
    <cellStyle name="Note 5 4 7 2" xfId="28467"/>
    <cellStyle name="Note 5 4 7 2 2" xfId="28468"/>
    <cellStyle name="Note 5 4 7 2 3" xfId="28469"/>
    <cellStyle name="Note 5 4 7 2 4" xfId="28470"/>
    <cellStyle name="Note 5 4 7 3" xfId="28471"/>
    <cellStyle name="Note 5 4 7 4" xfId="28472"/>
    <cellStyle name="Note 5 4 7 5" xfId="28473"/>
    <cellStyle name="Note 5 4 7 6" xfId="28474"/>
    <cellStyle name="Note 5 4 7 7" xfId="28475"/>
    <cellStyle name="Note 5 4 7 8" xfId="28476"/>
    <cellStyle name="Note 5 4 7 9" xfId="28477"/>
    <cellStyle name="Note 5 4 8" xfId="28478"/>
    <cellStyle name="Note 5 4 8 10" xfId="28479"/>
    <cellStyle name="Note 5 4 8 11" xfId="28480"/>
    <cellStyle name="Note 5 4 8 12" xfId="28481"/>
    <cellStyle name="Note 5 4 8 13" xfId="28482"/>
    <cellStyle name="Note 5 4 8 14" xfId="28483"/>
    <cellStyle name="Note 5 4 8 15" xfId="28484"/>
    <cellStyle name="Note 5 4 8 16" xfId="28485"/>
    <cellStyle name="Note 5 4 8 2" xfId="28486"/>
    <cellStyle name="Note 5 4 8 2 2" xfId="28487"/>
    <cellStyle name="Note 5 4 8 2 3" xfId="28488"/>
    <cellStyle name="Note 5 4 8 2 4" xfId="28489"/>
    <cellStyle name="Note 5 4 8 3" xfId="28490"/>
    <cellStyle name="Note 5 4 8 4" xfId="28491"/>
    <cellStyle name="Note 5 4 8 5" xfId="28492"/>
    <cellStyle name="Note 5 4 8 6" xfId="28493"/>
    <cellStyle name="Note 5 4 8 7" xfId="28494"/>
    <cellStyle name="Note 5 4 8 8" xfId="28495"/>
    <cellStyle name="Note 5 4 8 9" xfId="28496"/>
    <cellStyle name="Note 5 4 9" xfId="28497"/>
    <cellStyle name="Note 5 4 9 2" xfId="28498"/>
    <cellStyle name="Note 5 4 9 3" xfId="28499"/>
    <cellStyle name="Note 5 4 9 4" xfId="28500"/>
    <cellStyle name="Note 5 5" xfId="28501"/>
    <cellStyle name="Note 5 5 2" xfId="28502"/>
    <cellStyle name="Note 5 5 3" xfId="28503"/>
    <cellStyle name="Note 5 5 4" xfId="28504"/>
    <cellStyle name="Note 5 6" xfId="28505"/>
    <cellStyle name="Note 5 7" xfId="28506"/>
    <cellStyle name="Note 5 8" xfId="28507"/>
    <cellStyle name="Note 5 9" xfId="28508"/>
    <cellStyle name="Note 6" xfId="28509"/>
    <cellStyle name="Note 6 10" xfId="28510"/>
    <cellStyle name="Note 6 11" xfId="28511"/>
    <cellStyle name="Note 6 12" xfId="28512"/>
    <cellStyle name="Note 6 13" xfId="28513"/>
    <cellStyle name="Note 6 14" xfId="28514"/>
    <cellStyle name="Note 6 15" xfId="28515"/>
    <cellStyle name="Note 6 16" xfId="28516"/>
    <cellStyle name="Note 6 17" xfId="28517"/>
    <cellStyle name="Note 6 18" xfId="28518"/>
    <cellStyle name="Note 6 2" xfId="28519"/>
    <cellStyle name="Note 6 2 10" xfId="28520"/>
    <cellStyle name="Note 6 2 11" xfId="28521"/>
    <cellStyle name="Note 6 2 12" xfId="28522"/>
    <cellStyle name="Note 6 2 13" xfId="28523"/>
    <cellStyle name="Note 6 2 14" xfId="28524"/>
    <cellStyle name="Note 6 2 15" xfId="28525"/>
    <cellStyle name="Note 6 2 16" xfId="28526"/>
    <cellStyle name="Note 6 2 17" xfId="28527"/>
    <cellStyle name="Note 6 2 18" xfId="28528"/>
    <cellStyle name="Note 6 2 19" xfId="28529"/>
    <cellStyle name="Note 6 2 2" xfId="28530"/>
    <cellStyle name="Note 6 2 2 10" xfId="28531"/>
    <cellStyle name="Note 6 2 2 11" xfId="28532"/>
    <cellStyle name="Note 6 2 2 12" xfId="28533"/>
    <cellStyle name="Note 6 2 2 13" xfId="28534"/>
    <cellStyle name="Note 6 2 2 14" xfId="28535"/>
    <cellStyle name="Note 6 2 2 15" xfId="28536"/>
    <cellStyle name="Note 6 2 2 16" xfId="28537"/>
    <cellStyle name="Note 6 2 2 2" xfId="28538"/>
    <cellStyle name="Note 6 2 2 2 2" xfId="28539"/>
    <cellStyle name="Note 6 2 2 2 3" xfId="28540"/>
    <cellStyle name="Note 6 2 2 2 4" xfId="28541"/>
    <cellStyle name="Note 6 2 2 3" xfId="28542"/>
    <cellStyle name="Note 6 2 2 4" xfId="28543"/>
    <cellStyle name="Note 6 2 2 5" xfId="28544"/>
    <cellStyle name="Note 6 2 2 6" xfId="28545"/>
    <cellStyle name="Note 6 2 2 7" xfId="28546"/>
    <cellStyle name="Note 6 2 2 8" xfId="28547"/>
    <cellStyle name="Note 6 2 2 9" xfId="28548"/>
    <cellStyle name="Note 6 2 20" xfId="28549"/>
    <cellStyle name="Note 6 2 21" xfId="28550"/>
    <cellStyle name="Note 6 2 22" xfId="28551"/>
    <cellStyle name="Note 6 2 23" xfId="28552"/>
    <cellStyle name="Note 6 2 3" xfId="28553"/>
    <cellStyle name="Note 6 2 3 10" xfId="28554"/>
    <cellStyle name="Note 6 2 3 11" xfId="28555"/>
    <cellStyle name="Note 6 2 3 12" xfId="28556"/>
    <cellStyle name="Note 6 2 3 13" xfId="28557"/>
    <cellStyle name="Note 6 2 3 14" xfId="28558"/>
    <cellStyle name="Note 6 2 3 15" xfId="28559"/>
    <cellStyle name="Note 6 2 3 16" xfId="28560"/>
    <cellStyle name="Note 6 2 3 2" xfId="28561"/>
    <cellStyle name="Note 6 2 3 2 2" xfId="28562"/>
    <cellStyle name="Note 6 2 3 2 3" xfId="28563"/>
    <cellStyle name="Note 6 2 3 2 4" xfId="28564"/>
    <cellStyle name="Note 6 2 3 3" xfId="28565"/>
    <cellStyle name="Note 6 2 3 4" xfId="28566"/>
    <cellStyle name="Note 6 2 3 5" xfId="28567"/>
    <cellStyle name="Note 6 2 3 6" xfId="28568"/>
    <cellStyle name="Note 6 2 3 7" xfId="28569"/>
    <cellStyle name="Note 6 2 3 8" xfId="28570"/>
    <cellStyle name="Note 6 2 3 9" xfId="28571"/>
    <cellStyle name="Note 6 2 4" xfId="28572"/>
    <cellStyle name="Note 6 2 4 10" xfId="28573"/>
    <cellStyle name="Note 6 2 4 11" xfId="28574"/>
    <cellStyle name="Note 6 2 4 12" xfId="28575"/>
    <cellStyle name="Note 6 2 4 13" xfId="28576"/>
    <cellStyle name="Note 6 2 4 14" xfId="28577"/>
    <cellStyle name="Note 6 2 4 15" xfId="28578"/>
    <cellStyle name="Note 6 2 4 16" xfId="28579"/>
    <cellStyle name="Note 6 2 4 2" xfId="28580"/>
    <cellStyle name="Note 6 2 4 2 2" xfId="28581"/>
    <cellStyle name="Note 6 2 4 2 3" xfId="28582"/>
    <cellStyle name="Note 6 2 4 2 4" xfId="28583"/>
    <cellStyle name="Note 6 2 4 3" xfId="28584"/>
    <cellStyle name="Note 6 2 4 4" xfId="28585"/>
    <cellStyle name="Note 6 2 4 5" xfId="28586"/>
    <cellStyle name="Note 6 2 4 6" xfId="28587"/>
    <cellStyle name="Note 6 2 4 7" xfId="28588"/>
    <cellStyle name="Note 6 2 4 8" xfId="28589"/>
    <cellStyle name="Note 6 2 4 9" xfId="28590"/>
    <cellStyle name="Note 6 2 5" xfId="28591"/>
    <cellStyle name="Note 6 2 5 10" xfId="28592"/>
    <cellStyle name="Note 6 2 5 11" xfId="28593"/>
    <cellStyle name="Note 6 2 5 12" xfId="28594"/>
    <cellStyle name="Note 6 2 5 13" xfId="28595"/>
    <cellStyle name="Note 6 2 5 14" xfId="28596"/>
    <cellStyle name="Note 6 2 5 15" xfId="28597"/>
    <cellStyle name="Note 6 2 5 16" xfId="28598"/>
    <cellStyle name="Note 6 2 5 2" xfId="28599"/>
    <cellStyle name="Note 6 2 5 2 2" xfId="28600"/>
    <cellStyle name="Note 6 2 5 2 3" xfId="28601"/>
    <cellStyle name="Note 6 2 5 2 4" xfId="28602"/>
    <cellStyle name="Note 6 2 5 3" xfId="28603"/>
    <cellStyle name="Note 6 2 5 4" xfId="28604"/>
    <cellStyle name="Note 6 2 5 5" xfId="28605"/>
    <cellStyle name="Note 6 2 5 6" xfId="28606"/>
    <cellStyle name="Note 6 2 5 7" xfId="28607"/>
    <cellStyle name="Note 6 2 5 8" xfId="28608"/>
    <cellStyle name="Note 6 2 5 9" xfId="28609"/>
    <cellStyle name="Note 6 2 6" xfId="28610"/>
    <cellStyle name="Note 6 2 6 10" xfId="28611"/>
    <cellStyle name="Note 6 2 6 11" xfId="28612"/>
    <cellStyle name="Note 6 2 6 12" xfId="28613"/>
    <cellStyle name="Note 6 2 6 13" xfId="28614"/>
    <cellStyle name="Note 6 2 6 14" xfId="28615"/>
    <cellStyle name="Note 6 2 6 15" xfId="28616"/>
    <cellStyle name="Note 6 2 6 16" xfId="28617"/>
    <cellStyle name="Note 6 2 6 2" xfId="28618"/>
    <cellStyle name="Note 6 2 6 2 2" xfId="28619"/>
    <cellStyle name="Note 6 2 6 2 3" xfId="28620"/>
    <cellStyle name="Note 6 2 6 2 4" xfId="28621"/>
    <cellStyle name="Note 6 2 6 3" xfId="28622"/>
    <cellStyle name="Note 6 2 6 4" xfId="28623"/>
    <cellStyle name="Note 6 2 6 5" xfId="28624"/>
    <cellStyle name="Note 6 2 6 6" xfId="28625"/>
    <cellStyle name="Note 6 2 6 7" xfId="28626"/>
    <cellStyle name="Note 6 2 6 8" xfId="28627"/>
    <cellStyle name="Note 6 2 6 9" xfId="28628"/>
    <cellStyle name="Note 6 2 7" xfId="28629"/>
    <cellStyle name="Note 6 2 7 10" xfId="28630"/>
    <cellStyle name="Note 6 2 7 11" xfId="28631"/>
    <cellStyle name="Note 6 2 7 12" xfId="28632"/>
    <cellStyle name="Note 6 2 7 13" xfId="28633"/>
    <cellStyle name="Note 6 2 7 14" xfId="28634"/>
    <cellStyle name="Note 6 2 7 15" xfId="28635"/>
    <cellStyle name="Note 6 2 7 16" xfId="28636"/>
    <cellStyle name="Note 6 2 7 2" xfId="28637"/>
    <cellStyle name="Note 6 2 7 2 2" xfId="28638"/>
    <cellStyle name="Note 6 2 7 2 3" xfId="28639"/>
    <cellStyle name="Note 6 2 7 2 4" xfId="28640"/>
    <cellStyle name="Note 6 2 7 3" xfId="28641"/>
    <cellStyle name="Note 6 2 7 4" xfId="28642"/>
    <cellStyle name="Note 6 2 7 5" xfId="28643"/>
    <cellStyle name="Note 6 2 7 6" xfId="28644"/>
    <cellStyle name="Note 6 2 7 7" xfId="28645"/>
    <cellStyle name="Note 6 2 7 8" xfId="28646"/>
    <cellStyle name="Note 6 2 7 9" xfId="28647"/>
    <cellStyle name="Note 6 2 8" xfId="28648"/>
    <cellStyle name="Note 6 2 8 10" xfId="28649"/>
    <cellStyle name="Note 6 2 8 11" xfId="28650"/>
    <cellStyle name="Note 6 2 8 12" xfId="28651"/>
    <cellStyle name="Note 6 2 8 13" xfId="28652"/>
    <cellStyle name="Note 6 2 8 14" xfId="28653"/>
    <cellStyle name="Note 6 2 8 15" xfId="28654"/>
    <cellStyle name="Note 6 2 8 16" xfId="28655"/>
    <cellStyle name="Note 6 2 8 2" xfId="28656"/>
    <cellStyle name="Note 6 2 8 2 2" xfId="28657"/>
    <cellStyle name="Note 6 2 8 2 3" xfId="28658"/>
    <cellStyle name="Note 6 2 8 2 4" xfId="28659"/>
    <cellStyle name="Note 6 2 8 3" xfId="28660"/>
    <cellStyle name="Note 6 2 8 4" xfId="28661"/>
    <cellStyle name="Note 6 2 8 5" xfId="28662"/>
    <cellStyle name="Note 6 2 8 6" xfId="28663"/>
    <cellStyle name="Note 6 2 8 7" xfId="28664"/>
    <cellStyle name="Note 6 2 8 8" xfId="28665"/>
    <cellStyle name="Note 6 2 8 9" xfId="28666"/>
    <cellStyle name="Note 6 2 9" xfId="28667"/>
    <cellStyle name="Note 6 2 9 2" xfId="28668"/>
    <cellStyle name="Note 6 2 9 3" xfId="28669"/>
    <cellStyle name="Note 6 2 9 4" xfId="28670"/>
    <cellStyle name="Note 6 3" xfId="28671"/>
    <cellStyle name="Note 6 3 10" xfId="28672"/>
    <cellStyle name="Note 6 3 11" xfId="28673"/>
    <cellStyle name="Note 6 3 12" xfId="28674"/>
    <cellStyle name="Note 6 3 13" xfId="28675"/>
    <cellStyle name="Note 6 3 14" xfId="28676"/>
    <cellStyle name="Note 6 3 15" xfId="28677"/>
    <cellStyle name="Note 6 3 16" xfId="28678"/>
    <cellStyle name="Note 6 3 17" xfId="28679"/>
    <cellStyle name="Note 6 3 18" xfId="28680"/>
    <cellStyle name="Note 6 3 19" xfId="28681"/>
    <cellStyle name="Note 6 3 2" xfId="28682"/>
    <cellStyle name="Note 6 3 2 10" xfId="28683"/>
    <cellStyle name="Note 6 3 2 11" xfId="28684"/>
    <cellStyle name="Note 6 3 2 12" xfId="28685"/>
    <cellStyle name="Note 6 3 2 13" xfId="28686"/>
    <cellStyle name="Note 6 3 2 14" xfId="28687"/>
    <cellStyle name="Note 6 3 2 15" xfId="28688"/>
    <cellStyle name="Note 6 3 2 16" xfId="28689"/>
    <cellStyle name="Note 6 3 2 2" xfId="28690"/>
    <cellStyle name="Note 6 3 2 2 2" xfId="28691"/>
    <cellStyle name="Note 6 3 2 2 3" xfId="28692"/>
    <cellStyle name="Note 6 3 2 2 4" xfId="28693"/>
    <cellStyle name="Note 6 3 2 3" xfId="28694"/>
    <cellStyle name="Note 6 3 2 4" xfId="28695"/>
    <cellStyle name="Note 6 3 2 5" xfId="28696"/>
    <cellStyle name="Note 6 3 2 6" xfId="28697"/>
    <cellStyle name="Note 6 3 2 7" xfId="28698"/>
    <cellStyle name="Note 6 3 2 8" xfId="28699"/>
    <cellStyle name="Note 6 3 2 9" xfId="28700"/>
    <cellStyle name="Note 6 3 20" xfId="28701"/>
    <cellStyle name="Note 6 3 21" xfId="28702"/>
    <cellStyle name="Note 6 3 22" xfId="28703"/>
    <cellStyle name="Note 6 3 23" xfId="28704"/>
    <cellStyle name="Note 6 3 3" xfId="28705"/>
    <cellStyle name="Note 6 3 3 10" xfId="28706"/>
    <cellStyle name="Note 6 3 3 11" xfId="28707"/>
    <cellStyle name="Note 6 3 3 12" xfId="28708"/>
    <cellStyle name="Note 6 3 3 13" xfId="28709"/>
    <cellStyle name="Note 6 3 3 14" xfId="28710"/>
    <cellStyle name="Note 6 3 3 15" xfId="28711"/>
    <cellStyle name="Note 6 3 3 16" xfId="28712"/>
    <cellStyle name="Note 6 3 3 2" xfId="28713"/>
    <cellStyle name="Note 6 3 3 2 2" xfId="28714"/>
    <cellStyle name="Note 6 3 3 2 3" xfId="28715"/>
    <cellStyle name="Note 6 3 3 2 4" xfId="28716"/>
    <cellStyle name="Note 6 3 3 3" xfId="28717"/>
    <cellStyle name="Note 6 3 3 4" xfId="28718"/>
    <cellStyle name="Note 6 3 3 5" xfId="28719"/>
    <cellStyle name="Note 6 3 3 6" xfId="28720"/>
    <cellStyle name="Note 6 3 3 7" xfId="28721"/>
    <cellStyle name="Note 6 3 3 8" xfId="28722"/>
    <cellStyle name="Note 6 3 3 9" xfId="28723"/>
    <cellStyle name="Note 6 3 4" xfId="28724"/>
    <cellStyle name="Note 6 3 4 10" xfId="28725"/>
    <cellStyle name="Note 6 3 4 11" xfId="28726"/>
    <cellStyle name="Note 6 3 4 12" xfId="28727"/>
    <cellStyle name="Note 6 3 4 13" xfId="28728"/>
    <cellStyle name="Note 6 3 4 14" xfId="28729"/>
    <cellStyle name="Note 6 3 4 15" xfId="28730"/>
    <cellStyle name="Note 6 3 4 16" xfId="28731"/>
    <cellStyle name="Note 6 3 4 2" xfId="28732"/>
    <cellStyle name="Note 6 3 4 2 2" xfId="28733"/>
    <cellStyle name="Note 6 3 4 2 3" xfId="28734"/>
    <cellStyle name="Note 6 3 4 2 4" xfId="28735"/>
    <cellStyle name="Note 6 3 4 3" xfId="28736"/>
    <cellStyle name="Note 6 3 4 4" xfId="28737"/>
    <cellStyle name="Note 6 3 4 5" xfId="28738"/>
    <cellStyle name="Note 6 3 4 6" xfId="28739"/>
    <cellStyle name="Note 6 3 4 7" xfId="28740"/>
    <cellStyle name="Note 6 3 4 8" xfId="28741"/>
    <cellStyle name="Note 6 3 4 9" xfId="28742"/>
    <cellStyle name="Note 6 3 5" xfId="28743"/>
    <cellStyle name="Note 6 3 5 10" xfId="28744"/>
    <cellStyle name="Note 6 3 5 11" xfId="28745"/>
    <cellStyle name="Note 6 3 5 12" xfId="28746"/>
    <cellStyle name="Note 6 3 5 13" xfId="28747"/>
    <cellStyle name="Note 6 3 5 14" xfId="28748"/>
    <cellStyle name="Note 6 3 5 15" xfId="28749"/>
    <cellStyle name="Note 6 3 5 16" xfId="28750"/>
    <cellStyle name="Note 6 3 5 2" xfId="28751"/>
    <cellStyle name="Note 6 3 5 2 2" xfId="28752"/>
    <cellStyle name="Note 6 3 5 2 3" xfId="28753"/>
    <cellStyle name="Note 6 3 5 2 4" xfId="28754"/>
    <cellStyle name="Note 6 3 5 3" xfId="28755"/>
    <cellStyle name="Note 6 3 5 4" xfId="28756"/>
    <cellStyle name="Note 6 3 5 5" xfId="28757"/>
    <cellStyle name="Note 6 3 5 6" xfId="28758"/>
    <cellStyle name="Note 6 3 5 7" xfId="28759"/>
    <cellStyle name="Note 6 3 5 8" xfId="28760"/>
    <cellStyle name="Note 6 3 5 9" xfId="28761"/>
    <cellStyle name="Note 6 3 6" xfId="28762"/>
    <cellStyle name="Note 6 3 6 10" xfId="28763"/>
    <cellStyle name="Note 6 3 6 11" xfId="28764"/>
    <cellStyle name="Note 6 3 6 12" xfId="28765"/>
    <cellStyle name="Note 6 3 6 13" xfId="28766"/>
    <cellStyle name="Note 6 3 6 14" xfId="28767"/>
    <cellStyle name="Note 6 3 6 15" xfId="28768"/>
    <cellStyle name="Note 6 3 6 16" xfId="28769"/>
    <cellStyle name="Note 6 3 6 2" xfId="28770"/>
    <cellStyle name="Note 6 3 6 2 2" xfId="28771"/>
    <cellStyle name="Note 6 3 6 2 3" xfId="28772"/>
    <cellStyle name="Note 6 3 6 2 4" xfId="28773"/>
    <cellStyle name="Note 6 3 6 3" xfId="28774"/>
    <cellStyle name="Note 6 3 6 4" xfId="28775"/>
    <cellStyle name="Note 6 3 6 5" xfId="28776"/>
    <cellStyle name="Note 6 3 6 6" xfId="28777"/>
    <cellStyle name="Note 6 3 6 7" xfId="28778"/>
    <cellStyle name="Note 6 3 6 8" xfId="28779"/>
    <cellStyle name="Note 6 3 6 9" xfId="28780"/>
    <cellStyle name="Note 6 3 7" xfId="28781"/>
    <cellStyle name="Note 6 3 7 10" xfId="28782"/>
    <cellStyle name="Note 6 3 7 11" xfId="28783"/>
    <cellStyle name="Note 6 3 7 12" xfId="28784"/>
    <cellStyle name="Note 6 3 7 13" xfId="28785"/>
    <cellStyle name="Note 6 3 7 14" xfId="28786"/>
    <cellStyle name="Note 6 3 7 15" xfId="28787"/>
    <cellStyle name="Note 6 3 7 16" xfId="28788"/>
    <cellStyle name="Note 6 3 7 2" xfId="28789"/>
    <cellStyle name="Note 6 3 7 2 2" xfId="28790"/>
    <cellStyle name="Note 6 3 7 2 3" xfId="28791"/>
    <cellStyle name="Note 6 3 7 2 4" xfId="28792"/>
    <cellStyle name="Note 6 3 7 3" xfId="28793"/>
    <cellStyle name="Note 6 3 7 4" xfId="28794"/>
    <cellStyle name="Note 6 3 7 5" xfId="28795"/>
    <cellStyle name="Note 6 3 7 6" xfId="28796"/>
    <cellStyle name="Note 6 3 7 7" xfId="28797"/>
    <cellStyle name="Note 6 3 7 8" xfId="28798"/>
    <cellStyle name="Note 6 3 7 9" xfId="28799"/>
    <cellStyle name="Note 6 3 8" xfId="28800"/>
    <cellStyle name="Note 6 3 8 10" xfId="28801"/>
    <cellStyle name="Note 6 3 8 11" xfId="28802"/>
    <cellStyle name="Note 6 3 8 12" xfId="28803"/>
    <cellStyle name="Note 6 3 8 13" xfId="28804"/>
    <cellStyle name="Note 6 3 8 14" xfId="28805"/>
    <cellStyle name="Note 6 3 8 15" xfId="28806"/>
    <cellStyle name="Note 6 3 8 16" xfId="28807"/>
    <cellStyle name="Note 6 3 8 2" xfId="28808"/>
    <cellStyle name="Note 6 3 8 2 2" xfId="28809"/>
    <cellStyle name="Note 6 3 8 2 3" xfId="28810"/>
    <cellStyle name="Note 6 3 8 2 4" xfId="28811"/>
    <cellStyle name="Note 6 3 8 3" xfId="28812"/>
    <cellStyle name="Note 6 3 8 4" xfId="28813"/>
    <cellStyle name="Note 6 3 8 5" xfId="28814"/>
    <cellStyle name="Note 6 3 8 6" xfId="28815"/>
    <cellStyle name="Note 6 3 8 7" xfId="28816"/>
    <cellStyle name="Note 6 3 8 8" xfId="28817"/>
    <cellStyle name="Note 6 3 8 9" xfId="28818"/>
    <cellStyle name="Note 6 3 9" xfId="28819"/>
    <cellStyle name="Note 6 3 9 2" xfId="28820"/>
    <cellStyle name="Note 6 3 9 3" xfId="28821"/>
    <cellStyle name="Note 6 3 9 4" xfId="28822"/>
    <cellStyle name="Note 6 4" xfId="28823"/>
    <cellStyle name="Note 6 4 10" xfId="28824"/>
    <cellStyle name="Note 6 4 11" xfId="28825"/>
    <cellStyle name="Note 6 4 12" xfId="28826"/>
    <cellStyle name="Note 6 4 13" xfId="28827"/>
    <cellStyle name="Note 6 4 14" xfId="28828"/>
    <cellStyle name="Note 6 4 15" xfId="28829"/>
    <cellStyle name="Note 6 4 16" xfId="28830"/>
    <cellStyle name="Note 6 4 17" xfId="28831"/>
    <cellStyle name="Note 6 4 18" xfId="28832"/>
    <cellStyle name="Note 6 4 19" xfId="28833"/>
    <cellStyle name="Note 6 4 2" xfId="28834"/>
    <cellStyle name="Note 6 4 2 10" xfId="28835"/>
    <cellStyle name="Note 6 4 2 11" xfId="28836"/>
    <cellStyle name="Note 6 4 2 12" xfId="28837"/>
    <cellStyle name="Note 6 4 2 13" xfId="28838"/>
    <cellStyle name="Note 6 4 2 14" xfId="28839"/>
    <cellStyle name="Note 6 4 2 15" xfId="28840"/>
    <cellStyle name="Note 6 4 2 16" xfId="28841"/>
    <cellStyle name="Note 6 4 2 2" xfId="28842"/>
    <cellStyle name="Note 6 4 2 2 2" xfId="28843"/>
    <cellStyle name="Note 6 4 2 2 3" xfId="28844"/>
    <cellStyle name="Note 6 4 2 2 4" xfId="28845"/>
    <cellStyle name="Note 6 4 2 3" xfId="28846"/>
    <cellStyle name="Note 6 4 2 4" xfId="28847"/>
    <cellStyle name="Note 6 4 2 5" xfId="28848"/>
    <cellStyle name="Note 6 4 2 6" xfId="28849"/>
    <cellStyle name="Note 6 4 2 7" xfId="28850"/>
    <cellStyle name="Note 6 4 2 8" xfId="28851"/>
    <cellStyle name="Note 6 4 2 9" xfId="28852"/>
    <cellStyle name="Note 6 4 20" xfId="28853"/>
    <cellStyle name="Note 6 4 21" xfId="28854"/>
    <cellStyle name="Note 6 4 22" xfId="28855"/>
    <cellStyle name="Note 6 4 23" xfId="28856"/>
    <cellStyle name="Note 6 4 3" xfId="28857"/>
    <cellStyle name="Note 6 4 3 10" xfId="28858"/>
    <cellStyle name="Note 6 4 3 11" xfId="28859"/>
    <cellStyle name="Note 6 4 3 12" xfId="28860"/>
    <cellStyle name="Note 6 4 3 13" xfId="28861"/>
    <cellStyle name="Note 6 4 3 14" xfId="28862"/>
    <cellStyle name="Note 6 4 3 15" xfId="28863"/>
    <cellStyle name="Note 6 4 3 16" xfId="28864"/>
    <cellStyle name="Note 6 4 3 2" xfId="28865"/>
    <cellStyle name="Note 6 4 3 2 2" xfId="28866"/>
    <cellStyle name="Note 6 4 3 2 3" xfId="28867"/>
    <cellStyle name="Note 6 4 3 2 4" xfId="28868"/>
    <cellStyle name="Note 6 4 3 3" xfId="28869"/>
    <cellStyle name="Note 6 4 3 4" xfId="28870"/>
    <cellStyle name="Note 6 4 3 5" xfId="28871"/>
    <cellStyle name="Note 6 4 3 6" xfId="28872"/>
    <cellStyle name="Note 6 4 3 7" xfId="28873"/>
    <cellStyle name="Note 6 4 3 8" xfId="28874"/>
    <cellStyle name="Note 6 4 3 9" xfId="28875"/>
    <cellStyle name="Note 6 4 4" xfId="28876"/>
    <cellStyle name="Note 6 4 4 10" xfId="28877"/>
    <cellStyle name="Note 6 4 4 11" xfId="28878"/>
    <cellStyle name="Note 6 4 4 12" xfId="28879"/>
    <cellStyle name="Note 6 4 4 13" xfId="28880"/>
    <cellStyle name="Note 6 4 4 14" xfId="28881"/>
    <cellStyle name="Note 6 4 4 15" xfId="28882"/>
    <cellStyle name="Note 6 4 4 16" xfId="28883"/>
    <cellStyle name="Note 6 4 4 2" xfId="28884"/>
    <cellStyle name="Note 6 4 4 2 2" xfId="28885"/>
    <cellStyle name="Note 6 4 4 2 3" xfId="28886"/>
    <cellStyle name="Note 6 4 4 2 4" xfId="28887"/>
    <cellStyle name="Note 6 4 4 3" xfId="28888"/>
    <cellStyle name="Note 6 4 4 4" xfId="28889"/>
    <cellStyle name="Note 6 4 4 5" xfId="28890"/>
    <cellStyle name="Note 6 4 4 6" xfId="28891"/>
    <cellStyle name="Note 6 4 4 7" xfId="28892"/>
    <cellStyle name="Note 6 4 4 8" xfId="28893"/>
    <cellStyle name="Note 6 4 4 9" xfId="28894"/>
    <cellStyle name="Note 6 4 5" xfId="28895"/>
    <cellStyle name="Note 6 4 5 10" xfId="28896"/>
    <cellStyle name="Note 6 4 5 11" xfId="28897"/>
    <cellStyle name="Note 6 4 5 12" xfId="28898"/>
    <cellStyle name="Note 6 4 5 13" xfId="28899"/>
    <cellStyle name="Note 6 4 5 14" xfId="28900"/>
    <cellStyle name="Note 6 4 5 15" xfId="28901"/>
    <cellStyle name="Note 6 4 5 16" xfId="28902"/>
    <cellStyle name="Note 6 4 5 2" xfId="28903"/>
    <cellStyle name="Note 6 4 5 2 2" xfId="28904"/>
    <cellStyle name="Note 6 4 5 2 3" xfId="28905"/>
    <cellStyle name="Note 6 4 5 2 4" xfId="28906"/>
    <cellStyle name="Note 6 4 5 3" xfId="28907"/>
    <cellStyle name="Note 6 4 5 4" xfId="28908"/>
    <cellStyle name="Note 6 4 5 5" xfId="28909"/>
    <cellStyle name="Note 6 4 5 6" xfId="28910"/>
    <cellStyle name="Note 6 4 5 7" xfId="28911"/>
    <cellStyle name="Note 6 4 5 8" xfId="28912"/>
    <cellStyle name="Note 6 4 5 9" xfId="28913"/>
    <cellStyle name="Note 6 4 6" xfId="28914"/>
    <cellStyle name="Note 6 4 6 10" xfId="28915"/>
    <cellStyle name="Note 6 4 6 11" xfId="28916"/>
    <cellStyle name="Note 6 4 6 12" xfId="28917"/>
    <cellStyle name="Note 6 4 6 13" xfId="28918"/>
    <cellStyle name="Note 6 4 6 14" xfId="28919"/>
    <cellStyle name="Note 6 4 6 15" xfId="28920"/>
    <cellStyle name="Note 6 4 6 16" xfId="28921"/>
    <cellStyle name="Note 6 4 6 2" xfId="28922"/>
    <cellStyle name="Note 6 4 6 2 2" xfId="28923"/>
    <cellStyle name="Note 6 4 6 2 3" xfId="28924"/>
    <cellStyle name="Note 6 4 6 2 4" xfId="28925"/>
    <cellStyle name="Note 6 4 6 3" xfId="28926"/>
    <cellStyle name="Note 6 4 6 4" xfId="28927"/>
    <cellStyle name="Note 6 4 6 5" xfId="28928"/>
    <cellStyle name="Note 6 4 6 6" xfId="28929"/>
    <cellStyle name="Note 6 4 6 7" xfId="28930"/>
    <cellStyle name="Note 6 4 6 8" xfId="28931"/>
    <cellStyle name="Note 6 4 6 9" xfId="28932"/>
    <cellStyle name="Note 6 4 7" xfId="28933"/>
    <cellStyle name="Note 6 4 7 10" xfId="28934"/>
    <cellStyle name="Note 6 4 7 11" xfId="28935"/>
    <cellStyle name="Note 6 4 7 12" xfId="28936"/>
    <cellStyle name="Note 6 4 7 13" xfId="28937"/>
    <cellStyle name="Note 6 4 7 14" xfId="28938"/>
    <cellStyle name="Note 6 4 7 15" xfId="28939"/>
    <cellStyle name="Note 6 4 7 16" xfId="28940"/>
    <cellStyle name="Note 6 4 7 2" xfId="28941"/>
    <cellStyle name="Note 6 4 7 2 2" xfId="28942"/>
    <cellStyle name="Note 6 4 7 2 3" xfId="28943"/>
    <cellStyle name="Note 6 4 7 2 4" xfId="28944"/>
    <cellStyle name="Note 6 4 7 3" xfId="28945"/>
    <cellStyle name="Note 6 4 7 4" xfId="28946"/>
    <cellStyle name="Note 6 4 7 5" xfId="28947"/>
    <cellStyle name="Note 6 4 7 6" xfId="28948"/>
    <cellStyle name="Note 6 4 7 7" xfId="28949"/>
    <cellStyle name="Note 6 4 7 8" xfId="28950"/>
    <cellStyle name="Note 6 4 7 9" xfId="28951"/>
    <cellStyle name="Note 6 4 8" xfId="28952"/>
    <cellStyle name="Note 6 4 8 10" xfId="28953"/>
    <cellStyle name="Note 6 4 8 11" xfId="28954"/>
    <cellStyle name="Note 6 4 8 12" xfId="28955"/>
    <cellStyle name="Note 6 4 8 13" xfId="28956"/>
    <cellStyle name="Note 6 4 8 14" xfId="28957"/>
    <cellStyle name="Note 6 4 8 15" xfId="28958"/>
    <cellStyle name="Note 6 4 8 16" xfId="28959"/>
    <cellStyle name="Note 6 4 8 2" xfId="28960"/>
    <cellStyle name="Note 6 4 8 2 2" xfId="28961"/>
    <cellStyle name="Note 6 4 8 2 3" xfId="28962"/>
    <cellStyle name="Note 6 4 8 2 4" xfId="28963"/>
    <cellStyle name="Note 6 4 8 3" xfId="28964"/>
    <cellStyle name="Note 6 4 8 4" xfId="28965"/>
    <cellStyle name="Note 6 4 8 5" xfId="28966"/>
    <cellStyle name="Note 6 4 8 6" xfId="28967"/>
    <cellStyle name="Note 6 4 8 7" xfId="28968"/>
    <cellStyle name="Note 6 4 8 8" xfId="28969"/>
    <cellStyle name="Note 6 4 8 9" xfId="28970"/>
    <cellStyle name="Note 6 4 9" xfId="28971"/>
    <cellStyle name="Note 6 4 9 2" xfId="28972"/>
    <cellStyle name="Note 6 4 9 3" xfId="28973"/>
    <cellStyle name="Note 6 4 9 4" xfId="28974"/>
    <cellStyle name="Note 6 5" xfId="28975"/>
    <cellStyle name="Note 6 5 2" xfId="28976"/>
    <cellStyle name="Note 6 5 3" xfId="28977"/>
    <cellStyle name="Note 6 5 4" xfId="28978"/>
    <cellStyle name="Note 6 6" xfId="28979"/>
    <cellStyle name="Note 6 7" xfId="28980"/>
    <cellStyle name="Note 6 8" xfId="28981"/>
    <cellStyle name="Note 6 9" xfId="28982"/>
    <cellStyle name="Note 7 2" xfId="28983"/>
    <cellStyle name="Note 7 2 10" xfId="28984"/>
    <cellStyle name="Note 7 2 11" xfId="28985"/>
    <cellStyle name="Note 7 2 12" xfId="28986"/>
    <cellStyle name="Note 7 2 13" xfId="28987"/>
    <cellStyle name="Note 7 2 14" xfId="28988"/>
    <cellStyle name="Note 7 2 15" xfId="28989"/>
    <cellStyle name="Note 7 2 16" xfId="28990"/>
    <cellStyle name="Note 7 2 17" xfId="28991"/>
    <cellStyle name="Note 7 2 18" xfId="28992"/>
    <cellStyle name="Note 7 2 19" xfId="28993"/>
    <cellStyle name="Note 7 2 2" xfId="28994"/>
    <cellStyle name="Note 7 2 2 10" xfId="28995"/>
    <cellStyle name="Note 7 2 2 11" xfId="28996"/>
    <cellStyle name="Note 7 2 2 12" xfId="28997"/>
    <cellStyle name="Note 7 2 2 13" xfId="28998"/>
    <cellStyle name="Note 7 2 2 14" xfId="28999"/>
    <cellStyle name="Note 7 2 2 15" xfId="29000"/>
    <cellStyle name="Note 7 2 2 16" xfId="29001"/>
    <cellStyle name="Note 7 2 2 2" xfId="29002"/>
    <cellStyle name="Note 7 2 2 2 2" xfId="29003"/>
    <cellStyle name="Note 7 2 2 2 3" xfId="29004"/>
    <cellStyle name="Note 7 2 2 2 4" xfId="29005"/>
    <cellStyle name="Note 7 2 2 3" xfId="29006"/>
    <cellStyle name="Note 7 2 2 4" xfId="29007"/>
    <cellStyle name="Note 7 2 2 5" xfId="29008"/>
    <cellStyle name="Note 7 2 2 6" xfId="29009"/>
    <cellStyle name="Note 7 2 2 7" xfId="29010"/>
    <cellStyle name="Note 7 2 2 8" xfId="29011"/>
    <cellStyle name="Note 7 2 2 9" xfId="29012"/>
    <cellStyle name="Note 7 2 20" xfId="29013"/>
    <cellStyle name="Note 7 2 21" xfId="29014"/>
    <cellStyle name="Note 7 2 22" xfId="29015"/>
    <cellStyle name="Note 7 2 23" xfId="29016"/>
    <cellStyle name="Note 7 2 3" xfId="29017"/>
    <cellStyle name="Note 7 2 3 10" xfId="29018"/>
    <cellStyle name="Note 7 2 3 11" xfId="29019"/>
    <cellStyle name="Note 7 2 3 12" xfId="29020"/>
    <cellStyle name="Note 7 2 3 13" xfId="29021"/>
    <cellStyle name="Note 7 2 3 14" xfId="29022"/>
    <cellStyle name="Note 7 2 3 15" xfId="29023"/>
    <cellStyle name="Note 7 2 3 16" xfId="29024"/>
    <cellStyle name="Note 7 2 3 2" xfId="29025"/>
    <cellStyle name="Note 7 2 3 2 2" xfId="29026"/>
    <cellStyle name="Note 7 2 3 2 3" xfId="29027"/>
    <cellStyle name="Note 7 2 3 2 4" xfId="29028"/>
    <cellStyle name="Note 7 2 3 3" xfId="29029"/>
    <cellStyle name="Note 7 2 3 4" xfId="29030"/>
    <cellStyle name="Note 7 2 3 5" xfId="29031"/>
    <cellStyle name="Note 7 2 3 6" xfId="29032"/>
    <cellStyle name="Note 7 2 3 7" xfId="29033"/>
    <cellStyle name="Note 7 2 3 8" xfId="29034"/>
    <cellStyle name="Note 7 2 3 9" xfId="29035"/>
    <cellStyle name="Note 7 2 4" xfId="29036"/>
    <cellStyle name="Note 7 2 4 10" xfId="29037"/>
    <cellStyle name="Note 7 2 4 11" xfId="29038"/>
    <cellStyle name="Note 7 2 4 12" xfId="29039"/>
    <cellStyle name="Note 7 2 4 13" xfId="29040"/>
    <cellStyle name="Note 7 2 4 14" xfId="29041"/>
    <cellStyle name="Note 7 2 4 15" xfId="29042"/>
    <cellStyle name="Note 7 2 4 16" xfId="29043"/>
    <cellStyle name="Note 7 2 4 2" xfId="29044"/>
    <cellStyle name="Note 7 2 4 2 2" xfId="29045"/>
    <cellStyle name="Note 7 2 4 2 3" xfId="29046"/>
    <cellStyle name="Note 7 2 4 2 4" xfId="29047"/>
    <cellStyle name="Note 7 2 4 3" xfId="29048"/>
    <cellStyle name="Note 7 2 4 4" xfId="29049"/>
    <cellStyle name="Note 7 2 4 5" xfId="29050"/>
    <cellStyle name="Note 7 2 4 6" xfId="29051"/>
    <cellStyle name="Note 7 2 4 7" xfId="29052"/>
    <cellStyle name="Note 7 2 4 8" xfId="29053"/>
    <cellStyle name="Note 7 2 4 9" xfId="29054"/>
    <cellStyle name="Note 7 2 5" xfId="29055"/>
    <cellStyle name="Note 7 2 5 10" xfId="29056"/>
    <cellStyle name="Note 7 2 5 11" xfId="29057"/>
    <cellStyle name="Note 7 2 5 12" xfId="29058"/>
    <cellStyle name="Note 7 2 5 13" xfId="29059"/>
    <cellStyle name="Note 7 2 5 14" xfId="29060"/>
    <cellStyle name="Note 7 2 5 15" xfId="29061"/>
    <cellStyle name="Note 7 2 5 16" xfId="29062"/>
    <cellStyle name="Note 7 2 5 2" xfId="29063"/>
    <cellStyle name="Note 7 2 5 2 2" xfId="29064"/>
    <cellStyle name="Note 7 2 5 2 3" xfId="29065"/>
    <cellStyle name="Note 7 2 5 2 4" xfId="29066"/>
    <cellStyle name="Note 7 2 5 3" xfId="29067"/>
    <cellStyle name="Note 7 2 5 4" xfId="29068"/>
    <cellStyle name="Note 7 2 5 5" xfId="29069"/>
    <cellStyle name="Note 7 2 5 6" xfId="29070"/>
    <cellStyle name="Note 7 2 5 7" xfId="29071"/>
    <cellStyle name="Note 7 2 5 8" xfId="29072"/>
    <cellStyle name="Note 7 2 5 9" xfId="29073"/>
    <cellStyle name="Note 7 2 6" xfId="29074"/>
    <cellStyle name="Note 7 2 6 10" xfId="29075"/>
    <cellStyle name="Note 7 2 6 11" xfId="29076"/>
    <cellStyle name="Note 7 2 6 12" xfId="29077"/>
    <cellStyle name="Note 7 2 6 13" xfId="29078"/>
    <cellStyle name="Note 7 2 6 14" xfId="29079"/>
    <cellStyle name="Note 7 2 6 15" xfId="29080"/>
    <cellStyle name="Note 7 2 6 16" xfId="29081"/>
    <cellStyle name="Note 7 2 6 2" xfId="29082"/>
    <cellStyle name="Note 7 2 6 2 2" xfId="29083"/>
    <cellStyle name="Note 7 2 6 2 3" xfId="29084"/>
    <cellStyle name="Note 7 2 6 2 4" xfId="29085"/>
    <cellStyle name="Note 7 2 6 3" xfId="29086"/>
    <cellStyle name="Note 7 2 6 4" xfId="29087"/>
    <cellStyle name="Note 7 2 6 5" xfId="29088"/>
    <cellStyle name="Note 7 2 6 6" xfId="29089"/>
    <cellStyle name="Note 7 2 6 7" xfId="29090"/>
    <cellStyle name="Note 7 2 6 8" xfId="29091"/>
    <cellStyle name="Note 7 2 6 9" xfId="29092"/>
    <cellStyle name="Note 7 2 7" xfId="29093"/>
    <cellStyle name="Note 7 2 7 10" xfId="29094"/>
    <cellStyle name="Note 7 2 7 11" xfId="29095"/>
    <cellStyle name="Note 7 2 7 12" xfId="29096"/>
    <cellStyle name="Note 7 2 7 13" xfId="29097"/>
    <cellStyle name="Note 7 2 7 14" xfId="29098"/>
    <cellStyle name="Note 7 2 7 15" xfId="29099"/>
    <cellStyle name="Note 7 2 7 16" xfId="29100"/>
    <cellStyle name="Note 7 2 7 2" xfId="29101"/>
    <cellStyle name="Note 7 2 7 2 2" xfId="29102"/>
    <cellStyle name="Note 7 2 7 2 3" xfId="29103"/>
    <cellStyle name="Note 7 2 7 2 4" xfId="29104"/>
    <cellStyle name="Note 7 2 7 3" xfId="29105"/>
    <cellStyle name="Note 7 2 7 4" xfId="29106"/>
    <cellStyle name="Note 7 2 7 5" xfId="29107"/>
    <cellStyle name="Note 7 2 7 6" xfId="29108"/>
    <cellStyle name="Note 7 2 7 7" xfId="29109"/>
    <cellStyle name="Note 7 2 7 8" xfId="29110"/>
    <cellStyle name="Note 7 2 7 9" xfId="29111"/>
    <cellStyle name="Note 7 2 8" xfId="29112"/>
    <cellStyle name="Note 7 2 8 10" xfId="29113"/>
    <cellStyle name="Note 7 2 8 11" xfId="29114"/>
    <cellStyle name="Note 7 2 8 12" xfId="29115"/>
    <cellStyle name="Note 7 2 8 13" xfId="29116"/>
    <cellStyle name="Note 7 2 8 14" xfId="29117"/>
    <cellStyle name="Note 7 2 8 15" xfId="29118"/>
    <cellStyle name="Note 7 2 8 16" xfId="29119"/>
    <cellStyle name="Note 7 2 8 2" xfId="29120"/>
    <cellStyle name="Note 7 2 8 2 2" xfId="29121"/>
    <cellStyle name="Note 7 2 8 2 3" xfId="29122"/>
    <cellStyle name="Note 7 2 8 2 4" xfId="29123"/>
    <cellStyle name="Note 7 2 8 3" xfId="29124"/>
    <cellStyle name="Note 7 2 8 4" xfId="29125"/>
    <cellStyle name="Note 7 2 8 5" xfId="29126"/>
    <cellStyle name="Note 7 2 8 6" xfId="29127"/>
    <cellStyle name="Note 7 2 8 7" xfId="29128"/>
    <cellStyle name="Note 7 2 8 8" xfId="29129"/>
    <cellStyle name="Note 7 2 8 9" xfId="29130"/>
    <cellStyle name="Note 7 2 9" xfId="29131"/>
    <cellStyle name="Note 7 2 9 2" xfId="29132"/>
    <cellStyle name="Note 7 2 9 3" xfId="29133"/>
    <cellStyle name="Note 7 2 9 4" xfId="29134"/>
    <cellStyle name="Note 7 3" xfId="29135"/>
    <cellStyle name="Note 7 3 10" xfId="29136"/>
    <cellStyle name="Note 7 3 11" xfId="29137"/>
    <cellStyle name="Note 7 3 12" xfId="29138"/>
    <cellStyle name="Note 7 3 13" xfId="29139"/>
    <cellStyle name="Note 7 3 14" xfId="29140"/>
    <cellStyle name="Note 7 3 15" xfId="29141"/>
    <cellStyle name="Note 7 3 16" xfId="29142"/>
    <cellStyle name="Note 7 3 17" xfId="29143"/>
    <cellStyle name="Note 7 3 18" xfId="29144"/>
    <cellStyle name="Note 7 3 19" xfId="29145"/>
    <cellStyle name="Note 7 3 2" xfId="29146"/>
    <cellStyle name="Note 7 3 2 10" xfId="29147"/>
    <cellStyle name="Note 7 3 2 11" xfId="29148"/>
    <cellStyle name="Note 7 3 2 12" xfId="29149"/>
    <cellStyle name="Note 7 3 2 13" xfId="29150"/>
    <cellStyle name="Note 7 3 2 14" xfId="29151"/>
    <cellStyle name="Note 7 3 2 15" xfId="29152"/>
    <cellStyle name="Note 7 3 2 16" xfId="29153"/>
    <cellStyle name="Note 7 3 2 2" xfId="29154"/>
    <cellStyle name="Note 7 3 2 2 2" xfId="29155"/>
    <cellStyle name="Note 7 3 2 2 3" xfId="29156"/>
    <cellStyle name="Note 7 3 2 2 4" xfId="29157"/>
    <cellStyle name="Note 7 3 2 3" xfId="29158"/>
    <cellStyle name="Note 7 3 2 4" xfId="29159"/>
    <cellStyle name="Note 7 3 2 5" xfId="29160"/>
    <cellStyle name="Note 7 3 2 6" xfId="29161"/>
    <cellStyle name="Note 7 3 2 7" xfId="29162"/>
    <cellStyle name="Note 7 3 2 8" xfId="29163"/>
    <cellStyle name="Note 7 3 2 9" xfId="29164"/>
    <cellStyle name="Note 7 3 20" xfId="29165"/>
    <cellStyle name="Note 7 3 21" xfId="29166"/>
    <cellStyle name="Note 7 3 22" xfId="29167"/>
    <cellStyle name="Note 7 3 23" xfId="29168"/>
    <cellStyle name="Note 7 3 3" xfId="29169"/>
    <cellStyle name="Note 7 3 3 10" xfId="29170"/>
    <cellStyle name="Note 7 3 3 11" xfId="29171"/>
    <cellStyle name="Note 7 3 3 12" xfId="29172"/>
    <cellStyle name="Note 7 3 3 13" xfId="29173"/>
    <cellStyle name="Note 7 3 3 14" xfId="29174"/>
    <cellStyle name="Note 7 3 3 15" xfId="29175"/>
    <cellStyle name="Note 7 3 3 16" xfId="29176"/>
    <cellStyle name="Note 7 3 3 2" xfId="29177"/>
    <cellStyle name="Note 7 3 3 2 2" xfId="29178"/>
    <cellStyle name="Note 7 3 3 2 3" xfId="29179"/>
    <cellStyle name="Note 7 3 3 2 4" xfId="29180"/>
    <cellStyle name="Note 7 3 3 3" xfId="29181"/>
    <cellStyle name="Note 7 3 3 4" xfId="29182"/>
    <cellStyle name="Note 7 3 3 5" xfId="29183"/>
    <cellStyle name="Note 7 3 3 6" xfId="29184"/>
    <cellStyle name="Note 7 3 3 7" xfId="29185"/>
    <cellStyle name="Note 7 3 3 8" xfId="29186"/>
    <cellStyle name="Note 7 3 3 9" xfId="29187"/>
    <cellStyle name="Note 7 3 4" xfId="29188"/>
    <cellStyle name="Note 7 3 4 10" xfId="29189"/>
    <cellStyle name="Note 7 3 4 11" xfId="29190"/>
    <cellStyle name="Note 7 3 4 12" xfId="29191"/>
    <cellStyle name="Note 7 3 4 13" xfId="29192"/>
    <cellStyle name="Note 7 3 4 14" xfId="29193"/>
    <cellStyle name="Note 7 3 4 15" xfId="29194"/>
    <cellStyle name="Note 7 3 4 16" xfId="29195"/>
    <cellStyle name="Note 7 3 4 2" xfId="29196"/>
    <cellStyle name="Note 7 3 4 2 2" xfId="29197"/>
    <cellStyle name="Note 7 3 4 2 3" xfId="29198"/>
    <cellStyle name="Note 7 3 4 2 4" xfId="29199"/>
    <cellStyle name="Note 7 3 4 3" xfId="29200"/>
    <cellStyle name="Note 7 3 4 4" xfId="29201"/>
    <cellStyle name="Note 7 3 4 5" xfId="29202"/>
    <cellStyle name="Note 7 3 4 6" xfId="29203"/>
    <cellStyle name="Note 7 3 4 7" xfId="29204"/>
    <cellStyle name="Note 7 3 4 8" xfId="29205"/>
    <cellStyle name="Note 7 3 4 9" xfId="29206"/>
    <cellStyle name="Note 7 3 5" xfId="29207"/>
    <cellStyle name="Note 7 3 5 10" xfId="29208"/>
    <cellStyle name="Note 7 3 5 11" xfId="29209"/>
    <cellStyle name="Note 7 3 5 12" xfId="29210"/>
    <cellStyle name="Note 7 3 5 13" xfId="29211"/>
    <cellStyle name="Note 7 3 5 14" xfId="29212"/>
    <cellStyle name="Note 7 3 5 15" xfId="29213"/>
    <cellStyle name="Note 7 3 5 16" xfId="29214"/>
    <cellStyle name="Note 7 3 5 2" xfId="29215"/>
    <cellStyle name="Note 7 3 5 2 2" xfId="29216"/>
    <cellStyle name="Note 7 3 5 2 3" xfId="29217"/>
    <cellStyle name="Note 7 3 5 2 4" xfId="29218"/>
    <cellStyle name="Note 7 3 5 3" xfId="29219"/>
    <cellStyle name="Note 7 3 5 4" xfId="29220"/>
    <cellStyle name="Note 7 3 5 5" xfId="29221"/>
    <cellStyle name="Note 7 3 5 6" xfId="29222"/>
    <cellStyle name="Note 7 3 5 7" xfId="29223"/>
    <cellStyle name="Note 7 3 5 8" xfId="29224"/>
    <cellStyle name="Note 7 3 5 9" xfId="29225"/>
    <cellStyle name="Note 7 3 6" xfId="29226"/>
    <cellStyle name="Note 7 3 6 10" xfId="29227"/>
    <cellStyle name="Note 7 3 6 11" xfId="29228"/>
    <cellStyle name="Note 7 3 6 12" xfId="29229"/>
    <cellStyle name="Note 7 3 6 13" xfId="29230"/>
    <cellStyle name="Note 7 3 6 14" xfId="29231"/>
    <cellStyle name="Note 7 3 6 15" xfId="29232"/>
    <cellStyle name="Note 7 3 6 16" xfId="29233"/>
    <cellStyle name="Note 7 3 6 2" xfId="29234"/>
    <cellStyle name="Note 7 3 6 2 2" xfId="29235"/>
    <cellStyle name="Note 7 3 6 2 3" xfId="29236"/>
    <cellStyle name="Note 7 3 6 2 4" xfId="29237"/>
    <cellStyle name="Note 7 3 6 3" xfId="29238"/>
    <cellStyle name="Note 7 3 6 4" xfId="29239"/>
    <cellStyle name="Note 7 3 6 5" xfId="29240"/>
    <cellStyle name="Note 7 3 6 6" xfId="29241"/>
    <cellStyle name="Note 7 3 6 7" xfId="29242"/>
    <cellStyle name="Note 7 3 6 8" xfId="29243"/>
    <cellStyle name="Note 7 3 6 9" xfId="29244"/>
    <cellStyle name="Note 7 3 7" xfId="29245"/>
    <cellStyle name="Note 7 3 7 10" xfId="29246"/>
    <cellStyle name="Note 7 3 7 11" xfId="29247"/>
    <cellStyle name="Note 7 3 7 12" xfId="29248"/>
    <cellStyle name="Note 7 3 7 13" xfId="29249"/>
    <cellStyle name="Note 7 3 7 14" xfId="29250"/>
    <cellStyle name="Note 7 3 7 15" xfId="29251"/>
    <cellStyle name="Note 7 3 7 16" xfId="29252"/>
    <cellStyle name="Note 7 3 7 2" xfId="29253"/>
    <cellStyle name="Note 7 3 7 2 2" xfId="29254"/>
    <cellStyle name="Note 7 3 7 2 3" xfId="29255"/>
    <cellStyle name="Note 7 3 7 2 4" xfId="29256"/>
    <cellStyle name="Note 7 3 7 3" xfId="29257"/>
    <cellStyle name="Note 7 3 7 4" xfId="29258"/>
    <cellStyle name="Note 7 3 7 5" xfId="29259"/>
    <cellStyle name="Note 7 3 7 6" xfId="29260"/>
    <cellStyle name="Note 7 3 7 7" xfId="29261"/>
    <cellStyle name="Note 7 3 7 8" xfId="29262"/>
    <cellStyle name="Note 7 3 7 9" xfId="29263"/>
    <cellStyle name="Note 7 3 8" xfId="29264"/>
    <cellStyle name="Note 7 3 8 10" xfId="29265"/>
    <cellStyle name="Note 7 3 8 11" xfId="29266"/>
    <cellStyle name="Note 7 3 8 12" xfId="29267"/>
    <cellStyle name="Note 7 3 8 13" xfId="29268"/>
    <cellStyle name="Note 7 3 8 14" xfId="29269"/>
    <cellStyle name="Note 7 3 8 15" xfId="29270"/>
    <cellStyle name="Note 7 3 8 16" xfId="29271"/>
    <cellStyle name="Note 7 3 8 2" xfId="29272"/>
    <cellStyle name="Note 7 3 8 2 2" xfId="29273"/>
    <cellStyle name="Note 7 3 8 2 3" xfId="29274"/>
    <cellStyle name="Note 7 3 8 2 4" xfId="29275"/>
    <cellStyle name="Note 7 3 8 3" xfId="29276"/>
    <cellStyle name="Note 7 3 8 4" xfId="29277"/>
    <cellStyle name="Note 7 3 8 5" xfId="29278"/>
    <cellStyle name="Note 7 3 8 6" xfId="29279"/>
    <cellStyle name="Note 7 3 8 7" xfId="29280"/>
    <cellStyle name="Note 7 3 8 8" xfId="29281"/>
    <cellStyle name="Note 7 3 8 9" xfId="29282"/>
    <cellStyle name="Note 7 3 9" xfId="29283"/>
    <cellStyle name="Note 7 3 9 2" xfId="29284"/>
    <cellStyle name="Note 7 3 9 3" xfId="29285"/>
    <cellStyle name="Note 7 3 9 4" xfId="29286"/>
    <cellStyle name="Note 7 4" xfId="29287"/>
    <cellStyle name="Note 7 4 10" xfId="29288"/>
    <cellStyle name="Note 7 4 11" xfId="29289"/>
    <cellStyle name="Note 7 4 12" xfId="29290"/>
    <cellStyle name="Note 7 4 13" xfId="29291"/>
    <cellStyle name="Note 7 4 14" xfId="29292"/>
    <cellStyle name="Note 7 4 15" xfId="29293"/>
    <cellStyle name="Note 7 4 16" xfId="29294"/>
    <cellStyle name="Note 7 4 17" xfId="29295"/>
    <cellStyle name="Note 7 4 18" xfId="29296"/>
    <cellStyle name="Note 7 4 19" xfId="29297"/>
    <cellStyle name="Note 7 4 2" xfId="29298"/>
    <cellStyle name="Note 7 4 2 10" xfId="29299"/>
    <cellStyle name="Note 7 4 2 11" xfId="29300"/>
    <cellStyle name="Note 7 4 2 12" xfId="29301"/>
    <cellStyle name="Note 7 4 2 13" xfId="29302"/>
    <cellStyle name="Note 7 4 2 14" xfId="29303"/>
    <cellStyle name="Note 7 4 2 15" xfId="29304"/>
    <cellStyle name="Note 7 4 2 16" xfId="29305"/>
    <cellStyle name="Note 7 4 2 2" xfId="29306"/>
    <cellStyle name="Note 7 4 2 2 2" xfId="29307"/>
    <cellStyle name="Note 7 4 2 2 3" xfId="29308"/>
    <cellStyle name="Note 7 4 2 2 4" xfId="29309"/>
    <cellStyle name="Note 7 4 2 3" xfId="29310"/>
    <cellStyle name="Note 7 4 2 4" xfId="29311"/>
    <cellStyle name="Note 7 4 2 5" xfId="29312"/>
    <cellStyle name="Note 7 4 2 6" xfId="29313"/>
    <cellStyle name="Note 7 4 2 7" xfId="29314"/>
    <cellStyle name="Note 7 4 2 8" xfId="29315"/>
    <cellStyle name="Note 7 4 2 9" xfId="29316"/>
    <cellStyle name="Note 7 4 20" xfId="29317"/>
    <cellStyle name="Note 7 4 21" xfId="29318"/>
    <cellStyle name="Note 7 4 22" xfId="29319"/>
    <cellStyle name="Note 7 4 23" xfId="29320"/>
    <cellStyle name="Note 7 4 3" xfId="29321"/>
    <cellStyle name="Note 7 4 3 10" xfId="29322"/>
    <cellStyle name="Note 7 4 3 11" xfId="29323"/>
    <cellStyle name="Note 7 4 3 12" xfId="29324"/>
    <cellStyle name="Note 7 4 3 13" xfId="29325"/>
    <cellStyle name="Note 7 4 3 14" xfId="29326"/>
    <cellStyle name="Note 7 4 3 15" xfId="29327"/>
    <cellStyle name="Note 7 4 3 16" xfId="29328"/>
    <cellStyle name="Note 7 4 3 2" xfId="29329"/>
    <cellStyle name="Note 7 4 3 2 2" xfId="29330"/>
    <cellStyle name="Note 7 4 3 2 3" xfId="29331"/>
    <cellStyle name="Note 7 4 3 2 4" xfId="29332"/>
    <cellStyle name="Note 7 4 3 3" xfId="29333"/>
    <cellStyle name="Note 7 4 3 4" xfId="29334"/>
    <cellStyle name="Note 7 4 3 5" xfId="29335"/>
    <cellStyle name="Note 7 4 3 6" xfId="29336"/>
    <cellStyle name="Note 7 4 3 7" xfId="29337"/>
    <cellStyle name="Note 7 4 3 8" xfId="29338"/>
    <cellStyle name="Note 7 4 3 9" xfId="29339"/>
    <cellStyle name="Note 7 4 4" xfId="29340"/>
    <cellStyle name="Note 7 4 4 10" xfId="29341"/>
    <cellStyle name="Note 7 4 4 11" xfId="29342"/>
    <cellStyle name="Note 7 4 4 12" xfId="29343"/>
    <cellStyle name="Note 7 4 4 13" xfId="29344"/>
    <cellStyle name="Note 7 4 4 14" xfId="29345"/>
    <cellStyle name="Note 7 4 4 15" xfId="29346"/>
    <cellStyle name="Note 7 4 4 16" xfId="29347"/>
    <cellStyle name="Note 7 4 4 2" xfId="29348"/>
    <cellStyle name="Note 7 4 4 2 2" xfId="29349"/>
    <cellStyle name="Note 7 4 4 2 3" xfId="29350"/>
    <cellStyle name="Note 7 4 4 2 4" xfId="29351"/>
    <cellStyle name="Note 7 4 4 3" xfId="29352"/>
    <cellStyle name="Note 7 4 4 4" xfId="29353"/>
    <cellStyle name="Note 7 4 4 5" xfId="29354"/>
    <cellStyle name="Note 7 4 4 6" xfId="29355"/>
    <cellStyle name="Note 7 4 4 7" xfId="29356"/>
    <cellStyle name="Note 7 4 4 8" xfId="29357"/>
    <cellStyle name="Note 7 4 4 9" xfId="29358"/>
    <cellStyle name="Note 7 4 5" xfId="29359"/>
    <cellStyle name="Note 7 4 5 10" xfId="29360"/>
    <cellStyle name="Note 7 4 5 11" xfId="29361"/>
    <cellStyle name="Note 7 4 5 12" xfId="29362"/>
    <cellStyle name="Note 7 4 5 13" xfId="29363"/>
    <cellStyle name="Note 7 4 5 14" xfId="29364"/>
    <cellStyle name="Note 7 4 5 15" xfId="29365"/>
    <cellStyle name="Note 7 4 5 16" xfId="29366"/>
    <cellStyle name="Note 7 4 5 2" xfId="29367"/>
    <cellStyle name="Note 7 4 5 2 2" xfId="29368"/>
    <cellStyle name="Note 7 4 5 2 3" xfId="29369"/>
    <cellStyle name="Note 7 4 5 2 4" xfId="29370"/>
    <cellStyle name="Note 7 4 5 3" xfId="29371"/>
    <cellStyle name="Note 7 4 5 4" xfId="29372"/>
    <cellStyle name="Note 7 4 5 5" xfId="29373"/>
    <cellStyle name="Note 7 4 5 6" xfId="29374"/>
    <cellStyle name="Note 7 4 5 7" xfId="29375"/>
    <cellStyle name="Note 7 4 5 8" xfId="29376"/>
    <cellStyle name="Note 7 4 5 9" xfId="29377"/>
    <cellStyle name="Note 7 4 6" xfId="29378"/>
    <cellStyle name="Note 7 4 6 10" xfId="29379"/>
    <cellStyle name="Note 7 4 6 11" xfId="29380"/>
    <cellStyle name="Note 7 4 6 12" xfId="29381"/>
    <cellStyle name="Note 7 4 6 13" xfId="29382"/>
    <cellStyle name="Note 7 4 6 14" xfId="29383"/>
    <cellStyle name="Note 7 4 6 15" xfId="29384"/>
    <cellStyle name="Note 7 4 6 16" xfId="29385"/>
    <cellStyle name="Note 7 4 6 2" xfId="29386"/>
    <cellStyle name="Note 7 4 6 2 2" xfId="29387"/>
    <cellStyle name="Note 7 4 6 2 3" xfId="29388"/>
    <cellStyle name="Note 7 4 6 2 4" xfId="29389"/>
    <cellStyle name="Note 7 4 6 3" xfId="29390"/>
    <cellStyle name="Note 7 4 6 4" xfId="29391"/>
    <cellStyle name="Note 7 4 6 5" xfId="29392"/>
    <cellStyle name="Note 7 4 6 6" xfId="29393"/>
    <cellStyle name="Note 7 4 6 7" xfId="29394"/>
    <cellStyle name="Note 7 4 6 8" xfId="29395"/>
    <cellStyle name="Note 7 4 6 9" xfId="29396"/>
    <cellStyle name="Note 7 4 7" xfId="29397"/>
    <cellStyle name="Note 7 4 7 10" xfId="29398"/>
    <cellStyle name="Note 7 4 7 11" xfId="29399"/>
    <cellStyle name="Note 7 4 7 12" xfId="29400"/>
    <cellStyle name="Note 7 4 7 13" xfId="29401"/>
    <cellStyle name="Note 7 4 7 14" xfId="29402"/>
    <cellStyle name="Note 7 4 7 15" xfId="29403"/>
    <cellStyle name="Note 7 4 7 16" xfId="29404"/>
    <cellStyle name="Note 7 4 7 2" xfId="29405"/>
    <cellStyle name="Note 7 4 7 2 2" xfId="29406"/>
    <cellStyle name="Note 7 4 7 2 3" xfId="29407"/>
    <cellStyle name="Note 7 4 7 2 4" xfId="29408"/>
    <cellStyle name="Note 7 4 7 3" xfId="29409"/>
    <cellStyle name="Note 7 4 7 4" xfId="29410"/>
    <cellStyle name="Note 7 4 7 5" xfId="29411"/>
    <cellStyle name="Note 7 4 7 6" xfId="29412"/>
    <cellStyle name="Note 7 4 7 7" xfId="29413"/>
    <cellStyle name="Note 7 4 7 8" xfId="29414"/>
    <cellStyle name="Note 7 4 7 9" xfId="29415"/>
    <cellStyle name="Note 7 4 8" xfId="29416"/>
    <cellStyle name="Note 7 4 8 10" xfId="29417"/>
    <cellStyle name="Note 7 4 8 11" xfId="29418"/>
    <cellStyle name="Note 7 4 8 12" xfId="29419"/>
    <cellStyle name="Note 7 4 8 13" xfId="29420"/>
    <cellStyle name="Note 7 4 8 14" xfId="29421"/>
    <cellStyle name="Note 7 4 8 15" xfId="29422"/>
    <cellStyle name="Note 7 4 8 16" xfId="29423"/>
    <cellStyle name="Note 7 4 8 2" xfId="29424"/>
    <cellStyle name="Note 7 4 8 2 2" xfId="29425"/>
    <cellStyle name="Note 7 4 8 2 3" xfId="29426"/>
    <cellStyle name="Note 7 4 8 2 4" xfId="29427"/>
    <cellStyle name="Note 7 4 8 3" xfId="29428"/>
    <cellStyle name="Note 7 4 8 4" xfId="29429"/>
    <cellStyle name="Note 7 4 8 5" xfId="29430"/>
    <cellStyle name="Note 7 4 8 6" xfId="29431"/>
    <cellStyle name="Note 7 4 8 7" xfId="29432"/>
    <cellStyle name="Note 7 4 8 8" xfId="29433"/>
    <cellStyle name="Note 7 4 8 9" xfId="29434"/>
    <cellStyle name="Note 7 4 9" xfId="29435"/>
    <cellStyle name="Note 7 4 9 2" xfId="29436"/>
    <cellStyle name="Note 7 4 9 3" xfId="29437"/>
    <cellStyle name="Note 7 4 9 4" xfId="29438"/>
    <cellStyle name="Note 8 2" xfId="29439"/>
    <cellStyle name="Note 8 2 10" xfId="29440"/>
    <cellStyle name="Note 8 2 11" xfId="29441"/>
    <cellStyle name="Note 8 2 12" xfId="29442"/>
    <cellStyle name="Note 8 2 13" xfId="29443"/>
    <cellStyle name="Note 8 2 14" xfId="29444"/>
    <cellStyle name="Note 8 2 15" xfId="29445"/>
    <cellStyle name="Note 8 2 16" xfId="29446"/>
    <cellStyle name="Note 8 2 17" xfId="29447"/>
    <cellStyle name="Note 8 2 18" xfId="29448"/>
    <cellStyle name="Note 8 2 19" xfId="29449"/>
    <cellStyle name="Note 8 2 2" xfId="29450"/>
    <cellStyle name="Note 8 2 2 10" xfId="29451"/>
    <cellStyle name="Note 8 2 2 11" xfId="29452"/>
    <cellStyle name="Note 8 2 2 12" xfId="29453"/>
    <cellStyle name="Note 8 2 2 13" xfId="29454"/>
    <cellStyle name="Note 8 2 2 14" xfId="29455"/>
    <cellStyle name="Note 8 2 2 15" xfId="29456"/>
    <cellStyle name="Note 8 2 2 16" xfId="29457"/>
    <cellStyle name="Note 8 2 2 2" xfId="29458"/>
    <cellStyle name="Note 8 2 2 2 2" xfId="29459"/>
    <cellStyle name="Note 8 2 2 2 3" xfId="29460"/>
    <cellStyle name="Note 8 2 2 2 4" xfId="29461"/>
    <cellStyle name="Note 8 2 2 3" xfId="29462"/>
    <cellStyle name="Note 8 2 2 4" xfId="29463"/>
    <cellStyle name="Note 8 2 2 5" xfId="29464"/>
    <cellStyle name="Note 8 2 2 6" xfId="29465"/>
    <cellStyle name="Note 8 2 2 7" xfId="29466"/>
    <cellStyle name="Note 8 2 2 8" xfId="29467"/>
    <cellStyle name="Note 8 2 2 9" xfId="29468"/>
    <cellStyle name="Note 8 2 20" xfId="29469"/>
    <cellStyle name="Note 8 2 21" xfId="29470"/>
    <cellStyle name="Note 8 2 22" xfId="29471"/>
    <cellStyle name="Note 8 2 23" xfId="29472"/>
    <cellStyle name="Note 8 2 3" xfId="29473"/>
    <cellStyle name="Note 8 2 3 10" xfId="29474"/>
    <cellStyle name="Note 8 2 3 11" xfId="29475"/>
    <cellStyle name="Note 8 2 3 12" xfId="29476"/>
    <cellStyle name="Note 8 2 3 13" xfId="29477"/>
    <cellStyle name="Note 8 2 3 14" xfId="29478"/>
    <cellStyle name="Note 8 2 3 15" xfId="29479"/>
    <cellStyle name="Note 8 2 3 16" xfId="29480"/>
    <cellStyle name="Note 8 2 3 2" xfId="29481"/>
    <cellStyle name="Note 8 2 3 2 2" xfId="29482"/>
    <cellStyle name="Note 8 2 3 2 3" xfId="29483"/>
    <cellStyle name="Note 8 2 3 2 4" xfId="29484"/>
    <cellStyle name="Note 8 2 3 3" xfId="29485"/>
    <cellStyle name="Note 8 2 3 4" xfId="29486"/>
    <cellStyle name="Note 8 2 3 5" xfId="29487"/>
    <cellStyle name="Note 8 2 3 6" xfId="29488"/>
    <cellStyle name="Note 8 2 3 7" xfId="29489"/>
    <cellStyle name="Note 8 2 3 8" xfId="29490"/>
    <cellStyle name="Note 8 2 3 9" xfId="29491"/>
    <cellStyle name="Note 8 2 4" xfId="29492"/>
    <cellStyle name="Note 8 2 4 10" xfId="29493"/>
    <cellStyle name="Note 8 2 4 11" xfId="29494"/>
    <cellStyle name="Note 8 2 4 12" xfId="29495"/>
    <cellStyle name="Note 8 2 4 13" xfId="29496"/>
    <cellStyle name="Note 8 2 4 14" xfId="29497"/>
    <cellStyle name="Note 8 2 4 15" xfId="29498"/>
    <cellStyle name="Note 8 2 4 16" xfId="29499"/>
    <cellStyle name="Note 8 2 4 2" xfId="29500"/>
    <cellStyle name="Note 8 2 4 2 2" xfId="29501"/>
    <cellStyle name="Note 8 2 4 2 3" xfId="29502"/>
    <cellStyle name="Note 8 2 4 2 4" xfId="29503"/>
    <cellStyle name="Note 8 2 4 3" xfId="29504"/>
    <cellStyle name="Note 8 2 4 4" xfId="29505"/>
    <cellStyle name="Note 8 2 4 5" xfId="29506"/>
    <cellStyle name="Note 8 2 4 6" xfId="29507"/>
    <cellStyle name="Note 8 2 4 7" xfId="29508"/>
    <cellStyle name="Note 8 2 4 8" xfId="29509"/>
    <cellStyle name="Note 8 2 4 9" xfId="29510"/>
    <cellStyle name="Note 8 2 5" xfId="29511"/>
    <cellStyle name="Note 8 2 5 10" xfId="29512"/>
    <cellStyle name="Note 8 2 5 11" xfId="29513"/>
    <cellStyle name="Note 8 2 5 12" xfId="29514"/>
    <cellStyle name="Note 8 2 5 13" xfId="29515"/>
    <cellStyle name="Note 8 2 5 14" xfId="29516"/>
    <cellStyle name="Note 8 2 5 15" xfId="29517"/>
    <cellStyle name="Note 8 2 5 16" xfId="29518"/>
    <cellStyle name="Note 8 2 5 2" xfId="29519"/>
    <cellStyle name="Note 8 2 5 2 2" xfId="29520"/>
    <cellStyle name="Note 8 2 5 2 3" xfId="29521"/>
    <cellStyle name="Note 8 2 5 2 4" xfId="29522"/>
    <cellStyle name="Note 8 2 5 3" xfId="29523"/>
    <cellStyle name="Note 8 2 5 4" xfId="29524"/>
    <cellStyle name="Note 8 2 5 5" xfId="29525"/>
    <cellStyle name="Note 8 2 5 6" xfId="29526"/>
    <cellStyle name="Note 8 2 5 7" xfId="29527"/>
    <cellStyle name="Note 8 2 5 8" xfId="29528"/>
    <cellStyle name="Note 8 2 5 9" xfId="29529"/>
    <cellStyle name="Note 8 2 6" xfId="29530"/>
    <cellStyle name="Note 8 2 6 10" xfId="29531"/>
    <cellStyle name="Note 8 2 6 11" xfId="29532"/>
    <cellStyle name="Note 8 2 6 12" xfId="29533"/>
    <cellStyle name="Note 8 2 6 13" xfId="29534"/>
    <cellStyle name="Note 8 2 6 14" xfId="29535"/>
    <cellStyle name="Note 8 2 6 15" xfId="29536"/>
    <cellStyle name="Note 8 2 6 16" xfId="29537"/>
    <cellStyle name="Note 8 2 6 2" xfId="29538"/>
    <cellStyle name="Note 8 2 6 2 2" xfId="29539"/>
    <cellStyle name="Note 8 2 6 2 3" xfId="29540"/>
    <cellStyle name="Note 8 2 6 2 4" xfId="29541"/>
    <cellStyle name="Note 8 2 6 3" xfId="29542"/>
    <cellStyle name="Note 8 2 6 4" xfId="29543"/>
    <cellStyle name="Note 8 2 6 5" xfId="29544"/>
    <cellStyle name="Note 8 2 6 6" xfId="29545"/>
    <cellStyle name="Note 8 2 6 7" xfId="29546"/>
    <cellStyle name="Note 8 2 6 8" xfId="29547"/>
    <cellStyle name="Note 8 2 6 9" xfId="29548"/>
    <cellStyle name="Note 8 2 7" xfId="29549"/>
    <cellStyle name="Note 8 2 7 10" xfId="29550"/>
    <cellStyle name="Note 8 2 7 11" xfId="29551"/>
    <cellStyle name="Note 8 2 7 12" xfId="29552"/>
    <cellStyle name="Note 8 2 7 13" xfId="29553"/>
    <cellStyle name="Note 8 2 7 14" xfId="29554"/>
    <cellStyle name="Note 8 2 7 15" xfId="29555"/>
    <cellStyle name="Note 8 2 7 16" xfId="29556"/>
    <cellStyle name="Note 8 2 7 2" xfId="29557"/>
    <cellStyle name="Note 8 2 7 2 2" xfId="29558"/>
    <cellStyle name="Note 8 2 7 2 3" xfId="29559"/>
    <cellStyle name="Note 8 2 7 2 4" xfId="29560"/>
    <cellStyle name="Note 8 2 7 3" xfId="29561"/>
    <cellStyle name="Note 8 2 7 4" xfId="29562"/>
    <cellStyle name="Note 8 2 7 5" xfId="29563"/>
    <cellStyle name="Note 8 2 7 6" xfId="29564"/>
    <cellStyle name="Note 8 2 7 7" xfId="29565"/>
    <cellStyle name="Note 8 2 7 8" xfId="29566"/>
    <cellStyle name="Note 8 2 7 9" xfId="29567"/>
    <cellStyle name="Note 8 2 8" xfId="29568"/>
    <cellStyle name="Note 8 2 8 10" xfId="29569"/>
    <cellStyle name="Note 8 2 8 11" xfId="29570"/>
    <cellStyle name="Note 8 2 8 12" xfId="29571"/>
    <cellStyle name="Note 8 2 8 13" xfId="29572"/>
    <cellStyle name="Note 8 2 8 14" xfId="29573"/>
    <cellStyle name="Note 8 2 8 15" xfId="29574"/>
    <cellStyle name="Note 8 2 8 16" xfId="29575"/>
    <cellStyle name="Note 8 2 8 2" xfId="29576"/>
    <cellStyle name="Note 8 2 8 2 2" xfId="29577"/>
    <cellStyle name="Note 8 2 8 2 3" xfId="29578"/>
    <cellStyle name="Note 8 2 8 2 4" xfId="29579"/>
    <cellStyle name="Note 8 2 8 3" xfId="29580"/>
    <cellStyle name="Note 8 2 8 4" xfId="29581"/>
    <cellStyle name="Note 8 2 8 5" xfId="29582"/>
    <cellStyle name="Note 8 2 8 6" xfId="29583"/>
    <cellStyle name="Note 8 2 8 7" xfId="29584"/>
    <cellStyle name="Note 8 2 8 8" xfId="29585"/>
    <cellStyle name="Note 8 2 8 9" xfId="29586"/>
    <cellStyle name="Note 8 2 9" xfId="29587"/>
    <cellStyle name="Note 8 2 9 2" xfId="29588"/>
    <cellStyle name="Note 8 2 9 3" xfId="29589"/>
    <cellStyle name="Note 8 2 9 4" xfId="29590"/>
    <cellStyle name="Note 8 3" xfId="29591"/>
    <cellStyle name="Note 8 3 10" xfId="29592"/>
    <cellStyle name="Note 8 3 11" xfId="29593"/>
    <cellStyle name="Note 8 3 12" xfId="29594"/>
    <cellStyle name="Note 8 3 13" xfId="29595"/>
    <cellStyle name="Note 8 3 14" xfId="29596"/>
    <cellStyle name="Note 8 3 15" xfId="29597"/>
    <cellStyle name="Note 8 3 16" xfId="29598"/>
    <cellStyle name="Note 8 3 17" xfId="29599"/>
    <cellStyle name="Note 8 3 18" xfId="29600"/>
    <cellStyle name="Note 8 3 19" xfId="29601"/>
    <cellStyle name="Note 8 3 2" xfId="29602"/>
    <cellStyle name="Note 8 3 2 10" xfId="29603"/>
    <cellStyle name="Note 8 3 2 11" xfId="29604"/>
    <cellStyle name="Note 8 3 2 12" xfId="29605"/>
    <cellStyle name="Note 8 3 2 13" xfId="29606"/>
    <cellStyle name="Note 8 3 2 14" xfId="29607"/>
    <cellStyle name="Note 8 3 2 15" xfId="29608"/>
    <cellStyle name="Note 8 3 2 16" xfId="29609"/>
    <cellStyle name="Note 8 3 2 2" xfId="29610"/>
    <cellStyle name="Note 8 3 2 2 2" xfId="29611"/>
    <cellStyle name="Note 8 3 2 2 3" xfId="29612"/>
    <cellStyle name="Note 8 3 2 2 4" xfId="29613"/>
    <cellStyle name="Note 8 3 2 3" xfId="29614"/>
    <cellStyle name="Note 8 3 2 4" xfId="29615"/>
    <cellStyle name="Note 8 3 2 5" xfId="29616"/>
    <cellStyle name="Note 8 3 2 6" xfId="29617"/>
    <cellStyle name="Note 8 3 2 7" xfId="29618"/>
    <cellStyle name="Note 8 3 2 8" xfId="29619"/>
    <cellStyle name="Note 8 3 2 9" xfId="29620"/>
    <cellStyle name="Note 8 3 20" xfId="29621"/>
    <cellStyle name="Note 8 3 21" xfId="29622"/>
    <cellStyle name="Note 8 3 22" xfId="29623"/>
    <cellStyle name="Note 8 3 23" xfId="29624"/>
    <cellStyle name="Note 8 3 3" xfId="29625"/>
    <cellStyle name="Note 8 3 3 10" xfId="29626"/>
    <cellStyle name="Note 8 3 3 11" xfId="29627"/>
    <cellStyle name="Note 8 3 3 12" xfId="29628"/>
    <cellStyle name="Note 8 3 3 13" xfId="29629"/>
    <cellStyle name="Note 8 3 3 14" xfId="29630"/>
    <cellStyle name="Note 8 3 3 15" xfId="29631"/>
    <cellStyle name="Note 8 3 3 16" xfId="29632"/>
    <cellStyle name="Note 8 3 3 2" xfId="29633"/>
    <cellStyle name="Note 8 3 3 2 2" xfId="29634"/>
    <cellStyle name="Note 8 3 3 2 3" xfId="29635"/>
    <cellStyle name="Note 8 3 3 2 4" xfId="29636"/>
    <cellStyle name="Note 8 3 3 3" xfId="29637"/>
    <cellStyle name="Note 8 3 3 4" xfId="29638"/>
    <cellStyle name="Note 8 3 3 5" xfId="29639"/>
    <cellStyle name="Note 8 3 3 6" xfId="29640"/>
    <cellStyle name="Note 8 3 3 7" xfId="29641"/>
    <cellStyle name="Note 8 3 3 8" xfId="29642"/>
    <cellStyle name="Note 8 3 3 9" xfId="29643"/>
    <cellStyle name="Note 8 3 4" xfId="29644"/>
    <cellStyle name="Note 8 3 4 10" xfId="29645"/>
    <cellStyle name="Note 8 3 4 11" xfId="29646"/>
    <cellStyle name="Note 8 3 4 12" xfId="29647"/>
    <cellStyle name="Note 8 3 4 13" xfId="29648"/>
    <cellStyle name="Note 8 3 4 14" xfId="29649"/>
    <cellStyle name="Note 8 3 4 15" xfId="29650"/>
    <cellStyle name="Note 8 3 4 16" xfId="29651"/>
    <cellStyle name="Note 8 3 4 2" xfId="29652"/>
    <cellStyle name="Note 8 3 4 2 2" xfId="29653"/>
    <cellStyle name="Note 8 3 4 2 3" xfId="29654"/>
    <cellStyle name="Note 8 3 4 2 4" xfId="29655"/>
    <cellStyle name="Note 8 3 4 3" xfId="29656"/>
    <cellStyle name="Note 8 3 4 4" xfId="29657"/>
    <cellStyle name="Note 8 3 4 5" xfId="29658"/>
    <cellStyle name="Note 8 3 4 6" xfId="29659"/>
    <cellStyle name="Note 8 3 4 7" xfId="29660"/>
    <cellStyle name="Note 8 3 4 8" xfId="29661"/>
    <cellStyle name="Note 8 3 4 9" xfId="29662"/>
    <cellStyle name="Note 8 3 5" xfId="29663"/>
    <cellStyle name="Note 8 3 5 10" xfId="29664"/>
    <cellStyle name="Note 8 3 5 11" xfId="29665"/>
    <cellStyle name="Note 8 3 5 12" xfId="29666"/>
    <cellStyle name="Note 8 3 5 13" xfId="29667"/>
    <cellStyle name="Note 8 3 5 14" xfId="29668"/>
    <cellStyle name="Note 8 3 5 15" xfId="29669"/>
    <cellStyle name="Note 8 3 5 16" xfId="29670"/>
    <cellStyle name="Note 8 3 5 2" xfId="29671"/>
    <cellStyle name="Note 8 3 5 2 2" xfId="29672"/>
    <cellStyle name="Note 8 3 5 2 3" xfId="29673"/>
    <cellStyle name="Note 8 3 5 2 4" xfId="29674"/>
    <cellStyle name="Note 8 3 5 3" xfId="29675"/>
    <cellStyle name="Note 8 3 5 4" xfId="29676"/>
    <cellStyle name="Note 8 3 5 5" xfId="29677"/>
    <cellStyle name="Note 8 3 5 6" xfId="29678"/>
    <cellStyle name="Note 8 3 5 7" xfId="29679"/>
    <cellStyle name="Note 8 3 5 8" xfId="29680"/>
    <cellStyle name="Note 8 3 5 9" xfId="29681"/>
    <cellStyle name="Note 8 3 6" xfId="29682"/>
    <cellStyle name="Note 8 3 6 10" xfId="29683"/>
    <cellStyle name="Note 8 3 6 11" xfId="29684"/>
    <cellStyle name="Note 8 3 6 12" xfId="29685"/>
    <cellStyle name="Note 8 3 6 13" xfId="29686"/>
    <cellStyle name="Note 8 3 6 14" xfId="29687"/>
    <cellStyle name="Note 8 3 6 15" xfId="29688"/>
    <cellStyle name="Note 8 3 6 16" xfId="29689"/>
    <cellStyle name="Note 8 3 6 2" xfId="29690"/>
    <cellStyle name="Note 8 3 6 2 2" xfId="29691"/>
    <cellStyle name="Note 8 3 6 2 3" xfId="29692"/>
    <cellStyle name="Note 8 3 6 2 4" xfId="29693"/>
    <cellStyle name="Note 8 3 6 3" xfId="29694"/>
    <cellStyle name="Note 8 3 6 4" xfId="29695"/>
    <cellStyle name="Note 8 3 6 5" xfId="29696"/>
    <cellStyle name="Note 8 3 6 6" xfId="29697"/>
    <cellStyle name="Note 8 3 6 7" xfId="29698"/>
    <cellStyle name="Note 8 3 6 8" xfId="29699"/>
    <cellStyle name="Note 8 3 6 9" xfId="29700"/>
    <cellStyle name="Note 8 3 7" xfId="29701"/>
    <cellStyle name="Note 8 3 7 10" xfId="29702"/>
    <cellStyle name="Note 8 3 7 11" xfId="29703"/>
    <cellStyle name="Note 8 3 7 12" xfId="29704"/>
    <cellStyle name="Note 8 3 7 13" xfId="29705"/>
    <cellStyle name="Note 8 3 7 14" xfId="29706"/>
    <cellStyle name="Note 8 3 7 15" xfId="29707"/>
    <cellStyle name="Note 8 3 7 16" xfId="29708"/>
    <cellStyle name="Note 8 3 7 2" xfId="29709"/>
    <cellStyle name="Note 8 3 7 2 2" xfId="29710"/>
    <cellStyle name="Note 8 3 7 2 3" xfId="29711"/>
    <cellStyle name="Note 8 3 7 2 4" xfId="29712"/>
    <cellStyle name="Note 8 3 7 3" xfId="29713"/>
    <cellStyle name="Note 8 3 7 4" xfId="29714"/>
    <cellStyle name="Note 8 3 7 5" xfId="29715"/>
    <cellStyle name="Note 8 3 7 6" xfId="29716"/>
    <cellStyle name="Note 8 3 7 7" xfId="29717"/>
    <cellStyle name="Note 8 3 7 8" xfId="29718"/>
    <cellStyle name="Note 8 3 7 9" xfId="29719"/>
    <cellStyle name="Note 8 3 8" xfId="29720"/>
    <cellStyle name="Note 8 3 8 10" xfId="29721"/>
    <cellStyle name="Note 8 3 8 11" xfId="29722"/>
    <cellStyle name="Note 8 3 8 12" xfId="29723"/>
    <cellStyle name="Note 8 3 8 13" xfId="29724"/>
    <cellStyle name="Note 8 3 8 14" xfId="29725"/>
    <cellStyle name="Note 8 3 8 15" xfId="29726"/>
    <cellStyle name="Note 8 3 8 16" xfId="29727"/>
    <cellStyle name="Note 8 3 8 2" xfId="29728"/>
    <cellStyle name="Note 8 3 8 2 2" xfId="29729"/>
    <cellStyle name="Note 8 3 8 2 3" xfId="29730"/>
    <cellStyle name="Note 8 3 8 2 4" xfId="29731"/>
    <cellStyle name="Note 8 3 8 3" xfId="29732"/>
    <cellStyle name="Note 8 3 8 4" xfId="29733"/>
    <cellStyle name="Note 8 3 8 5" xfId="29734"/>
    <cellStyle name="Note 8 3 8 6" xfId="29735"/>
    <cellStyle name="Note 8 3 8 7" xfId="29736"/>
    <cellStyle name="Note 8 3 8 8" xfId="29737"/>
    <cellStyle name="Note 8 3 8 9" xfId="29738"/>
    <cellStyle name="Note 8 3 9" xfId="29739"/>
    <cellStyle name="Note 8 3 9 2" xfId="29740"/>
    <cellStyle name="Note 8 3 9 3" xfId="29741"/>
    <cellStyle name="Note 8 3 9 4" xfId="29742"/>
    <cellStyle name="Note 8 4" xfId="29743"/>
    <cellStyle name="Note 8 4 10" xfId="29744"/>
    <cellStyle name="Note 8 4 11" xfId="29745"/>
    <cellStyle name="Note 8 4 12" xfId="29746"/>
    <cellStyle name="Note 8 4 13" xfId="29747"/>
    <cellStyle name="Note 8 4 14" xfId="29748"/>
    <cellStyle name="Note 8 4 15" xfId="29749"/>
    <cellStyle name="Note 8 4 16" xfId="29750"/>
    <cellStyle name="Note 8 4 17" xfId="29751"/>
    <cellStyle name="Note 8 4 18" xfId="29752"/>
    <cellStyle name="Note 8 4 19" xfId="29753"/>
    <cellStyle name="Note 8 4 2" xfId="29754"/>
    <cellStyle name="Note 8 4 2 10" xfId="29755"/>
    <cellStyle name="Note 8 4 2 11" xfId="29756"/>
    <cellStyle name="Note 8 4 2 12" xfId="29757"/>
    <cellStyle name="Note 8 4 2 13" xfId="29758"/>
    <cellStyle name="Note 8 4 2 14" xfId="29759"/>
    <cellStyle name="Note 8 4 2 15" xfId="29760"/>
    <cellStyle name="Note 8 4 2 16" xfId="29761"/>
    <cellStyle name="Note 8 4 2 2" xfId="29762"/>
    <cellStyle name="Note 8 4 2 2 2" xfId="29763"/>
    <cellStyle name="Note 8 4 2 2 3" xfId="29764"/>
    <cellStyle name="Note 8 4 2 2 4" xfId="29765"/>
    <cellStyle name="Note 8 4 2 3" xfId="29766"/>
    <cellStyle name="Note 8 4 2 4" xfId="29767"/>
    <cellStyle name="Note 8 4 2 5" xfId="29768"/>
    <cellStyle name="Note 8 4 2 6" xfId="29769"/>
    <cellStyle name="Note 8 4 2 7" xfId="29770"/>
    <cellStyle name="Note 8 4 2 8" xfId="29771"/>
    <cellStyle name="Note 8 4 2 9" xfId="29772"/>
    <cellStyle name="Note 8 4 20" xfId="29773"/>
    <cellStyle name="Note 8 4 21" xfId="29774"/>
    <cellStyle name="Note 8 4 22" xfId="29775"/>
    <cellStyle name="Note 8 4 23" xfId="29776"/>
    <cellStyle name="Note 8 4 3" xfId="29777"/>
    <cellStyle name="Note 8 4 3 10" xfId="29778"/>
    <cellStyle name="Note 8 4 3 11" xfId="29779"/>
    <cellStyle name="Note 8 4 3 12" xfId="29780"/>
    <cellStyle name="Note 8 4 3 13" xfId="29781"/>
    <cellStyle name="Note 8 4 3 14" xfId="29782"/>
    <cellStyle name="Note 8 4 3 15" xfId="29783"/>
    <cellStyle name="Note 8 4 3 16" xfId="29784"/>
    <cellStyle name="Note 8 4 3 2" xfId="29785"/>
    <cellStyle name="Note 8 4 3 2 2" xfId="29786"/>
    <cellStyle name="Note 8 4 3 2 3" xfId="29787"/>
    <cellStyle name="Note 8 4 3 2 4" xfId="29788"/>
    <cellStyle name="Note 8 4 3 3" xfId="29789"/>
    <cellStyle name="Note 8 4 3 4" xfId="29790"/>
    <cellStyle name="Note 8 4 3 5" xfId="29791"/>
    <cellStyle name="Note 8 4 3 6" xfId="29792"/>
    <cellStyle name="Note 8 4 3 7" xfId="29793"/>
    <cellStyle name="Note 8 4 3 8" xfId="29794"/>
    <cellStyle name="Note 8 4 3 9" xfId="29795"/>
    <cellStyle name="Note 8 4 4" xfId="29796"/>
    <cellStyle name="Note 8 4 4 10" xfId="29797"/>
    <cellStyle name="Note 8 4 4 11" xfId="29798"/>
    <cellStyle name="Note 8 4 4 12" xfId="29799"/>
    <cellStyle name="Note 8 4 4 13" xfId="29800"/>
    <cellStyle name="Note 8 4 4 14" xfId="29801"/>
    <cellStyle name="Note 8 4 4 15" xfId="29802"/>
    <cellStyle name="Note 8 4 4 16" xfId="29803"/>
    <cellStyle name="Note 8 4 4 2" xfId="29804"/>
    <cellStyle name="Note 8 4 4 2 2" xfId="29805"/>
    <cellStyle name="Note 8 4 4 2 3" xfId="29806"/>
    <cellStyle name="Note 8 4 4 2 4" xfId="29807"/>
    <cellStyle name="Note 8 4 4 3" xfId="29808"/>
    <cellStyle name="Note 8 4 4 4" xfId="29809"/>
    <cellStyle name="Note 8 4 4 5" xfId="29810"/>
    <cellStyle name="Note 8 4 4 6" xfId="29811"/>
    <cellStyle name="Note 8 4 4 7" xfId="29812"/>
    <cellStyle name="Note 8 4 4 8" xfId="29813"/>
    <cellStyle name="Note 8 4 4 9" xfId="29814"/>
    <cellStyle name="Note 8 4 5" xfId="29815"/>
    <cellStyle name="Note 8 4 5 10" xfId="29816"/>
    <cellStyle name="Note 8 4 5 11" xfId="29817"/>
    <cellStyle name="Note 8 4 5 12" xfId="29818"/>
    <cellStyle name="Note 8 4 5 13" xfId="29819"/>
    <cellStyle name="Note 8 4 5 14" xfId="29820"/>
    <cellStyle name="Note 8 4 5 15" xfId="29821"/>
    <cellStyle name="Note 8 4 5 16" xfId="29822"/>
    <cellStyle name="Note 8 4 5 2" xfId="29823"/>
    <cellStyle name="Note 8 4 5 2 2" xfId="29824"/>
    <cellStyle name="Note 8 4 5 2 3" xfId="29825"/>
    <cellStyle name="Note 8 4 5 2 4" xfId="29826"/>
    <cellStyle name="Note 8 4 5 3" xfId="29827"/>
    <cellStyle name="Note 8 4 5 4" xfId="29828"/>
    <cellStyle name="Note 8 4 5 5" xfId="29829"/>
    <cellStyle name="Note 8 4 5 6" xfId="29830"/>
    <cellStyle name="Note 8 4 5 7" xfId="29831"/>
    <cellStyle name="Note 8 4 5 8" xfId="29832"/>
    <cellStyle name="Note 8 4 5 9" xfId="29833"/>
    <cellStyle name="Note 8 4 6" xfId="29834"/>
    <cellStyle name="Note 8 4 6 10" xfId="29835"/>
    <cellStyle name="Note 8 4 6 11" xfId="29836"/>
    <cellStyle name="Note 8 4 6 12" xfId="29837"/>
    <cellStyle name="Note 8 4 6 13" xfId="29838"/>
    <cellStyle name="Note 8 4 6 14" xfId="29839"/>
    <cellStyle name="Note 8 4 6 15" xfId="29840"/>
    <cellStyle name="Note 8 4 6 16" xfId="29841"/>
    <cellStyle name="Note 8 4 6 2" xfId="29842"/>
    <cellStyle name="Note 8 4 6 2 2" xfId="29843"/>
    <cellStyle name="Note 8 4 6 2 3" xfId="29844"/>
    <cellStyle name="Note 8 4 6 2 4" xfId="29845"/>
    <cellStyle name="Note 8 4 6 3" xfId="29846"/>
    <cellStyle name="Note 8 4 6 4" xfId="29847"/>
    <cellStyle name="Note 8 4 6 5" xfId="29848"/>
    <cellStyle name="Note 8 4 6 6" xfId="29849"/>
    <cellStyle name="Note 8 4 6 7" xfId="29850"/>
    <cellStyle name="Note 8 4 6 8" xfId="29851"/>
    <cellStyle name="Note 8 4 6 9" xfId="29852"/>
    <cellStyle name="Note 8 4 7" xfId="29853"/>
    <cellStyle name="Note 8 4 7 10" xfId="29854"/>
    <cellStyle name="Note 8 4 7 11" xfId="29855"/>
    <cellStyle name="Note 8 4 7 12" xfId="29856"/>
    <cellStyle name="Note 8 4 7 13" xfId="29857"/>
    <cellStyle name="Note 8 4 7 14" xfId="29858"/>
    <cellStyle name="Note 8 4 7 15" xfId="29859"/>
    <cellStyle name="Note 8 4 7 16" xfId="29860"/>
    <cellStyle name="Note 8 4 7 2" xfId="29861"/>
    <cellStyle name="Note 8 4 7 2 2" xfId="29862"/>
    <cellStyle name="Note 8 4 7 2 3" xfId="29863"/>
    <cellStyle name="Note 8 4 7 2 4" xfId="29864"/>
    <cellStyle name="Note 8 4 7 3" xfId="29865"/>
    <cellStyle name="Note 8 4 7 4" xfId="29866"/>
    <cellStyle name="Note 8 4 7 5" xfId="29867"/>
    <cellStyle name="Note 8 4 7 6" xfId="29868"/>
    <cellStyle name="Note 8 4 7 7" xfId="29869"/>
    <cellStyle name="Note 8 4 7 8" xfId="29870"/>
    <cellStyle name="Note 8 4 7 9" xfId="29871"/>
    <cellStyle name="Note 8 4 8" xfId="29872"/>
    <cellStyle name="Note 8 4 8 10" xfId="29873"/>
    <cellStyle name="Note 8 4 8 11" xfId="29874"/>
    <cellStyle name="Note 8 4 8 12" xfId="29875"/>
    <cellStyle name="Note 8 4 8 13" xfId="29876"/>
    <cellStyle name="Note 8 4 8 14" xfId="29877"/>
    <cellStyle name="Note 8 4 8 15" xfId="29878"/>
    <cellStyle name="Note 8 4 8 16" xfId="29879"/>
    <cellStyle name="Note 8 4 8 2" xfId="29880"/>
    <cellStyle name="Note 8 4 8 2 2" xfId="29881"/>
    <cellStyle name="Note 8 4 8 2 3" xfId="29882"/>
    <cellStyle name="Note 8 4 8 2 4" xfId="29883"/>
    <cellStyle name="Note 8 4 8 3" xfId="29884"/>
    <cellStyle name="Note 8 4 8 4" xfId="29885"/>
    <cellStyle name="Note 8 4 8 5" xfId="29886"/>
    <cellStyle name="Note 8 4 8 6" xfId="29887"/>
    <cellStyle name="Note 8 4 8 7" xfId="29888"/>
    <cellStyle name="Note 8 4 8 8" xfId="29889"/>
    <cellStyle name="Note 8 4 8 9" xfId="29890"/>
    <cellStyle name="Note 8 4 9" xfId="29891"/>
    <cellStyle name="Note 8 4 9 2" xfId="29892"/>
    <cellStyle name="Note 8 4 9 3" xfId="29893"/>
    <cellStyle name="Note 8 4 9 4" xfId="29894"/>
    <cellStyle name="Note 9 2" xfId="29895"/>
    <cellStyle name="Note 9 2 10" xfId="29896"/>
    <cellStyle name="Note 9 2 11" xfId="29897"/>
    <cellStyle name="Note 9 2 12" xfId="29898"/>
    <cellStyle name="Note 9 2 13" xfId="29899"/>
    <cellStyle name="Note 9 2 14" xfId="29900"/>
    <cellStyle name="Note 9 2 15" xfId="29901"/>
    <cellStyle name="Note 9 2 16" xfId="29902"/>
    <cellStyle name="Note 9 2 17" xfId="29903"/>
    <cellStyle name="Note 9 2 18" xfId="29904"/>
    <cellStyle name="Note 9 2 19" xfId="29905"/>
    <cellStyle name="Note 9 2 2" xfId="29906"/>
    <cellStyle name="Note 9 2 2 10" xfId="29907"/>
    <cellStyle name="Note 9 2 2 11" xfId="29908"/>
    <cellStyle name="Note 9 2 2 12" xfId="29909"/>
    <cellStyle name="Note 9 2 2 13" xfId="29910"/>
    <cellStyle name="Note 9 2 2 14" xfId="29911"/>
    <cellStyle name="Note 9 2 2 15" xfId="29912"/>
    <cellStyle name="Note 9 2 2 16" xfId="29913"/>
    <cellStyle name="Note 9 2 2 2" xfId="29914"/>
    <cellStyle name="Note 9 2 2 2 2" xfId="29915"/>
    <cellStyle name="Note 9 2 2 2 3" xfId="29916"/>
    <cellStyle name="Note 9 2 2 2 4" xfId="29917"/>
    <cellStyle name="Note 9 2 2 3" xfId="29918"/>
    <cellStyle name="Note 9 2 2 4" xfId="29919"/>
    <cellStyle name="Note 9 2 2 5" xfId="29920"/>
    <cellStyle name="Note 9 2 2 6" xfId="29921"/>
    <cellStyle name="Note 9 2 2 7" xfId="29922"/>
    <cellStyle name="Note 9 2 2 8" xfId="29923"/>
    <cellStyle name="Note 9 2 2 9" xfId="29924"/>
    <cellStyle name="Note 9 2 20" xfId="29925"/>
    <cellStyle name="Note 9 2 21" xfId="29926"/>
    <cellStyle name="Note 9 2 22" xfId="29927"/>
    <cellStyle name="Note 9 2 23" xfId="29928"/>
    <cellStyle name="Note 9 2 3" xfId="29929"/>
    <cellStyle name="Note 9 2 3 10" xfId="29930"/>
    <cellStyle name="Note 9 2 3 11" xfId="29931"/>
    <cellStyle name="Note 9 2 3 12" xfId="29932"/>
    <cellStyle name="Note 9 2 3 13" xfId="29933"/>
    <cellStyle name="Note 9 2 3 14" xfId="29934"/>
    <cellStyle name="Note 9 2 3 15" xfId="29935"/>
    <cellStyle name="Note 9 2 3 16" xfId="29936"/>
    <cellStyle name="Note 9 2 3 2" xfId="29937"/>
    <cellStyle name="Note 9 2 3 2 2" xfId="29938"/>
    <cellStyle name="Note 9 2 3 2 3" xfId="29939"/>
    <cellStyle name="Note 9 2 3 2 4" xfId="29940"/>
    <cellStyle name="Note 9 2 3 3" xfId="29941"/>
    <cellStyle name="Note 9 2 3 4" xfId="29942"/>
    <cellStyle name="Note 9 2 3 5" xfId="29943"/>
    <cellStyle name="Note 9 2 3 6" xfId="29944"/>
    <cellStyle name="Note 9 2 3 7" xfId="29945"/>
    <cellStyle name="Note 9 2 3 8" xfId="29946"/>
    <cellStyle name="Note 9 2 3 9" xfId="29947"/>
    <cellStyle name="Note 9 2 4" xfId="29948"/>
    <cellStyle name="Note 9 2 4 10" xfId="29949"/>
    <cellStyle name="Note 9 2 4 11" xfId="29950"/>
    <cellStyle name="Note 9 2 4 12" xfId="29951"/>
    <cellStyle name="Note 9 2 4 13" xfId="29952"/>
    <cellStyle name="Note 9 2 4 14" xfId="29953"/>
    <cellStyle name="Note 9 2 4 15" xfId="29954"/>
    <cellStyle name="Note 9 2 4 16" xfId="29955"/>
    <cellStyle name="Note 9 2 4 2" xfId="29956"/>
    <cellStyle name="Note 9 2 4 2 2" xfId="29957"/>
    <cellStyle name="Note 9 2 4 2 3" xfId="29958"/>
    <cellStyle name="Note 9 2 4 2 4" xfId="29959"/>
    <cellStyle name="Note 9 2 4 3" xfId="29960"/>
    <cellStyle name="Note 9 2 4 4" xfId="29961"/>
    <cellStyle name="Note 9 2 4 5" xfId="29962"/>
    <cellStyle name="Note 9 2 4 6" xfId="29963"/>
    <cellStyle name="Note 9 2 4 7" xfId="29964"/>
    <cellStyle name="Note 9 2 4 8" xfId="29965"/>
    <cellStyle name="Note 9 2 4 9" xfId="29966"/>
    <cellStyle name="Note 9 2 5" xfId="29967"/>
    <cellStyle name="Note 9 2 5 10" xfId="29968"/>
    <cellStyle name="Note 9 2 5 11" xfId="29969"/>
    <cellStyle name="Note 9 2 5 12" xfId="29970"/>
    <cellStyle name="Note 9 2 5 13" xfId="29971"/>
    <cellStyle name="Note 9 2 5 14" xfId="29972"/>
    <cellStyle name="Note 9 2 5 15" xfId="29973"/>
    <cellStyle name="Note 9 2 5 16" xfId="29974"/>
    <cellStyle name="Note 9 2 5 2" xfId="29975"/>
    <cellStyle name="Note 9 2 5 2 2" xfId="29976"/>
    <cellStyle name="Note 9 2 5 2 3" xfId="29977"/>
    <cellStyle name="Note 9 2 5 2 4" xfId="29978"/>
    <cellStyle name="Note 9 2 5 3" xfId="29979"/>
    <cellStyle name="Note 9 2 5 4" xfId="29980"/>
    <cellStyle name="Note 9 2 5 5" xfId="29981"/>
    <cellStyle name="Note 9 2 5 6" xfId="29982"/>
    <cellStyle name="Note 9 2 5 7" xfId="29983"/>
    <cellStyle name="Note 9 2 5 8" xfId="29984"/>
    <cellStyle name="Note 9 2 5 9" xfId="29985"/>
    <cellStyle name="Note 9 2 6" xfId="29986"/>
    <cellStyle name="Note 9 2 6 10" xfId="29987"/>
    <cellStyle name="Note 9 2 6 11" xfId="29988"/>
    <cellStyle name="Note 9 2 6 12" xfId="29989"/>
    <cellStyle name="Note 9 2 6 13" xfId="29990"/>
    <cellStyle name="Note 9 2 6 14" xfId="29991"/>
    <cellStyle name="Note 9 2 6 15" xfId="29992"/>
    <cellStyle name="Note 9 2 6 16" xfId="29993"/>
    <cellStyle name="Note 9 2 6 2" xfId="29994"/>
    <cellStyle name="Note 9 2 6 2 2" xfId="29995"/>
    <cellStyle name="Note 9 2 6 2 3" xfId="29996"/>
    <cellStyle name="Note 9 2 6 2 4" xfId="29997"/>
    <cellStyle name="Note 9 2 6 3" xfId="29998"/>
    <cellStyle name="Note 9 2 6 4" xfId="29999"/>
    <cellStyle name="Note 9 2 6 5" xfId="30000"/>
    <cellStyle name="Note 9 2 6 6" xfId="30001"/>
    <cellStyle name="Note 9 2 6 7" xfId="30002"/>
    <cellStyle name="Note 9 2 6 8" xfId="30003"/>
    <cellStyle name="Note 9 2 6 9" xfId="30004"/>
    <cellStyle name="Note 9 2 7" xfId="30005"/>
    <cellStyle name="Note 9 2 7 10" xfId="30006"/>
    <cellStyle name="Note 9 2 7 11" xfId="30007"/>
    <cellStyle name="Note 9 2 7 12" xfId="30008"/>
    <cellStyle name="Note 9 2 7 13" xfId="30009"/>
    <cellStyle name="Note 9 2 7 14" xfId="30010"/>
    <cellStyle name="Note 9 2 7 15" xfId="30011"/>
    <cellStyle name="Note 9 2 7 16" xfId="30012"/>
    <cellStyle name="Note 9 2 7 2" xfId="30013"/>
    <cellStyle name="Note 9 2 7 2 2" xfId="30014"/>
    <cellStyle name="Note 9 2 7 2 3" xfId="30015"/>
    <cellStyle name="Note 9 2 7 2 4" xfId="30016"/>
    <cellStyle name="Note 9 2 7 3" xfId="30017"/>
    <cellStyle name="Note 9 2 7 4" xfId="30018"/>
    <cellStyle name="Note 9 2 7 5" xfId="30019"/>
    <cellStyle name="Note 9 2 7 6" xfId="30020"/>
    <cellStyle name="Note 9 2 7 7" xfId="30021"/>
    <cellStyle name="Note 9 2 7 8" xfId="30022"/>
    <cellStyle name="Note 9 2 7 9" xfId="30023"/>
    <cellStyle name="Note 9 2 8" xfId="30024"/>
    <cellStyle name="Note 9 2 8 10" xfId="30025"/>
    <cellStyle name="Note 9 2 8 11" xfId="30026"/>
    <cellStyle name="Note 9 2 8 12" xfId="30027"/>
    <cellStyle name="Note 9 2 8 13" xfId="30028"/>
    <cellStyle name="Note 9 2 8 14" xfId="30029"/>
    <cellStyle name="Note 9 2 8 15" xfId="30030"/>
    <cellStyle name="Note 9 2 8 16" xfId="30031"/>
    <cellStyle name="Note 9 2 8 2" xfId="30032"/>
    <cellStyle name="Note 9 2 8 2 2" xfId="30033"/>
    <cellStyle name="Note 9 2 8 2 3" xfId="30034"/>
    <cellStyle name="Note 9 2 8 2 4" xfId="30035"/>
    <cellStyle name="Note 9 2 8 3" xfId="30036"/>
    <cellStyle name="Note 9 2 8 4" xfId="30037"/>
    <cellStyle name="Note 9 2 8 5" xfId="30038"/>
    <cellStyle name="Note 9 2 8 6" xfId="30039"/>
    <cellStyle name="Note 9 2 8 7" xfId="30040"/>
    <cellStyle name="Note 9 2 8 8" xfId="30041"/>
    <cellStyle name="Note 9 2 8 9" xfId="30042"/>
    <cellStyle name="Note 9 2 9" xfId="30043"/>
    <cellStyle name="Note 9 2 9 2" xfId="30044"/>
    <cellStyle name="Note 9 2 9 3" xfId="30045"/>
    <cellStyle name="Note 9 2 9 4" xfId="30046"/>
    <cellStyle name="Note 9 3" xfId="30047"/>
    <cellStyle name="Note 9 3 10" xfId="30048"/>
    <cellStyle name="Note 9 3 11" xfId="30049"/>
    <cellStyle name="Note 9 3 12" xfId="30050"/>
    <cellStyle name="Note 9 3 13" xfId="30051"/>
    <cellStyle name="Note 9 3 14" xfId="30052"/>
    <cellStyle name="Note 9 3 15" xfId="30053"/>
    <cellStyle name="Note 9 3 16" xfId="30054"/>
    <cellStyle name="Note 9 3 17" xfId="30055"/>
    <cellStyle name="Note 9 3 18" xfId="30056"/>
    <cellStyle name="Note 9 3 19" xfId="30057"/>
    <cellStyle name="Note 9 3 2" xfId="30058"/>
    <cellStyle name="Note 9 3 2 10" xfId="30059"/>
    <cellStyle name="Note 9 3 2 11" xfId="30060"/>
    <cellStyle name="Note 9 3 2 12" xfId="30061"/>
    <cellStyle name="Note 9 3 2 13" xfId="30062"/>
    <cellStyle name="Note 9 3 2 14" xfId="30063"/>
    <cellStyle name="Note 9 3 2 15" xfId="30064"/>
    <cellStyle name="Note 9 3 2 16" xfId="30065"/>
    <cellStyle name="Note 9 3 2 2" xfId="30066"/>
    <cellStyle name="Note 9 3 2 2 2" xfId="30067"/>
    <cellStyle name="Note 9 3 2 2 3" xfId="30068"/>
    <cellStyle name="Note 9 3 2 2 4" xfId="30069"/>
    <cellStyle name="Note 9 3 2 3" xfId="30070"/>
    <cellStyle name="Note 9 3 2 4" xfId="30071"/>
    <cellStyle name="Note 9 3 2 5" xfId="30072"/>
    <cellStyle name="Note 9 3 2 6" xfId="30073"/>
    <cellStyle name="Note 9 3 2 7" xfId="30074"/>
    <cellStyle name="Note 9 3 2 8" xfId="30075"/>
    <cellStyle name="Note 9 3 2 9" xfId="30076"/>
    <cellStyle name="Note 9 3 20" xfId="30077"/>
    <cellStyle name="Note 9 3 21" xfId="30078"/>
    <cellStyle name="Note 9 3 22" xfId="30079"/>
    <cellStyle name="Note 9 3 23" xfId="30080"/>
    <cellStyle name="Note 9 3 3" xfId="30081"/>
    <cellStyle name="Note 9 3 3 10" xfId="30082"/>
    <cellStyle name="Note 9 3 3 11" xfId="30083"/>
    <cellStyle name="Note 9 3 3 12" xfId="30084"/>
    <cellStyle name="Note 9 3 3 13" xfId="30085"/>
    <cellStyle name="Note 9 3 3 14" xfId="30086"/>
    <cellStyle name="Note 9 3 3 15" xfId="30087"/>
    <cellStyle name="Note 9 3 3 16" xfId="30088"/>
    <cellStyle name="Note 9 3 3 2" xfId="30089"/>
    <cellStyle name="Note 9 3 3 2 2" xfId="30090"/>
    <cellStyle name="Note 9 3 3 2 3" xfId="30091"/>
    <cellStyle name="Note 9 3 3 2 4" xfId="30092"/>
    <cellStyle name="Note 9 3 3 3" xfId="30093"/>
    <cellStyle name="Note 9 3 3 4" xfId="30094"/>
    <cellStyle name="Note 9 3 3 5" xfId="30095"/>
    <cellStyle name="Note 9 3 3 6" xfId="30096"/>
    <cellStyle name="Note 9 3 3 7" xfId="30097"/>
    <cellStyle name="Note 9 3 3 8" xfId="30098"/>
    <cellStyle name="Note 9 3 3 9" xfId="30099"/>
    <cellStyle name="Note 9 3 4" xfId="30100"/>
    <cellStyle name="Note 9 3 4 10" xfId="30101"/>
    <cellStyle name="Note 9 3 4 11" xfId="30102"/>
    <cellStyle name="Note 9 3 4 12" xfId="30103"/>
    <cellStyle name="Note 9 3 4 13" xfId="30104"/>
    <cellStyle name="Note 9 3 4 14" xfId="30105"/>
    <cellStyle name="Note 9 3 4 15" xfId="30106"/>
    <cellStyle name="Note 9 3 4 16" xfId="30107"/>
    <cellStyle name="Note 9 3 4 2" xfId="30108"/>
    <cellStyle name="Note 9 3 4 2 2" xfId="30109"/>
    <cellStyle name="Note 9 3 4 2 3" xfId="30110"/>
    <cellStyle name="Note 9 3 4 2 4" xfId="30111"/>
    <cellStyle name="Note 9 3 4 3" xfId="30112"/>
    <cellStyle name="Note 9 3 4 4" xfId="30113"/>
    <cellStyle name="Note 9 3 4 5" xfId="30114"/>
    <cellStyle name="Note 9 3 4 6" xfId="30115"/>
    <cellStyle name="Note 9 3 4 7" xfId="30116"/>
    <cellStyle name="Note 9 3 4 8" xfId="30117"/>
    <cellStyle name="Note 9 3 4 9" xfId="30118"/>
    <cellStyle name="Note 9 3 5" xfId="30119"/>
    <cellStyle name="Note 9 3 5 10" xfId="30120"/>
    <cellStyle name="Note 9 3 5 11" xfId="30121"/>
    <cellStyle name="Note 9 3 5 12" xfId="30122"/>
    <cellStyle name="Note 9 3 5 13" xfId="30123"/>
    <cellStyle name="Note 9 3 5 14" xfId="30124"/>
    <cellStyle name="Note 9 3 5 15" xfId="30125"/>
    <cellStyle name="Note 9 3 5 16" xfId="30126"/>
    <cellStyle name="Note 9 3 5 2" xfId="30127"/>
    <cellStyle name="Note 9 3 5 2 2" xfId="30128"/>
    <cellStyle name="Note 9 3 5 2 3" xfId="30129"/>
    <cellStyle name="Note 9 3 5 2 4" xfId="30130"/>
    <cellStyle name="Note 9 3 5 3" xfId="30131"/>
    <cellStyle name="Note 9 3 5 4" xfId="30132"/>
    <cellStyle name="Note 9 3 5 5" xfId="30133"/>
    <cellStyle name="Note 9 3 5 6" xfId="30134"/>
    <cellStyle name="Note 9 3 5 7" xfId="30135"/>
    <cellStyle name="Note 9 3 5 8" xfId="30136"/>
    <cellStyle name="Note 9 3 5 9" xfId="30137"/>
    <cellStyle name="Note 9 3 6" xfId="30138"/>
    <cellStyle name="Note 9 3 6 10" xfId="30139"/>
    <cellStyle name="Note 9 3 6 11" xfId="30140"/>
    <cellStyle name="Note 9 3 6 12" xfId="30141"/>
    <cellStyle name="Note 9 3 6 13" xfId="30142"/>
    <cellStyle name="Note 9 3 6 14" xfId="30143"/>
    <cellStyle name="Note 9 3 6 15" xfId="30144"/>
    <cellStyle name="Note 9 3 6 16" xfId="30145"/>
    <cellStyle name="Note 9 3 6 2" xfId="30146"/>
    <cellStyle name="Note 9 3 6 2 2" xfId="30147"/>
    <cellStyle name="Note 9 3 6 2 3" xfId="30148"/>
    <cellStyle name="Note 9 3 6 2 4" xfId="30149"/>
    <cellStyle name="Note 9 3 6 3" xfId="30150"/>
    <cellStyle name="Note 9 3 6 4" xfId="30151"/>
    <cellStyle name="Note 9 3 6 5" xfId="30152"/>
    <cellStyle name="Note 9 3 6 6" xfId="30153"/>
    <cellStyle name="Note 9 3 6 7" xfId="30154"/>
    <cellStyle name="Note 9 3 6 8" xfId="30155"/>
    <cellStyle name="Note 9 3 6 9" xfId="30156"/>
    <cellStyle name="Note 9 3 7" xfId="30157"/>
    <cellStyle name="Note 9 3 7 10" xfId="30158"/>
    <cellStyle name="Note 9 3 7 11" xfId="30159"/>
    <cellStyle name="Note 9 3 7 12" xfId="30160"/>
    <cellStyle name="Note 9 3 7 13" xfId="30161"/>
    <cellStyle name="Note 9 3 7 14" xfId="30162"/>
    <cellStyle name="Note 9 3 7 15" xfId="30163"/>
    <cellStyle name="Note 9 3 7 16" xfId="30164"/>
    <cellStyle name="Note 9 3 7 2" xfId="30165"/>
    <cellStyle name="Note 9 3 7 2 2" xfId="30166"/>
    <cellStyle name="Note 9 3 7 2 3" xfId="30167"/>
    <cellStyle name="Note 9 3 7 2 4" xfId="30168"/>
    <cellStyle name="Note 9 3 7 3" xfId="30169"/>
    <cellStyle name="Note 9 3 7 4" xfId="30170"/>
    <cellStyle name="Note 9 3 7 5" xfId="30171"/>
    <cellStyle name="Note 9 3 7 6" xfId="30172"/>
    <cellStyle name="Note 9 3 7 7" xfId="30173"/>
    <cellStyle name="Note 9 3 7 8" xfId="30174"/>
    <cellStyle name="Note 9 3 7 9" xfId="30175"/>
    <cellStyle name="Note 9 3 8" xfId="30176"/>
    <cellStyle name="Note 9 3 8 10" xfId="30177"/>
    <cellStyle name="Note 9 3 8 11" xfId="30178"/>
    <cellStyle name="Note 9 3 8 12" xfId="30179"/>
    <cellStyle name="Note 9 3 8 13" xfId="30180"/>
    <cellStyle name="Note 9 3 8 14" xfId="30181"/>
    <cellStyle name="Note 9 3 8 15" xfId="30182"/>
    <cellStyle name="Note 9 3 8 16" xfId="30183"/>
    <cellStyle name="Note 9 3 8 2" xfId="30184"/>
    <cellStyle name="Note 9 3 8 2 2" xfId="30185"/>
    <cellStyle name="Note 9 3 8 2 3" xfId="30186"/>
    <cellStyle name="Note 9 3 8 2 4" xfId="30187"/>
    <cellStyle name="Note 9 3 8 3" xfId="30188"/>
    <cellStyle name="Note 9 3 8 4" xfId="30189"/>
    <cellStyle name="Note 9 3 8 5" xfId="30190"/>
    <cellStyle name="Note 9 3 8 6" xfId="30191"/>
    <cellStyle name="Note 9 3 8 7" xfId="30192"/>
    <cellStyle name="Note 9 3 8 8" xfId="30193"/>
    <cellStyle name="Note 9 3 8 9" xfId="30194"/>
    <cellStyle name="Note 9 3 9" xfId="30195"/>
    <cellStyle name="Note 9 3 9 2" xfId="30196"/>
    <cellStyle name="Note 9 3 9 3" xfId="30197"/>
    <cellStyle name="Note 9 3 9 4" xfId="30198"/>
    <cellStyle name="Note 9 4" xfId="30199"/>
    <cellStyle name="Note 9 4 10" xfId="30200"/>
    <cellStyle name="Note 9 4 11" xfId="30201"/>
    <cellStyle name="Note 9 4 12" xfId="30202"/>
    <cellStyle name="Note 9 4 13" xfId="30203"/>
    <cellStyle name="Note 9 4 14" xfId="30204"/>
    <cellStyle name="Note 9 4 15" xfId="30205"/>
    <cellStyle name="Note 9 4 16" xfId="30206"/>
    <cellStyle name="Note 9 4 17" xfId="30207"/>
    <cellStyle name="Note 9 4 18" xfId="30208"/>
    <cellStyle name="Note 9 4 19" xfId="30209"/>
    <cellStyle name="Note 9 4 2" xfId="30210"/>
    <cellStyle name="Note 9 4 2 10" xfId="30211"/>
    <cellStyle name="Note 9 4 2 11" xfId="30212"/>
    <cellStyle name="Note 9 4 2 12" xfId="30213"/>
    <cellStyle name="Note 9 4 2 13" xfId="30214"/>
    <cellStyle name="Note 9 4 2 14" xfId="30215"/>
    <cellStyle name="Note 9 4 2 15" xfId="30216"/>
    <cellStyle name="Note 9 4 2 16" xfId="30217"/>
    <cellStyle name="Note 9 4 2 2" xfId="30218"/>
    <cellStyle name="Note 9 4 2 2 2" xfId="30219"/>
    <cellStyle name="Note 9 4 2 2 3" xfId="30220"/>
    <cellStyle name="Note 9 4 2 2 4" xfId="30221"/>
    <cellStyle name="Note 9 4 2 3" xfId="30222"/>
    <cellStyle name="Note 9 4 2 4" xfId="30223"/>
    <cellStyle name="Note 9 4 2 5" xfId="30224"/>
    <cellStyle name="Note 9 4 2 6" xfId="30225"/>
    <cellStyle name="Note 9 4 2 7" xfId="30226"/>
    <cellStyle name="Note 9 4 2 8" xfId="30227"/>
    <cellStyle name="Note 9 4 2 9" xfId="30228"/>
    <cellStyle name="Note 9 4 20" xfId="30229"/>
    <cellStyle name="Note 9 4 21" xfId="30230"/>
    <cellStyle name="Note 9 4 22" xfId="30231"/>
    <cellStyle name="Note 9 4 23" xfId="30232"/>
    <cellStyle name="Note 9 4 3" xfId="30233"/>
    <cellStyle name="Note 9 4 3 10" xfId="30234"/>
    <cellStyle name="Note 9 4 3 11" xfId="30235"/>
    <cellStyle name="Note 9 4 3 12" xfId="30236"/>
    <cellStyle name="Note 9 4 3 13" xfId="30237"/>
    <cellStyle name="Note 9 4 3 14" xfId="30238"/>
    <cellStyle name="Note 9 4 3 15" xfId="30239"/>
    <cellStyle name="Note 9 4 3 16" xfId="30240"/>
    <cellStyle name="Note 9 4 3 2" xfId="30241"/>
    <cellStyle name="Note 9 4 3 2 2" xfId="30242"/>
    <cellStyle name="Note 9 4 3 2 3" xfId="30243"/>
    <cellStyle name="Note 9 4 3 2 4" xfId="30244"/>
    <cellStyle name="Note 9 4 3 3" xfId="30245"/>
    <cellStyle name="Note 9 4 3 4" xfId="30246"/>
    <cellStyle name="Note 9 4 3 5" xfId="30247"/>
    <cellStyle name="Note 9 4 3 6" xfId="30248"/>
    <cellStyle name="Note 9 4 3 7" xfId="30249"/>
    <cellStyle name="Note 9 4 3 8" xfId="30250"/>
    <cellStyle name="Note 9 4 3 9" xfId="30251"/>
    <cellStyle name="Note 9 4 4" xfId="30252"/>
    <cellStyle name="Note 9 4 4 10" xfId="30253"/>
    <cellStyle name="Note 9 4 4 11" xfId="30254"/>
    <cellStyle name="Note 9 4 4 12" xfId="30255"/>
    <cellStyle name="Note 9 4 4 13" xfId="30256"/>
    <cellStyle name="Note 9 4 4 14" xfId="30257"/>
    <cellStyle name="Note 9 4 4 15" xfId="30258"/>
    <cellStyle name="Note 9 4 4 16" xfId="30259"/>
    <cellStyle name="Note 9 4 4 2" xfId="30260"/>
    <cellStyle name="Note 9 4 4 2 2" xfId="30261"/>
    <cellStyle name="Note 9 4 4 2 3" xfId="30262"/>
    <cellStyle name="Note 9 4 4 2 4" xfId="30263"/>
    <cellStyle name="Note 9 4 4 3" xfId="30264"/>
    <cellStyle name="Note 9 4 4 4" xfId="30265"/>
    <cellStyle name="Note 9 4 4 5" xfId="30266"/>
    <cellStyle name="Note 9 4 4 6" xfId="30267"/>
    <cellStyle name="Note 9 4 4 7" xfId="30268"/>
    <cellStyle name="Note 9 4 4 8" xfId="30269"/>
    <cellStyle name="Note 9 4 4 9" xfId="30270"/>
    <cellStyle name="Note 9 4 5" xfId="30271"/>
    <cellStyle name="Note 9 4 5 10" xfId="30272"/>
    <cellStyle name="Note 9 4 5 11" xfId="30273"/>
    <cellStyle name="Note 9 4 5 12" xfId="30274"/>
    <cellStyle name="Note 9 4 5 13" xfId="30275"/>
    <cellStyle name="Note 9 4 5 14" xfId="30276"/>
    <cellStyle name="Note 9 4 5 15" xfId="30277"/>
    <cellStyle name="Note 9 4 5 16" xfId="30278"/>
    <cellStyle name="Note 9 4 5 2" xfId="30279"/>
    <cellStyle name="Note 9 4 5 2 2" xfId="30280"/>
    <cellStyle name="Note 9 4 5 2 3" xfId="30281"/>
    <cellStyle name="Note 9 4 5 2 4" xfId="30282"/>
    <cellStyle name="Note 9 4 5 3" xfId="30283"/>
    <cellStyle name="Note 9 4 5 4" xfId="30284"/>
    <cellStyle name="Note 9 4 5 5" xfId="30285"/>
    <cellStyle name="Note 9 4 5 6" xfId="30286"/>
    <cellStyle name="Note 9 4 5 7" xfId="30287"/>
    <cellStyle name="Note 9 4 5 8" xfId="30288"/>
    <cellStyle name="Note 9 4 5 9" xfId="30289"/>
    <cellStyle name="Note 9 4 6" xfId="30290"/>
    <cellStyle name="Note 9 4 6 10" xfId="30291"/>
    <cellStyle name="Note 9 4 6 11" xfId="30292"/>
    <cellStyle name="Note 9 4 6 12" xfId="30293"/>
    <cellStyle name="Note 9 4 6 13" xfId="30294"/>
    <cellStyle name="Note 9 4 6 14" xfId="30295"/>
    <cellStyle name="Note 9 4 6 15" xfId="30296"/>
    <cellStyle name="Note 9 4 6 16" xfId="30297"/>
    <cellStyle name="Note 9 4 6 2" xfId="30298"/>
    <cellStyle name="Note 9 4 6 2 2" xfId="30299"/>
    <cellStyle name="Note 9 4 6 2 3" xfId="30300"/>
    <cellStyle name="Note 9 4 6 2 4" xfId="30301"/>
    <cellStyle name="Note 9 4 6 3" xfId="30302"/>
    <cellStyle name="Note 9 4 6 4" xfId="30303"/>
    <cellStyle name="Note 9 4 6 5" xfId="30304"/>
    <cellStyle name="Note 9 4 6 6" xfId="30305"/>
    <cellStyle name="Note 9 4 6 7" xfId="30306"/>
    <cellStyle name="Note 9 4 6 8" xfId="30307"/>
    <cellStyle name="Note 9 4 6 9" xfId="30308"/>
    <cellStyle name="Note 9 4 7" xfId="30309"/>
    <cellStyle name="Note 9 4 7 10" xfId="30310"/>
    <cellStyle name="Note 9 4 7 11" xfId="30311"/>
    <cellStyle name="Note 9 4 7 12" xfId="30312"/>
    <cellStyle name="Note 9 4 7 13" xfId="30313"/>
    <cellStyle name="Note 9 4 7 14" xfId="30314"/>
    <cellStyle name="Note 9 4 7 15" xfId="30315"/>
    <cellStyle name="Note 9 4 7 16" xfId="30316"/>
    <cellStyle name="Note 9 4 7 2" xfId="30317"/>
    <cellStyle name="Note 9 4 7 2 2" xfId="30318"/>
    <cellStyle name="Note 9 4 7 2 3" xfId="30319"/>
    <cellStyle name="Note 9 4 7 2 4" xfId="30320"/>
    <cellStyle name="Note 9 4 7 3" xfId="30321"/>
    <cellStyle name="Note 9 4 7 4" xfId="30322"/>
    <cellStyle name="Note 9 4 7 5" xfId="30323"/>
    <cellStyle name="Note 9 4 7 6" xfId="30324"/>
    <cellStyle name="Note 9 4 7 7" xfId="30325"/>
    <cellStyle name="Note 9 4 7 8" xfId="30326"/>
    <cellStyle name="Note 9 4 7 9" xfId="30327"/>
    <cellStyle name="Note 9 4 8" xfId="30328"/>
    <cellStyle name="Note 9 4 8 10" xfId="30329"/>
    <cellStyle name="Note 9 4 8 11" xfId="30330"/>
    <cellStyle name="Note 9 4 8 12" xfId="30331"/>
    <cellStyle name="Note 9 4 8 13" xfId="30332"/>
    <cellStyle name="Note 9 4 8 14" xfId="30333"/>
    <cellStyle name="Note 9 4 8 15" xfId="30334"/>
    <cellStyle name="Note 9 4 8 16" xfId="30335"/>
    <cellStyle name="Note 9 4 8 2" xfId="30336"/>
    <cellStyle name="Note 9 4 8 2 2" xfId="30337"/>
    <cellStyle name="Note 9 4 8 2 3" xfId="30338"/>
    <cellStyle name="Note 9 4 8 2 4" xfId="30339"/>
    <cellStyle name="Note 9 4 8 3" xfId="30340"/>
    <cellStyle name="Note 9 4 8 4" xfId="30341"/>
    <cellStyle name="Note 9 4 8 5" xfId="30342"/>
    <cellStyle name="Note 9 4 8 6" xfId="30343"/>
    <cellStyle name="Note 9 4 8 7" xfId="30344"/>
    <cellStyle name="Note 9 4 8 8" xfId="30345"/>
    <cellStyle name="Note 9 4 8 9" xfId="30346"/>
    <cellStyle name="Note 9 4 9" xfId="30347"/>
    <cellStyle name="Note 9 4 9 2" xfId="30348"/>
    <cellStyle name="Note 9 4 9 3" xfId="30349"/>
    <cellStyle name="Note 9 4 9 4" xfId="30350"/>
    <cellStyle name="Œ…‹æØ‚è [0.00]_01MY Value Cost Study" xfId="30351"/>
    <cellStyle name="Œ…‹æØ‚è_01MY Value Cost Study" xfId="30352"/>
    <cellStyle name="omma [0]_Mktg Prog" xfId="30353"/>
    <cellStyle name="Option_Added_Cont_Desc" xfId="30354"/>
    <cellStyle name="ormal_Sheet1_1" xfId="30355"/>
    <cellStyle name="Output 1" xfId="30356"/>
    <cellStyle name="Output 1 10" xfId="30357"/>
    <cellStyle name="Output 1 11" xfId="30358"/>
    <cellStyle name="Output 1 12" xfId="30359"/>
    <cellStyle name="Output 1 13" xfId="30360"/>
    <cellStyle name="Output 1 14" xfId="30361"/>
    <cellStyle name="Output 1 15" xfId="30362"/>
    <cellStyle name="Output 1 16" xfId="30363"/>
    <cellStyle name="Output 1 2" xfId="30364"/>
    <cellStyle name="Output 1 2 2" xfId="30365"/>
    <cellStyle name="Output 1 2 3" xfId="30366"/>
    <cellStyle name="Output 1 2 4" xfId="30367"/>
    <cellStyle name="Output 1 3" xfId="30368"/>
    <cellStyle name="Output 1 4" xfId="30369"/>
    <cellStyle name="Output 1 5" xfId="30370"/>
    <cellStyle name="Output 1 6" xfId="30371"/>
    <cellStyle name="Output 1 7" xfId="30372"/>
    <cellStyle name="Output 1 8" xfId="30373"/>
    <cellStyle name="Output 1 9" xfId="30374"/>
    <cellStyle name="Output 10 2" xfId="30375"/>
    <cellStyle name="Output 10 2 10" xfId="30376"/>
    <cellStyle name="Output 10 2 11" xfId="30377"/>
    <cellStyle name="Output 10 2 12" xfId="30378"/>
    <cellStyle name="Output 10 2 13" xfId="30379"/>
    <cellStyle name="Output 10 2 14" xfId="30380"/>
    <cellStyle name="Output 10 2 15" xfId="30381"/>
    <cellStyle name="Output 10 2 16" xfId="30382"/>
    <cellStyle name="Output 10 2 2" xfId="30383"/>
    <cellStyle name="Output 10 2 2 2" xfId="30384"/>
    <cellStyle name="Output 10 2 2 3" xfId="30385"/>
    <cellStyle name="Output 10 2 2 4" xfId="30386"/>
    <cellStyle name="Output 10 2 3" xfId="30387"/>
    <cellStyle name="Output 10 2 4" xfId="30388"/>
    <cellStyle name="Output 10 2 5" xfId="30389"/>
    <cellStyle name="Output 10 2 6" xfId="30390"/>
    <cellStyle name="Output 10 2 7" xfId="30391"/>
    <cellStyle name="Output 10 2 8" xfId="30392"/>
    <cellStyle name="Output 10 2 9" xfId="30393"/>
    <cellStyle name="Output 10 3" xfId="30394"/>
    <cellStyle name="Output 10 3 10" xfId="30395"/>
    <cellStyle name="Output 10 3 11" xfId="30396"/>
    <cellStyle name="Output 10 3 12" xfId="30397"/>
    <cellStyle name="Output 10 3 13" xfId="30398"/>
    <cellStyle name="Output 10 3 14" xfId="30399"/>
    <cellStyle name="Output 10 3 15" xfId="30400"/>
    <cellStyle name="Output 10 3 16" xfId="30401"/>
    <cellStyle name="Output 10 3 2" xfId="30402"/>
    <cellStyle name="Output 10 3 2 2" xfId="30403"/>
    <cellStyle name="Output 10 3 2 3" xfId="30404"/>
    <cellStyle name="Output 10 3 2 4" xfId="30405"/>
    <cellStyle name="Output 10 3 3" xfId="30406"/>
    <cellStyle name="Output 10 3 4" xfId="30407"/>
    <cellStyle name="Output 10 3 5" xfId="30408"/>
    <cellStyle name="Output 10 3 6" xfId="30409"/>
    <cellStyle name="Output 10 3 7" xfId="30410"/>
    <cellStyle name="Output 10 3 8" xfId="30411"/>
    <cellStyle name="Output 10 3 9" xfId="30412"/>
    <cellStyle name="Output 10 4" xfId="30413"/>
    <cellStyle name="Output 10 4 10" xfId="30414"/>
    <cellStyle name="Output 10 4 11" xfId="30415"/>
    <cellStyle name="Output 10 4 12" xfId="30416"/>
    <cellStyle name="Output 10 4 13" xfId="30417"/>
    <cellStyle name="Output 10 4 14" xfId="30418"/>
    <cellStyle name="Output 10 4 15" xfId="30419"/>
    <cellStyle name="Output 10 4 16" xfId="30420"/>
    <cellStyle name="Output 10 4 2" xfId="30421"/>
    <cellStyle name="Output 10 4 2 2" xfId="30422"/>
    <cellStyle name="Output 10 4 2 3" xfId="30423"/>
    <cellStyle name="Output 10 4 2 4" xfId="30424"/>
    <cellStyle name="Output 10 4 3" xfId="30425"/>
    <cellStyle name="Output 10 4 4" xfId="30426"/>
    <cellStyle name="Output 10 4 5" xfId="30427"/>
    <cellStyle name="Output 10 4 6" xfId="30428"/>
    <cellStyle name="Output 10 4 7" xfId="30429"/>
    <cellStyle name="Output 10 4 8" xfId="30430"/>
    <cellStyle name="Output 10 4 9" xfId="30431"/>
    <cellStyle name="Output 11 2" xfId="30432"/>
    <cellStyle name="Output 11 2 10" xfId="30433"/>
    <cellStyle name="Output 11 2 11" xfId="30434"/>
    <cellStyle name="Output 11 2 12" xfId="30435"/>
    <cellStyle name="Output 11 2 13" xfId="30436"/>
    <cellStyle name="Output 11 2 14" xfId="30437"/>
    <cellStyle name="Output 11 2 15" xfId="30438"/>
    <cellStyle name="Output 11 2 16" xfId="30439"/>
    <cellStyle name="Output 11 2 2" xfId="30440"/>
    <cellStyle name="Output 11 2 2 2" xfId="30441"/>
    <cellStyle name="Output 11 2 2 3" xfId="30442"/>
    <cellStyle name="Output 11 2 2 4" xfId="30443"/>
    <cellStyle name="Output 11 2 3" xfId="30444"/>
    <cellStyle name="Output 11 2 4" xfId="30445"/>
    <cellStyle name="Output 11 2 5" xfId="30446"/>
    <cellStyle name="Output 11 2 6" xfId="30447"/>
    <cellStyle name="Output 11 2 7" xfId="30448"/>
    <cellStyle name="Output 11 2 8" xfId="30449"/>
    <cellStyle name="Output 11 2 9" xfId="30450"/>
    <cellStyle name="Output 11 3" xfId="30451"/>
    <cellStyle name="Output 11 3 10" xfId="30452"/>
    <cellStyle name="Output 11 3 11" xfId="30453"/>
    <cellStyle name="Output 11 3 12" xfId="30454"/>
    <cellStyle name="Output 11 3 13" xfId="30455"/>
    <cellStyle name="Output 11 3 14" xfId="30456"/>
    <cellStyle name="Output 11 3 15" xfId="30457"/>
    <cellStyle name="Output 11 3 16" xfId="30458"/>
    <cellStyle name="Output 11 3 2" xfId="30459"/>
    <cellStyle name="Output 11 3 2 2" xfId="30460"/>
    <cellStyle name="Output 11 3 2 3" xfId="30461"/>
    <cellStyle name="Output 11 3 2 4" xfId="30462"/>
    <cellStyle name="Output 11 3 3" xfId="30463"/>
    <cellStyle name="Output 11 3 4" xfId="30464"/>
    <cellStyle name="Output 11 3 5" xfId="30465"/>
    <cellStyle name="Output 11 3 6" xfId="30466"/>
    <cellStyle name="Output 11 3 7" xfId="30467"/>
    <cellStyle name="Output 11 3 8" xfId="30468"/>
    <cellStyle name="Output 11 3 9" xfId="30469"/>
    <cellStyle name="Output 11 4" xfId="30470"/>
    <cellStyle name="Output 11 4 10" xfId="30471"/>
    <cellStyle name="Output 11 4 11" xfId="30472"/>
    <cellStyle name="Output 11 4 12" xfId="30473"/>
    <cellStyle name="Output 11 4 13" xfId="30474"/>
    <cellStyle name="Output 11 4 14" xfId="30475"/>
    <cellStyle name="Output 11 4 15" xfId="30476"/>
    <cellStyle name="Output 11 4 16" xfId="30477"/>
    <cellStyle name="Output 11 4 2" xfId="30478"/>
    <cellStyle name="Output 11 4 2 2" xfId="30479"/>
    <cellStyle name="Output 11 4 2 3" xfId="30480"/>
    <cellStyle name="Output 11 4 2 4" xfId="30481"/>
    <cellStyle name="Output 11 4 3" xfId="30482"/>
    <cellStyle name="Output 11 4 4" xfId="30483"/>
    <cellStyle name="Output 11 4 5" xfId="30484"/>
    <cellStyle name="Output 11 4 6" xfId="30485"/>
    <cellStyle name="Output 11 4 7" xfId="30486"/>
    <cellStyle name="Output 11 4 8" xfId="30487"/>
    <cellStyle name="Output 11 4 9" xfId="30488"/>
    <cellStyle name="Output 12 2" xfId="30489"/>
    <cellStyle name="Output 12 2 10" xfId="30490"/>
    <cellStyle name="Output 12 2 11" xfId="30491"/>
    <cellStyle name="Output 12 2 12" xfId="30492"/>
    <cellStyle name="Output 12 2 13" xfId="30493"/>
    <cellStyle name="Output 12 2 14" xfId="30494"/>
    <cellStyle name="Output 12 2 15" xfId="30495"/>
    <cellStyle name="Output 12 2 16" xfId="30496"/>
    <cellStyle name="Output 12 2 2" xfId="30497"/>
    <cellStyle name="Output 12 2 2 2" xfId="30498"/>
    <cellStyle name="Output 12 2 2 3" xfId="30499"/>
    <cellStyle name="Output 12 2 2 4" xfId="30500"/>
    <cellStyle name="Output 12 2 3" xfId="30501"/>
    <cellStyle name="Output 12 2 4" xfId="30502"/>
    <cellStyle name="Output 12 2 5" xfId="30503"/>
    <cellStyle name="Output 12 2 6" xfId="30504"/>
    <cellStyle name="Output 12 2 7" xfId="30505"/>
    <cellStyle name="Output 12 2 8" xfId="30506"/>
    <cellStyle name="Output 12 2 9" xfId="30507"/>
    <cellStyle name="Output 12 3" xfId="30508"/>
    <cellStyle name="Output 12 3 10" xfId="30509"/>
    <cellStyle name="Output 12 3 11" xfId="30510"/>
    <cellStyle name="Output 12 3 12" xfId="30511"/>
    <cellStyle name="Output 12 3 13" xfId="30512"/>
    <cellStyle name="Output 12 3 14" xfId="30513"/>
    <cellStyle name="Output 12 3 15" xfId="30514"/>
    <cellStyle name="Output 12 3 16" xfId="30515"/>
    <cellStyle name="Output 12 3 2" xfId="30516"/>
    <cellStyle name="Output 12 3 2 2" xfId="30517"/>
    <cellStyle name="Output 12 3 2 3" xfId="30518"/>
    <cellStyle name="Output 12 3 2 4" xfId="30519"/>
    <cellStyle name="Output 12 3 3" xfId="30520"/>
    <cellStyle name="Output 12 3 4" xfId="30521"/>
    <cellStyle name="Output 12 3 5" xfId="30522"/>
    <cellStyle name="Output 12 3 6" xfId="30523"/>
    <cellStyle name="Output 12 3 7" xfId="30524"/>
    <cellStyle name="Output 12 3 8" xfId="30525"/>
    <cellStyle name="Output 12 3 9" xfId="30526"/>
    <cellStyle name="Output 12 4" xfId="30527"/>
    <cellStyle name="Output 12 4 10" xfId="30528"/>
    <cellStyle name="Output 12 4 11" xfId="30529"/>
    <cellStyle name="Output 12 4 12" xfId="30530"/>
    <cellStyle name="Output 12 4 13" xfId="30531"/>
    <cellStyle name="Output 12 4 14" xfId="30532"/>
    <cellStyle name="Output 12 4 15" xfId="30533"/>
    <cellStyle name="Output 12 4 16" xfId="30534"/>
    <cellStyle name="Output 12 4 2" xfId="30535"/>
    <cellStyle name="Output 12 4 2 2" xfId="30536"/>
    <cellStyle name="Output 12 4 2 3" xfId="30537"/>
    <cellStyle name="Output 12 4 2 4" xfId="30538"/>
    <cellStyle name="Output 12 4 3" xfId="30539"/>
    <cellStyle name="Output 12 4 4" xfId="30540"/>
    <cellStyle name="Output 12 4 5" xfId="30541"/>
    <cellStyle name="Output 12 4 6" xfId="30542"/>
    <cellStyle name="Output 12 4 7" xfId="30543"/>
    <cellStyle name="Output 12 4 8" xfId="30544"/>
    <cellStyle name="Output 12 4 9" xfId="30545"/>
    <cellStyle name="Output 13 2" xfId="30546"/>
    <cellStyle name="Output 13 2 10" xfId="30547"/>
    <cellStyle name="Output 13 2 11" xfId="30548"/>
    <cellStyle name="Output 13 2 12" xfId="30549"/>
    <cellStyle name="Output 13 2 13" xfId="30550"/>
    <cellStyle name="Output 13 2 14" xfId="30551"/>
    <cellStyle name="Output 13 2 15" xfId="30552"/>
    <cellStyle name="Output 13 2 16" xfId="30553"/>
    <cellStyle name="Output 13 2 2" xfId="30554"/>
    <cellStyle name="Output 13 2 2 2" xfId="30555"/>
    <cellStyle name="Output 13 2 2 3" xfId="30556"/>
    <cellStyle name="Output 13 2 2 4" xfId="30557"/>
    <cellStyle name="Output 13 2 3" xfId="30558"/>
    <cellStyle name="Output 13 2 4" xfId="30559"/>
    <cellStyle name="Output 13 2 5" xfId="30560"/>
    <cellStyle name="Output 13 2 6" xfId="30561"/>
    <cellStyle name="Output 13 2 7" xfId="30562"/>
    <cellStyle name="Output 13 2 8" xfId="30563"/>
    <cellStyle name="Output 13 2 9" xfId="30564"/>
    <cellStyle name="Output 13 3" xfId="30565"/>
    <cellStyle name="Output 13 3 10" xfId="30566"/>
    <cellStyle name="Output 13 3 11" xfId="30567"/>
    <cellStyle name="Output 13 3 12" xfId="30568"/>
    <cellStyle name="Output 13 3 13" xfId="30569"/>
    <cellStyle name="Output 13 3 14" xfId="30570"/>
    <cellStyle name="Output 13 3 15" xfId="30571"/>
    <cellStyle name="Output 13 3 16" xfId="30572"/>
    <cellStyle name="Output 13 3 2" xfId="30573"/>
    <cellStyle name="Output 13 3 2 2" xfId="30574"/>
    <cellStyle name="Output 13 3 2 3" xfId="30575"/>
    <cellStyle name="Output 13 3 2 4" xfId="30576"/>
    <cellStyle name="Output 13 3 3" xfId="30577"/>
    <cellStyle name="Output 13 3 4" xfId="30578"/>
    <cellStyle name="Output 13 3 5" xfId="30579"/>
    <cellStyle name="Output 13 3 6" xfId="30580"/>
    <cellStyle name="Output 13 3 7" xfId="30581"/>
    <cellStyle name="Output 13 3 8" xfId="30582"/>
    <cellStyle name="Output 13 3 9" xfId="30583"/>
    <cellStyle name="Output 13 4" xfId="30584"/>
    <cellStyle name="Output 13 4 10" xfId="30585"/>
    <cellStyle name="Output 13 4 11" xfId="30586"/>
    <cellStyle name="Output 13 4 12" xfId="30587"/>
    <cellStyle name="Output 13 4 13" xfId="30588"/>
    <cellStyle name="Output 13 4 14" xfId="30589"/>
    <cellStyle name="Output 13 4 15" xfId="30590"/>
    <cellStyle name="Output 13 4 16" xfId="30591"/>
    <cellStyle name="Output 13 4 2" xfId="30592"/>
    <cellStyle name="Output 13 4 2 2" xfId="30593"/>
    <cellStyle name="Output 13 4 2 3" xfId="30594"/>
    <cellStyle name="Output 13 4 2 4" xfId="30595"/>
    <cellStyle name="Output 13 4 3" xfId="30596"/>
    <cellStyle name="Output 13 4 4" xfId="30597"/>
    <cellStyle name="Output 13 4 5" xfId="30598"/>
    <cellStyle name="Output 13 4 6" xfId="30599"/>
    <cellStyle name="Output 13 4 7" xfId="30600"/>
    <cellStyle name="Output 13 4 8" xfId="30601"/>
    <cellStyle name="Output 13 4 9" xfId="30602"/>
    <cellStyle name="Output 14 2" xfId="30603"/>
    <cellStyle name="Output 14 2 10" xfId="30604"/>
    <cellStyle name="Output 14 2 11" xfId="30605"/>
    <cellStyle name="Output 14 2 12" xfId="30606"/>
    <cellStyle name="Output 14 2 13" xfId="30607"/>
    <cellStyle name="Output 14 2 14" xfId="30608"/>
    <cellStyle name="Output 14 2 15" xfId="30609"/>
    <cellStyle name="Output 14 2 16" xfId="30610"/>
    <cellStyle name="Output 14 2 2" xfId="30611"/>
    <cellStyle name="Output 14 2 2 2" xfId="30612"/>
    <cellStyle name="Output 14 2 2 3" xfId="30613"/>
    <cellStyle name="Output 14 2 2 4" xfId="30614"/>
    <cellStyle name="Output 14 2 3" xfId="30615"/>
    <cellStyle name="Output 14 2 4" xfId="30616"/>
    <cellStyle name="Output 14 2 5" xfId="30617"/>
    <cellStyle name="Output 14 2 6" xfId="30618"/>
    <cellStyle name="Output 14 2 7" xfId="30619"/>
    <cellStyle name="Output 14 2 8" xfId="30620"/>
    <cellStyle name="Output 14 2 9" xfId="30621"/>
    <cellStyle name="Output 14 3" xfId="30622"/>
    <cellStyle name="Output 14 3 10" xfId="30623"/>
    <cellStyle name="Output 14 3 11" xfId="30624"/>
    <cellStyle name="Output 14 3 12" xfId="30625"/>
    <cellStyle name="Output 14 3 13" xfId="30626"/>
    <cellStyle name="Output 14 3 14" xfId="30627"/>
    <cellStyle name="Output 14 3 15" xfId="30628"/>
    <cellStyle name="Output 14 3 16" xfId="30629"/>
    <cellStyle name="Output 14 3 2" xfId="30630"/>
    <cellStyle name="Output 14 3 2 2" xfId="30631"/>
    <cellStyle name="Output 14 3 2 3" xfId="30632"/>
    <cellStyle name="Output 14 3 2 4" xfId="30633"/>
    <cellStyle name="Output 14 3 3" xfId="30634"/>
    <cellStyle name="Output 14 3 4" xfId="30635"/>
    <cellStyle name="Output 14 3 5" xfId="30636"/>
    <cellStyle name="Output 14 3 6" xfId="30637"/>
    <cellStyle name="Output 14 3 7" xfId="30638"/>
    <cellStyle name="Output 14 3 8" xfId="30639"/>
    <cellStyle name="Output 14 3 9" xfId="30640"/>
    <cellStyle name="Output 14 4" xfId="30641"/>
    <cellStyle name="Output 14 4 10" xfId="30642"/>
    <cellStyle name="Output 14 4 11" xfId="30643"/>
    <cellStyle name="Output 14 4 12" xfId="30644"/>
    <cellStyle name="Output 14 4 13" xfId="30645"/>
    <cellStyle name="Output 14 4 14" xfId="30646"/>
    <cellStyle name="Output 14 4 15" xfId="30647"/>
    <cellStyle name="Output 14 4 16" xfId="30648"/>
    <cellStyle name="Output 14 4 2" xfId="30649"/>
    <cellStyle name="Output 14 4 2 2" xfId="30650"/>
    <cellStyle name="Output 14 4 2 3" xfId="30651"/>
    <cellStyle name="Output 14 4 2 4" xfId="30652"/>
    <cellStyle name="Output 14 4 3" xfId="30653"/>
    <cellStyle name="Output 14 4 4" xfId="30654"/>
    <cellStyle name="Output 14 4 5" xfId="30655"/>
    <cellStyle name="Output 14 4 6" xfId="30656"/>
    <cellStyle name="Output 14 4 7" xfId="30657"/>
    <cellStyle name="Output 14 4 8" xfId="30658"/>
    <cellStyle name="Output 14 4 9" xfId="30659"/>
    <cellStyle name="Output 15 2" xfId="30660"/>
    <cellStyle name="Output 15 2 10" xfId="30661"/>
    <cellStyle name="Output 15 2 11" xfId="30662"/>
    <cellStyle name="Output 15 2 12" xfId="30663"/>
    <cellStyle name="Output 15 2 13" xfId="30664"/>
    <cellStyle name="Output 15 2 14" xfId="30665"/>
    <cellStyle name="Output 15 2 15" xfId="30666"/>
    <cellStyle name="Output 15 2 16" xfId="30667"/>
    <cellStyle name="Output 15 2 2" xfId="30668"/>
    <cellStyle name="Output 15 2 2 2" xfId="30669"/>
    <cellStyle name="Output 15 2 2 3" xfId="30670"/>
    <cellStyle name="Output 15 2 2 4" xfId="30671"/>
    <cellStyle name="Output 15 2 3" xfId="30672"/>
    <cellStyle name="Output 15 2 4" xfId="30673"/>
    <cellStyle name="Output 15 2 5" xfId="30674"/>
    <cellStyle name="Output 15 2 6" xfId="30675"/>
    <cellStyle name="Output 15 2 7" xfId="30676"/>
    <cellStyle name="Output 15 2 8" xfId="30677"/>
    <cellStyle name="Output 15 2 9" xfId="30678"/>
    <cellStyle name="Output 15 3" xfId="30679"/>
    <cellStyle name="Output 15 3 10" xfId="30680"/>
    <cellStyle name="Output 15 3 11" xfId="30681"/>
    <cellStyle name="Output 15 3 12" xfId="30682"/>
    <cellStyle name="Output 15 3 13" xfId="30683"/>
    <cellStyle name="Output 15 3 14" xfId="30684"/>
    <cellStyle name="Output 15 3 15" xfId="30685"/>
    <cellStyle name="Output 15 3 16" xfId="30686"/>
    <cellStyle name="Output 15 3 2" xfId="30687"/>
    <cellStyle name="Output 15 3 2 2" xfId="30688"/>
    <cellStyle name="Output 15 3 2 3" xfId="30689"/>
    <cellStyle name="Output 15 3 2 4" xfId="30690"/>
    <cellStyle name="Output 15 3 3" xfId="30691"/>
    <cellStyle name="Output 15 3 4" xfId="30692"/>
    <cellStyle name="Output 15 3 5" xfId="30693"/>
    <cellStyle name="Output 15 3 6" xfId="30694"/>
    <cellStyle name="Output 15 3 7" xfId="30695"/>
    <cellStyle name="Output 15 3 8" xfId="30696"/>
    <cellStyle name="Output 15 3 9" xfId="30697"/>
    <cellStyle name="Output 15 4" xfId="30698"/>
    <cellStyle name="Output 15 4 10" xfId="30699"/>
    <cellStyle name="Output 15 4 11" xfId="30700"/>
    <cellStyle name="Output 15 4 12" xfId="30701"/>
    <cellStyle name="Output 15 4 13" xfId="30702"/>
    <cellStyle name="Output 15 4 14" xfId="30703"/>
    <cellStyle name="Output 15 4 15" xfId="30704"/>
    <cellStyle name="Output 15 4 16" xfId="30705"/>
    <cellStyle name="Output 15 4 2" xfId="30706"/>
    <cellStyle name="Output 15 4 2 2" xfId="30707"/>
    <cellStyle name="Output 15 4 2 3" xfId="30708"/>
    <cellStyle name="Output 15 4 2 4" xfId="30709"/>
    <cellStyle name="Output 15 4 3" xfId="30710"/>
    <cellStyle name="Output 15 4 4" xfId="30711"/>
    <cellStyle name="Output 15 4 5" xfId="30712"/>
    <cellStyle name="Output 15 4 6" xfId="30713"/>
    <cellStyle name="Output 15 4 7" xfId="30714"/>
    <cellStyle name="Output 15 4 8" xfId="30715"/>
    <cellStyle name="Output 15 4 9" xfId="30716"/>
    <cellStyle name="Output 16 2" xfId="30717"/>
    <cellStyle name="Output 16 2 10" xfId="30718"/>
    <cellStyle name="Output 16 2 11" xfId="30719"/>
    <cellStyle name="Output 16 2 12" xfId="30720"/>
    <cellStyle name="Output 16 2 13" xfId="30721"/>
    <cellStyle name="Output 16 2 14" xfId="30722"/>
    <cellStyle name="Output 16 2 15" xfId="30723"/>
    <cellStyle name="Output 16 2 16" xfId="30724"/>
    <cellStyle name="Output 16 2 2" xfId="30725"/>
    <cellStyle name="Output 16 2 2 2" xfId="30726"/>
    <cellStyle name="Output 16 2 2 3" xfId="30727"/>
    <cellStyle name="Output 16 2 2 4" xfId="30728"/>
    <cellStyle name="Output 16 2 3" xfId="30729"/>
    <cellStyle name="Output 16 2 4" xfId="30730"/>
    <cellStyle name="Output 16 2 5" xfId="30731"/>
    <cellStyle name="Output 16 2 6" xfId="30732"/>
    <cellStyle name="Output 16 2 7" xfId="30733"/>
    <cellStyle name="Output 16 2 8" xfId="30734"/>
    <cellStyle name="Output 16 2 9" xfId="30735"/>
    <cellStyle name="Output 16 3" xfId="30736"/>
    <cellStyle name="Output 16 3 10" xfId="30737"/>
    <cellStyle name="Output 16 3 11" xfId="30738"/>
    <cellStyle name="Output 16 3 12" xfId="30739"/>
    <cellStyle name="Output 16 3 13" xfId="30740"/>
    <cellStyle name="Output 16 3 14" xfId="30741"/>
    <cellStyle name="Output 16 3 15" xfId="30742"/>
    <cellStyle name="Output 16 3 16" xfId="30743"/>
    <cellStyle name="Output 16 3 2" xfId="30744"/>
    <cellStyle name="Output 16 3 2 2" xfId="30745"/>
    <cellStyle name="Output 16 3 2 3" xfId="30746"/>
    <cellStyle name="Output 16 3 2 4" xfId="30747"/>
    <cellStyle name="Output 16 3 3" xfId="30748"/>
    <cellStyle name="Output 16 3 4" xfId="30749"/>
    <cellStyle name="Output 16 3 5" xfId="30750"/>
    <cellStyle name="Output 16 3 6" xfId="30751"/>
    <cellStyle name="Output 16 3 7" xfId="30752"/>
    <cellStyle name="Output 16 3 8" xfId="30753"/>
    <cellStyle name="Output 16 3 9" xfId="30754"/>
    <cellStyle name="Output 16 4" xfId="30755"/>
    <cellStyle name="Output 16 4 10" xfId="30756"/>
    <cellStyle name="Output 16 4 11" xfId="30757"/>
    <cellStyle name="Output 16 4 12" xfId="30758"/>
    <cellStyle name="Output 16 4 13" xfId="30759"/>
    <cellStyle name="Output 16 4 14" xfId="30760"/>
    <cellStyle name="Output 16 4 15" xfId="30761"/>
    <cellStyle name="Output 16 4 16" xfId="30762"/>
    <cellStyle name="Output 16 4 2" xfId="30763"/>
    <cellStyle name="Output 16 4 2 2" xfId="30764"/>
    <cellStyle name="Output 16 4 2 3" xfId="30765"/>
    <cellStyle name="Output 16 4 2 4" xfId="30766"/>
    <cellStyle name="Output 16 4 3" xfId="30767"/>
    <cellStyle name="Output 16 4 4" xfId="30768"/>
    <cellStyle name="Output 16 4 5" xfId="30769"/>
    <cellStyle name="Output 16 4 6" xfId="30770"/>
    <cellStyle name="Output 16 4 7" xfId="30771"/>
    <cellStyle name="Output 16 4 8" xfId="30772"/>
    <cellStyle name="Output 16 4 9" xfId="30773"/>
    <cellStyle name="Output 17 2" xfId="30774"/>
    <cellStyle name="Output 17 2 10" xfId="30775"/>
    <cellStyle name="Output 17 2 11" xfId="30776"/>
    <cellStyle name="Output 17 2 12" xfId="30777"/>
    <cellStyle name="Output 17 2 13" xfId="30778"/>
    <cellStyle name="Output 17 2 14" xfId="30779"/>
    <cellStyle name="Output 17 2 15" xfId="30780"/>
    <cellStyle name="Output 17 2 16" xfId="30781"/>
    <cellStyle name="Output 17 2 2" xfId="30782"/>
    <cellStyle name="Output 17 2 2 2" xfId="30783"/>
    <cellStyle name="Output 17 2 2 3" xfId="30784"/>
    <cellStyle name="Output 17 2 2 4" xfId="30785"/>
    <cellStyle name="Output 17 2 3" xfId="30786"/>
    <cellStyle name="Output 17 2 4" xfId="30787"/>
    <cellStyle name="Output 17 2 5" xfId="30788"/>
    <cellStyle name="Output 17 2 6" xfId="30789"/>
    <cellStyle name="Output 17 2 7" xfId="30790"/>
    <cellStyle name="Output 17 2 8" xfId="30791"/>
    <cellStyle name="Output 17 2 9" xfId="30792"/>
    <cellStyle name="Output 17 3" xfId="30793"/>
    <cellStyle name="Output 17 3 10" xfId="30794"/>
    <cellStyle name="Output 17 3 11" xfId="30795"/>
    <cellStyle name="Output 17 3 12" xfId="30796"/>
    <cellStyle name="Output 17 3 13" xfId="30797"/>
    <cellStyle name="Output 17 3 14" xfId="30798"/>
    <cellStyle name="Output 17 3 15" xfId="30799"/>
    <cellStyle name="Output 17 3 16" xfId="30800"/>
    <cellStyle name="Output 17 3 2" xfId="30801"/>
    <cellStyle name="Output 17 3 2 2" xfId="30802"/>
    <cellStyle name="Output 17 3 2 3" xfId="30803"/>
    <cellStyle name="Output 17 3 2 4" xfId="30804"/>
    <cellStyle name="Output 17 3 3" xfId="30805"/>
    <cellStyle name="Output 17 3 4" xfId="30806"/>
    <cellStyle name="Output 17 3 5" xfId="30807"/>
    <cellStyle name="Output 17 3 6" xfId="30808"/>
    <cellStyle name="Output 17 3 7" xfId="30809"/>
    <cellStyle name="Output 17 3 8" xfId="30810"/>
    <cellStyle name="Output 17 3 9" xfId="30811"/>
    <cellStyle name="Output 17 4" xfId="30812"/>
    <cellStyle name="Output 17 4 10" xfId="30813"/>
    <cellStyle name="Output 17 4 11" xfId="30814"/>
    <cellStyle name="Output 17 4 12" xfId="30815"/>
    <cellStyle name="Output 17 4 13" xfId="30816"/>
    <cellStyle name="Output 17 4 14" xfId="30817"/>
    <cellStyle name="Output 17 4 15" xfId="30818"/>
    <cellStyle name="Output 17 4 16" xfId="30819"/>
    <cellStyle name="Output 17 4 2" xfId="30820"/>
    <cellStyle name="Output 17 4 2 2" xfId="30821"/>
    <cellStyle name="Output 17 4 2 3" xfId="30822"/>
    <cellStyle name="Output 17 4 2 4" xfId="30823"/>
    <cellStyle name="Output 17 4 3" xfId="30824"/>
    <cellStyle name="Output 17 4 4" xfId="30825"/>
    <cellStyle name="Output 17 4 5" xfId="30826"/>
    <cellStyle name="Output 17 4 6" xfId="30827"/>
    <cellStyle name="Output 17 4 7" xfId="30828"/>
    <cellStyle name="Output 17 4 8" xfId="30829"/>
    <cellStyle name="Output 17 4 9" xfId="30830"/>
    <cellStyle name="Output 2" xfId="30831"/>
    <cellStyle name="Output 2 10" xfId="30832"/>
    <cellStyle name="Output 2 11" xfId="30833"/>
    <cellStyle name="Output 2 12" xfId="30834"/>
    <cellStyle name="Output 2 13" xfId="30835"/>
    <cellStyle name="Output 2 14" xfId="30836"/>
    <cellStyle name="Output 2 15" xfId="30837"/>
    <cellStyle name="Output 2 16" xfId="30838"/>
    <cellStyle name="Output 2 17" xfId="30839"/>
    <cellStyle name="Output 2 18" xfId="30840"/>
    <cellStyle name="Output 2 19" xfId="30841"/>
    <cellStyle name="Output 2 2" xfId="30842"/>
    <cellStyle name="Output 2 2 10" xfId="30843"/>
    <cellStyle name="Output 2 2 11" xfId="30844"/>
    <cellStyle name="Output 2 2 12" xfId="30845"/>
    <cellStyle name="Output 2 2 13" xfId="30846"/>
    <cellStyle name="Output 2 2 14" xfId="30847"/>
    <cellStyle name="Output 2 2 15" xfId="30848"/>
    <cellStyle name="Output 2 2 16" xfId="30849"/>
    <cellStyle name="Output 2 2 2" xfId="30850"/>
    <cellStyle name="Output 2 2 2 2" xfId="30851"/>
    <cellStyle name="Output 2 2 2 3" xfId="30852"/>
    <cellStyle name="Output 2 2 2 4" xfId="30853"/>
    <cellStyle name="Output 2 2 3" xfId="30854"/>
    <cellStyle name="Output 2 2 4" xfId="30855"/>
    <cellStyle name="Output 2 2 5" xfId="30856"/>
    <cellStyle name="Output 2 2 6" xfId="30857"/>
    <cellStyle name="Output 2 2 7" xfId="30858"/>
    <cellStyle name="Output 2 2 8" xfId="30859"/>
    <cellStyle name="Output 2 2 9" xfId="30860"/>
    <cellStyle name="Output 2 3" xfId="30861"/>
    <cellStyle name="Output 2 3 10" xfId="30862"/>
    <cellStyle name="Output 2 3 11" xfId="30863"/>
    <cellStyle name="Output 2 3 12" xfId="30864"/>
    <cellStyle name="Output 2 3 13" xfId="30865"/>
    <cellStyle name="Output 2 3 14" xfId="30866"/>
    <cellStyle name="Output 2 3 15" xfId="30867"/>
    <cellStyle name="Output 2 3 16" xfId="30868"/>
    <cellStyle name="Output 2 3 2" xfId="30869"/>
    <cellStyle name="Output 2 3 2 2" xfId="30870"/>
    <cellStyle name="Output 2 3 2 3" xfId="30871"/>
    <cellStyle name="Output 2 3 2 4" xfId="30872"/>
    <cellStyle name="Output 2 3 3" xfId="30873"/>
    <cellStyle name="Output 2 3 4" xfId="30874"/>
    <cellStyle name="Output 2 3 5" xfId="30875"/>
    <cellStyle name="Output 2 3 6" xfId="30876"/>
    <cellStyle name="Output 2 3 7" xfId="30877"/>
    <cellStyle name="Output 2 3 8" xfId="30878"/>
    <cellStyle name="Output 2 3 9" xfId="30879"/>
    <cellStyle name="Output 2 4" xfId="30880"/>
    <cellStyle name="Output 2 4 10" xfId="30881"/>
    <cellStyle name="Output 2 4 11" xfId="30882"/>
    <cellStyle name="Output 2 4 12" xfId="30883"/>
    <cellStyle name="Output 2 4 13" xfId="30884"/>
    <cellStyle name="Output 2 4 14" xfId="30885"/>
    <cellStyle name="Output 2 4 15" xfId="30886"/>
    <cellStyle name="Output 2 4 16" xfId="30887"/>
    <cellStyle name="Output 2 4 2" xfId="30888"/>
    <cellStyle name="Output 2 4 2 2" xfId="30889"/>
    <cellStyle name="Output 2 4 2 3" xfId="30890"/>
    <cellStyle name="Output 2 4 2 4" xfId="30891"/>
    <cellStyle name="Output 2 4 3" xfId="30892"/>
    <cellStyle name="Output 2 4 4" xfId="30893"/>
    <cellStyle name="Output 2 4 5" xfId="30894"/>
    <cellStyle name="Output 2 4 6" xfId="30895"/>
    <cellStyle name="Output 2 4 7" xfId="30896"/>
    <cellStyle name="Output 2 4 8" xfId="30897"/>
    <cellStyle name="Output 2 4 9" xfId="30898"/>
    <cellStyle name="Output 2 5" xfId="30899"/>
    <cellStyle name="Output 2 5 2" xfId="30900"/>
    <cellStyle name="Output 2 5 3" xfId="30901"/>
    <cellStyle name="Output 2 5 4" xfId="30902"/>
    <cellStyle name="Output 2 6" xfId="30903"/>
    <cellStyle name="Output 2 7" xfId="30904"/>
    <cellStyle name="Output 2 8" xfId="30905"/>
    <cellStyle name="Output 2 9" xfId="30906"/>
    <cellStyle name="Output 3" xfId="30907"/>
    <cellStyle name="Output 3 10" xfId="30908"/>
    <cellStyle name="Output 3 11" xfId="30909"/>
    <cellStyle name="Output 3 12" xfId="30910"/>
    <cellStyle name="Output 3 13" xfId="30911"/>
    <cellStyle name="Output 3 14" xfId="30912"/>
    <cellStyle name="Output 3 15" xfId="30913"/>
    <cellStyle name="Output 3 16" xfId="30914"/>
    <cellStyle name="Output 3 17" xfId="30915"/>
    <cellStyle name="Output 3 18" xfId="30916"/>
    <cellStyle name="Output 3 19" xfId="30917"/>
    <cellStyle name="Output 3 2" xfId="30918"/>
    <cellStyle name="Output 3 2 10" xfId="30919"/>
    <cellStyle name="Output 3 2 11" xfId="30920"/>
    <cellStyle name="Output 3 2 12" xfId="30921"/>
    <cellStyle name="Output 3 2 13" xfId="30922"/>
    <cellStyle name="Output 3 2 14" xfId="30923"/>
    <cellStyle name="Output 3 2 15" xfId="30924"/>
    <cellStyle name="Output 3 2 16" xfId="30925"/>
    <cellStyle name="Output 3 2 2" xfId="30926"/>
    <cellStyle name="Output 3 2 2 2" xfId="30927"/>
    <cellStyle name="Output 3 2 2 3" xfId="30928"/>
    <cellStyle name="Output 3 2 2 4" xfId="30929"/>
    <cellStyle name="Output 3 2 3" xfId="30930"/>
    <cellStyle name="Output 3 2 4" xfId="30931"/>
    <cellStyle name="Output 3 2 5" xfId="30932"/>
    <cellStyle name="Output 3 2 6" xfId="30933"/>
    <cellStyle name="Output 3 2 7" xfId="30934"/>
    <cellStyle name="Output 3 2 8" xfId="30935"/>
    <cellStyle name="Output 3 2 9" xfId="30936"/>
    <cellStyle name="Output 3 3" xfId="30937"/>
    <cellStyle name="Output 3 3 10" xfId="30938"/>
    <cellStyle name="Output 3 3 11" xfId="30939"/>
    <cellStyle name="Output 3 3 12" xfId="30940"/>
    <cellStyle name="Output 3 3 13" xfId="30941"/>
    <cellStyle name="Output 3 3 14" xfId="30942"/>
    <cellStyle name="Output 3 3 15" xfId="30943"/>
    <cellStyle name="Output 3 3 16" xfId="30944"/>
    <cellStyle name="Output 3 3 2" xfId="30945"/>
    <cellStyle name="Output 3 3 2 2" xfId="30946"/>
    <cellStyle name="Output 3 3 2 3" xfId="30947"/>
    <cellStyle name="Output 3 3 2 4" xfId="30948"/>
    <cellStyle name="Output 3 3 3" xfId="30949"/>
    <cellStyle name="Output 3 3 4" xfId="30950"/>
    <cellStyle name="Output 3 3 5" xfId="30951"/>
    <cellStyle name="Output 3 3 6" xfId="30952"/>
    <cellStyle name="Output 3 3 7" xfId="30953"/>
    <cellStyle name="Output 3 3 8" xfId="30954"/>
    <cellStyle name="Output 3 3 9" xfId="30955"/>
    <cellStyle name="Output 3 4" xfId="30956"/>
    <cellStyle name="Output 3 4 10" xfId="30957"/>
    <cellStyle name="Output 3 4 11" xfId="30958"/>
    <cellStyle name="Output 3 4 12" xfId="30959"/>
    <cellStyle name="Output 3 4 13" xfId="30960"/>
    <cellStyle name="Output 3 4 14" xfId="30961"/>
    <cellStyle name="Output 3 4 15" xfId="30962"/>
    <cellStyle name="Output 3 4 16" xfId="30963"/>
    <cellStyle name="Output 3 4 2" xfId="30964"/>
    <cellStyle name="Output 3 4 2 2" xfId="30965"/>
    <cellStyle name="Output 3 4 2 3" xfId="30966"/>
    <cellStyle name="Output 3 4 2 4" xfId="30967"/>
    <cellStyle name="Output 3 4 3" xfId="30968"/>
    <cellStyle name="Output 3 4 4" xfId="30969"/>
    <cellStyle name="Output 3 4 5" xfId="30970"/>
    <cellStyle name="Output 3 4 6" xfId="30971"/>
    <cellStyle name="Output 3 4 7" xfId="30972"/>
    <cellStyle name="Output 3 4 8" xfId="30973"/>
    <cellStyle name="Output 3 4 9" xfId="30974"/>
    <cellStyle name="Output 3 5" xfId="30975"/>
    <cellStyle name="Output 3 5 2" xfId="30976"/>
    <cellStyle name="Output 3 5 3" xfId="30977"/>
    <cellStyle name="Output 3 5 4" xfId="30978"/>
    <cellStyle name="Output 3 6" xfId="30979"/>
    <cellStyle name="Output 3 7" xfId="30980"/>
    <cellStyle name="Output 3 8" xfId="30981"/>
    <cellStyle name="Output 3 9" xfId="30982"/>
    <cellStyle name="Output 4" xfId="30983"/>
    <cellStyle name="Output 4 10" xfId="30984"/>
    <cellStyle name="Output 4 11" xfId="30985"/>
    <cellStyle name="Output 4 12" xfId="30986"/>
    <cellStyle name="Output 4 13" xfId="30987"/>
    <cellStyle name="Output 4 14" xfId="30988"/>
    <cellStyle name="Output 4 15" xfId="30989"/>
    <cellStyle name="Output 4 16" xfId="30990"/>
    <cellStyle name="Output 4 17" xfId="30991"/>
    <cellStyle name="Output 4 18" xfId="30992"/>
    <cellStyle name="Output 4 19" xfId="30993"/>
    <cellStyle name="Output 4 2" xfId="30994"/>
    <cellStyle name="Output 4 2 10" xfId="30995"/>
    <cellStyle name="Output 4 2 11" xfId="30996"/>
    <cellStyle name="Output 4 2 12" xfId="30997"/>
    <cellStyle name="Output 4 2 13" xfId="30998"/>
    <cellStyle name="Output 4 2 14" xfId="30999"/>
    <cellStyle name="Output 4 2 15" xfId="31000"/>
    <cellStyle name="Output 4 2 16" xfId="31001"/>
    <cellStyle name="Output 4 2 2" xfId="31002"/>
    <cellStyle name="Output 4 2 2 2" xfId="31003"/>
    <cellStyle name="Output 4 2 2 3" xfId="31004"/>
    <cellStyle name="Output 4 2 2 4" xfId="31005"/>
    <cellStyle name="Output 4 2 3" xfId="31006"/>
    <cellStyle name="Output 4 2 4" xfId="31007"/>
    <cellStyle name="Output 4 2 5" xfId="31008"/>
    <cellStyle name="Output 4 2 6" xfId="31009"/>
    <cellStyle name="Output 4 2 7" xfId="31010"/>
    <cellStyle name="Output 4 2 8" xfId="31011"/>
    <cellStyle name="Output 4 2 9" xfId="31012"/>
    <cellStyle name="Output 4 3" xfId="31013"/>
    <cellStyle name="Output 4 3 10" xfId="31014"/>
    <cellStyle name="Output 4 3 11" xfId="31015"/>
    <cellStyle name="Output 4 3 12" xfId="31016"/>
    <cellStyle name="Output 4 3 13" xfId="31017"/>
    <cellStyle name="Output 4 3 14" xfId="31018"/>
    <cellStyle name="Output 4 3 15" xfId="31019"/>
    <cellStyle name="Output 4 3 16" xfId="31020"/>
    <cellStyle name="Output 4 3 2" xfId="31021"/>
    <cellStyle name="Output 4 3 2 2" xfId="31022"/>
    <cellStyle name="Output 4 3 2 3" xfId="31023"/>
    <cellStyle name="Output 4 3 2 4" xfId="31024"/>
    <cellStyle name="Output 4 3 3" xfId="31025"/>
    <cellStyle name="Output 4 3 4" xfId="31026"/>
    <cellStyle name="Output 4 3 5" xfId="31027"/>
    <cellStyle name="Output 4 3 6" xfId="31028"/>
    <cellStyle name="Output 4 3 7" xfId="31029"/>
    <cellStyle name="Output 4 3 8" xfId="31030"/>
    <cellStyle name="Output 4 3 9" xfId="31031"/>
    <cellStyle name="Output 4 4" xfId="31032"/>
    <cellStyle name="Output 4 4 10" xfId="31033"/>
    <cellStyle name="Output 4 4 11" xfId="31034"/>
    <cellStyle name="Output 4 4 12" xfId="31035"/>
    <cellStyle name="Output 4 4 13" xfId="31036"/>
    <cellStyle name="Output 4 4 14" xfId="31037"/>
    <cellStyle name="Output 4 4 15" xfId="31038"/>
    <cellStyle name="Output 4 4 16" xfId="31039"/>
    <cellStyle name="Output 4 4 2" xfId="31040"/>
    <cellStyle name="Output 4 4 2 2" xfId="31041"/>
    <cellStyle name="Output 4 4 2 3" xfId="31042"/>
    <cellStyle name="Output 4 4 2 4" xfId="31043"/>
    <cellStyle name="Output 4 4 3" xfId="31044"/>
    <cellStyle name="Output 4 4 4" xfId="31045"/>
    <cellStyle name="Output 4 4 5" xfId="31046"/>
    <cellStyle name="Output 4 4 6" xfId="31047"/>
    <cellStyle name="Output 4 4 7" xfId="31048"/>
    <cellStyle name="Output 4 4 8" xfId="31049"/>
    <cellStyle name="Output 4 4 9" xfId="31050"/>
    <cellStyle name="Output 4 5" xfId="31051"/>
    <cellStyle name="Output 4 5 2" xfId="31052"/>
    <cellStyle name="Output 4 5 3" xfId="31053"/>
    <cellStyle name="Output 4 5 4" xfId="31054"/>
    <cellStyle name="Output 4 6" xfId="31055"/>
    <cellStyle name="Output 4 7" xfId="31056"/>
    <cellStyle name="Output 4 8" xfId="31057"/>
    <cellStyle name="Output 4 9" xfId="31058"/>
    <cellStyle name="Output 5" xfId="31059"/>
    <cellStyle name="Output 5 10" xfId="31060"/>
    <cellStyle name="Output 5 11" xfId="31061"/>
    <cellStyle name="Output 5 12" xfId="31062"/>
    <cellStyle name="Output 5 13" xfId="31063"/>
    <cellStyle name="Output 5 14" xfId="31064"/>
    <cellStyle name="Output 5 15" xfId="31065"/>
    <cellStyle name="Output 5 16" xfId="31066"/>
    <cellStyle name="Output 5 17" xfId="31067"/>
    <cellStyle name="Output 5 18" xfId="31068"/>
    <cellStyle name="Output 5 2" xfId="31069"/>
    <cellStyle name="Output 5 2 10" xfId="31070"/>
    <cellStyle name="Output 5 2 11" xfId="31071"/>
    <cellStyle name="Output 5 2 12" xfId="31072"/>
    <cellStyle name="Output 5 2 13" xfId="31073"/>
    <cellStyle name="Output 5 2 14" xfId="31074"/>
    <cellStyle name="Output 5 2 15" xfId="31075"/>
    <cellStyle name="Output 5 2 16" xfId="31076"/>
    <cellStyle name="Output 5 2 2" xfId="31077"/>
    <cellStyle name="Output 5 2 2 2" xfId="31078"/>
    <cellStyle name="Output 5 2 2 3" xfId="31079"/>
    <cellStyle name="Output 5 2 2 4" xfId="31080"/>
    <cellStyle name="Output 5 2 3" xfId="31081"/>
    <cellStyle name="Output 5 2 4" xfId="31082"/>
    <cellStyle name="Output 5 2 5" xfId="31083"/>
    <cellStyle name="Output 5 2 6" xfId="31084"/>
    <cellStyle name="Output 5 2 7" xfId="31085"/>
    <cellStyle name="Output 5 2 8" xfId="31086"/>
    <cellStyle name="Output 5 2 9" xfId="31087"/>
    <cellStyle name="Output 5 3" xfId="31088"/>
    <cellStyle name="Output 5 3 10" xfId="31089"/>
    <cellStyle name="Output 5 3 11" xfId="31090"/>
    <cellStyle name="Output 5 3 12" xfId="31091"/>
    <cellStyle name="Output 5 3 13" xfId="31092"/>
    <cellStyle name="Output 5 3 14" xfId="31093"/>
    <cellStyle name="Output 5 3 15" xfId="31094"/>
    <cellStyle name="Output 5 3 16" xfId="31095"/>
    <cellStyle name="Output 5 3 2" xfId="31096"/>
    <cellStyle name="Output 5 3 2 2" xfId="31097"/>
    <cellStyle name="Output 5 3 2 3" xfId="31098"/>
    <cellStyle name="Output 5 3 2 4" xfId="31099"/>
    <cellStyle name="Output 5 3 3" xfId="31100"/>
    <cellStyle name="Output 5 3 4" xfId="31101"/>
    <cellStyle name="Output 5 3 5" xfId="31102"/>
    <cellStyle name="Output 5 3 6" xfId="31103"/>
    <cellStyle name="Output 5 3 7" xfId="31104"/>
    <cellStyle name="Output 5 3 8" xfId="31105"/>
    <cellStyle name="Output 5 3 9" xfId="31106"/>
    <cellStyle name="Output 5 4" xfId="31107"/>
    <cellStyle name="Output 5 4 10" xfId="31108"/>
    <cellStyle name="Output 5 4 11" xfId="31109"/>
    <cellStyle name="Output 5 4 12" xfId="31110"/>
    <cellStyle name="Output 5 4 13" xfId="31111"/>
    <cellStyle name="Output 5 4 14" xfId="31112"/>
    <cellStyle name="Output 5 4 15" xfId="31113"/>
    <cellStyle name="Output 5 4 16" xfId="31114"/>
    <cellStyle name="Output 5 4 2" xfId="31115"/>
    <cellStyle name="Output 5 4 2 2" xfId="31116"/>
    <cellStyle name="Output 5 4 2 3" xfId="31117"/>
    <cellStyle name="Output 5 4 2 4" xfId="31118"/>
    <cellStyle name="Output 5 4 3" xfId="31119"/>
    <cellStyle name="Output 5 4 4" xfId="31120"/>
    <cellStyle name="Output 5 4 5" xfId="31121"/>
    <cellStyle name="Output 5 4 6" xfId="31122"/>
    <cellStyle name="Output 5 4 7" xfId="31123"/>
    <cellStyle name="Output 5 4 8" xfId="31124"/>
    <cellStyle name="Output 5 4 9" xfId="31125"/>
    <cellStyle name="Output 5 5" xfId="31126"/>
    <cellStyle name="Output 5 5 2" xfId="31127"/>
    <cellStyle name="Output 5 5 3" xfId="31128"/>
    <cellStyle name="Output 5 5 4" xfId="31129"/>
    <cellStyle name="Output 5 6" xfId="31130"/>
    <cellStyle name="Output 5 7" xfId="31131"/>
    <cellStyle name="Output 5 8" xfId="31132"/>
    <cellStyle name="Output 5 9" xfId="31133"/>
    <cellStyle name="Output 6" xfId="31134"/>
    <cellStyle name="Output 6 10" xfId="31135"/>
    <cellStyle name="Output 6 11" xfId="31136"/>
    <cellStyle name="Output 6 12" xfId="31137"/>
    <cellStyle name="Output 6 13" xfId="31138"/>
    <cellStyle name="Output 6 14" xfId="31139"/>
    <cellStyle name="Output 6 15" xfId="31140"/>
    <cellStyle name="Output 6 16" xfId="31141"/>
    <cellStyle name="Output 6 17" xfId="31142"/>
    <cellStyle name="Output 6 18" xfId="31143"/>
    <cellStyle name="Output 6 2" xfId="31144"/>
    <cellStyle name="Output 6 2 10" xfId="31145"/>
    <cellStyle name="Output 6 2 11" xfId="31146"/>
    <cellStyle name="Output 6 2 12" xfId="31147"/>
    <cellStyle name="Output 6 2 13" xfId="31148"/>
    <cellStyle name="Output 6 2 14" xfId="31149"/>
    <cellStyle name="Output 6 2 15" xfId="31150"/>
    <cellStyle name="Output 6 2 16" xfId="31151"/>
    <cellStyle name="Output 6 2 2" xfId="31152"/>
    <cellStyle name="Output 6 2 2 2" xfId="31153"/>
    <cellStyle name="Output 6 2 2 3" xfId="31154"/>
    <cellStyle name="Output 6 2 2 4" xfId="31155"/>
    <cellStyle name="Output 6 2 3" xfId="31156"/>
    <cellStyle name="Output 6 2 4" xfId="31157"/>
    <cellStyle name="Output 6 2 5" xfId="31158"/>
    <cellStyle name="Output 6 2 6" xfId="31159"/>
    <cellStyle name="Output 6 2 7" xfId="31160"/>
    <cellStyle name="Output 6 2 8" xfId="31161"/>
    <cellStyle name="Output 6 2 9" xfId="31162"/>
    <cellStyle name="Output 6 3" xfId="31163"/>
    <cellStyle name="Output 6 3 10" xfId="31164"/>
    <cellStyle name="Output 6 3 11" xfId="31165"/>
    <cellStyle name="Output 6 3 12" xfId="31166"/>
    <cellStyle name="Output 6 3 13" xfId="31167"/>
    <cellStyle name="Output 6 3 14" xfId="31168"/>
    <cellStyle name="Output 6 3 15" xfId="31169"/>
    <cellStyle name="Output 6 3 16" xfId="31170"/>
    <cellStyle name="Output 6 3 2" xfId="31171"/>
    <cellStyle name="Output 6 3 2 2" xfId="31172"/>
    <cellStyle name="Output 6 3 2 3" xfId="31173"/>
    <cellStyle name="Output 6 3 2 4" xfId="31174"/>
    <cellStyle name="Output 6 3 3" xfId="31175"/>
    <cellStyle name="Output 6 3 4" xfId="31176"/>
    <cellStyle name="Output 6 3 5" xfId="31177"/>
    <cellStyle name="Output 6 3 6" xfId="31178"/>
    <cellStyle name="Output 6 3 7" xfId="31179"/>
    <cellStyle name="Output 6 3 8" xfId="31180"/>
    <cellStyle name="Output 6 3 9" xfId="31181"/>
    <cellStyle name="Output 6 4" xfId="31182"/>
    <cellStyle name="Output 6 4 10" xfId="31183"/>
    <cellStyle name="Output 6 4 11" xfId="31184"/>
    <cellStyle name="Output 6 4 12" xfId="31185"/>
    <cellStyle name="Output 6 4 13" xfId="31186"/>
    <cellStyle name="Output 6 4 14" xfId="31187"/>
    <cellStyle name="Output 6 4 15" xfId="31188"/>
    <cellStyle name="Output 6 4 16" xfId="31189"/>
    <cellStyle name="Output 6 4 2" xfId="31190"/>
    <cellStyle name="Output 6 4 2 2" xfId="31191"/>
    <cellStyle name="Output 6 4 2 3" xfId="31192"/>
    <cellStyle name="Output 6 4 2 4" xfId="31193"/>
    <cellStyle name="Output 6 4 3" xfId="31194"/>
    <cellStyle name="Output 6 4 4" xfId="31195"/>
    <cellStyle name="Output 6 4 5" xfId="31196"/>
    <cellStyle name="Output 6 4 6" xfId="31197"/>
    <cellStyle name="Output 6 4 7" xfId="31198"/>
    <cellStyle name="Output 6 4 8" xfId="31199"/>
    <cellStyle name="Output 6 4 9" xfId="31200"/>
    <cellStyle name="Output 6 5" xfId="31201"/>
    <cellStyle name="Output 6 5 2" xfId="31202"/>
    <cellStyle name="Output 6 5 3" xfId="31203"/>
    <cellStyle name="Output 6 5 4" xfId="31204"/>
    <cellStyle name="Output 6 6" xfId="31205"/>
    <cellStyle name="Output 6 7" xfId="31206"/>
    <cellStyle name="Output 6 8" xfId="31207"/>
    <cellStyle name="Output 6 9" xfId="31208"/>
    <cellStyle name="Output 7 2" xfId="31209"/>
    <cellStyle name="Output 7 2 10" xfId="31210"/>
    <cellStyle name="Output 7 2 11" xfId="31211"/>
    <cellStyle name="Output 7 2 12" xfId="31212"/>
    <cellStyle name="Output 7 2 13" xfId="31213"/>
    <cellStyle name="Output 7 2 14" xfId="31214"/>
    <cellStyle name="Output 7 2 15" xfId="31215"/>
    <cellStyle name="Output 7 2 16" xfId="31216"/>
    <cellStyle name="Output 7 2 2" xfId="31217"/>
    <cellStyle name="Output 7 2 2 2" xfId="31218"/>
    <cellStyle name="Output 7 2 2 3" xfId="31219"/>
    <cellStyle name="Output 7 2 2 4" xfId="31220"/>
    <cellStyle name="Output 7 2 3" xfId="31221"/>
    <cellStyle name="Output 7 2 4" xfId="31222"/>
    <cellStyle name="Output 7 2 5" xfId="31223"/>
    <cellStyle name="Output 7 2 6" xfId="31224"/>
    <cellStyle name="Output 7 2 7" xfId="31225"/>
    <cellStyle name="Output 7 2 8" xfId="31226"/>
    <cellStyle name="Output 7 2 9" xfId="31227"/>
    <cellStyle name="Output 7 3" xfId="31228"/>
    <cellStyle name="Output 7 3 10" xfId="31229"/>
    <cellStyle name="Output 7 3 11" xfId="31230"/>
    <cellStyle name="Output 7 3 12" xfId="31231"/>
    <cellStyle name="Output 7 3 13" xfId="31232"/>
    <cellStyle name="Output 7 3 14" xfId="31233"/>
    <cellStyle name="Output 7 3 15" xfId="31234"/>
    <cellStyle name="Output 7 3 16" xfId="31235"/>
    <cellStyle name="Output 7 3 2" xfId="31236"/>
    <cellStyle name="Output 7 3 2 2" xfId="31237"/>
    <cellStyle name="Output 7 3 2 3" xfId="31238"/>
    <cellStyle name="Output 7 3 2 4" xfId="31239"/>
    <cellStyle name="Output 7 3 3" xfId="31240"/>
    <cellStyle name="Output 7 3 4" xfId="31241"/>
    <cellStyle name="Output 7 3 5" xfId="31242"/>
    <cellStyle name="Output 7 3 6" xfId="31243"/>
    <cellStyle name="Output 7 3 7" xfId="31244"/>
    <cellStyle name="Output 7 3 8" xfId="31245"/>
    <cellStyle name="Output 7 3 9" xfId="31246"/>
    <cellStyle name="Output 7 4" xfId="31247"/>
    <cellStyle name="Output 7 4 10" xfId="31248"/>
    <cellStyle name="Output 7 4 11" xfId="31249"/>
    <cellStyle name="Output 7 4 12" xfId="31250"/>
    <cellStyle name="Output 7 4 13" xfId="31251"/>
    <cellStyle name="Output 7 4 14" xfId="31252"/>
    <cellStyle name="Output 7 4 15" xfId="31253"/>
    <cellStyle name="Output 7 4 16" xfId="31254"/>
    <cellStyle name="Output 7 4 2" xfId="31255"/>
    <cellStyle name="Output 7 4 2 2" xfId="31256"/>
    <cellStyle name="Output 7 4 2 3" xfId="31257"/>
    <cellStyle name="Output 7 4 2 4" xfId="31258"/>
    <cellStyle name="Output 7 4 3" xfId="31259"/>
    <cellStyle name="Output 7 4 4" xfId="31260"/>
    <cellStyle name="Output 7 4 5" xfId="31261"/>
    <cellStyle name="Output 7 4 6" xfId="31262"/>
    <cellStyle name="Output 7 4 7" xfId="31263"/>
    <cellStyle name="Output 7 4 8" xfId="31264"/>
    <cellStyle name="Output 7 4 9" xfId="31265"/>
    <cellStyle name="Output 8 2" xfId="31266"/>
    <cellStyle name="Output 8 2 10" xfId="31267"/>
    <cellStyle name="Output 8 2 11" xfId="31268"/>
    <cellStyle name="Output 8 2 12" xfId="31269"/>
    <cellStyle name="Output 8 2 13" xfId="31270"/>
    <cellStyle name="Output 8 2 14" xfId="31271"/>
    <cellStyle name="Output 8 2 15" xfId="31272"/>
    <cellStyle name="Output 8 2 16" xfId="31273"/>
    <cellStyle name="Output 8 2 2" xfId="31274"/>
    <cellStyle name="Output 8 2 2 2" xfId="31275"/>
    <cellStyle name="Output 8 2 2 3" xfId="31276"/>
    <cellStyle name="Output 8 2 2 4" xfId="31277"/>
    <cellStyle name="Output 8 2 3" xfId="31278"/>
    <cellStyle name="Output 8 2 4" xfId="31279"/>
    <cellStyle name="Output 8 2 5" xfId="31280"/>
    <cellStyle name="Output 8 2 6" xfId="31281"/>
    <cellStyle name="Output 8 2 7" xfId="31282"/>
    <cellStyle name="Output 8 2 8" xfId="31283"/>
    <cellStyle name="Output 8 2 9" xfId="31284"/>
    <cellStyle name="Output 8 3" xfId="31285"/>
    <cellStyle name="Output 8 3 10" xfId="31286"/>
    <cellStyle name="Output 8 3 11" xfId="31287"/>
    <cellStyle name="Output 8 3 12" xfId="31288"/>
    <cellStyle name="Output 8 3 13" xfId="31289"/>
    <cellStyle name="Output 8 3 14" xfId="31290"/>
    <cellStyle name="Output 8 3 15" xfId="31291"/>
    <cellStyle name="Output 8 3 16" xfId="31292"/>
    <cellStyle name="Output 8 3 2" xfId="31293"/>
    <cellStyle name="Output 8 3 2 2" xfId="31294"/>
    <cellStyle name="Output 8 3 2 3" xfId="31295"/>
    <cellStyle name="Output 8 3 2 4" xfId="31296"/>
    <cellStyle name="Output 8 3 3" xfId="31297"/>
    <cellStyle name="Output 8 3 4" xfId="31298"/>
    <cellStyle name="Output 8 3 5" xfId="31299"/>
    <cellStyle name="Output 8 3 6" xfId="31300"/>
    <cellStyle name="Output 8 3 7" xfId="31301"/>
    <cellStyle name="Output 8 3 8" xfId="31302"/>
    <cellStyle name="Output 8 3 9" xfId="31303"/>
    <cellStyle name="Output 8 4" xfId="31304"/>
    <cellStyle name="Output 8 4 10" xfId="31305"/>
    <cellStyle name="Output 8 4 11" xfId="31306"/>
    <cellStyle name="Output 8 4 12" xfId="31307"/>
    <cellStyle name="Output 8 4 13" xfId="31308"/>
    <cellStyle name="Output 8 4 14" xfId="31309"/>
    <cellStyle name="Output 8 4 15" xfId="31310"/>
    <cellStyle name="Output 8 4 16" xfId="31311"/>
    <cellStyle name="Output 8 4 2" xfId="31312"/>
    <cellStyle name="Output 8 4 2 2" xfId="31313"/>
    <cellStyle name="Output 8 4 2 3" xfId="31314"/>
    <cellStyle name="Output 8 4 2 4" xfId="31315"/>
    <cellStyle name="Output 8 4 3" xfId="31316"/>
    <cellStyle name="Output 8 4 4" xfId="31317"/>
    <cellStyle name="Output 8 4 5" xfId="31318"/>
    <cellStyle name="Output 8 4 6" xfId="31319"/>
    <cellStyle name="Output 8 4 7" xfId="31320"/>
    <cellStyle name="Output 8 4 8" xfId="31321"/>
    <cellStyle name="Output 8 4 9" xfId="31322"/>
    <cellStyle name="Output 9 2" xfId="31323"/>
    <cellStyle name="Output 9 2 10" xfId="31324"/>
    <cellStyle name="Output 9 2 11" xfId="31325"/>
    <cellStyle name="Output 9 2 12" xfId="31326"/>
    <cellStyle name="Output 9 2 13" xfId="31327"/>
    <cellStyle name="Output 9 2 14" xfId="31328"/>
    <cellStyle name="Output 9 2 15" xfId="31329"/>
    <cellStyle name="Output 9 2 16" xfId="31330"/>
    <cellStyle name="Output 9 2 2" xfId="31331"/>
    <cellStyle name="Output 9 2 2 2" xfId="31332"/>
    <cellStyle name="Output 9 2 2 3" xfId="31333"/>
    <cellStyle name="Output 9 2 2 4" xfId="31334"/>
    <cellStyle name="Output 9 2 3" xfId="31335"/>
    <cellStyle name="Output 9 2 4" xfId="31336"/>
    <cellStyle name="Output 9 2 5" xfId="31337"/>
    <cellStyle name="Output 9 2 6" xfId="31338"/>
    <cellStyle name="Output 9 2 7" xfId="31339"/>
    <cellStyle name="Output 9 2 8" xfId="31340"/>
    <cellStyle name="Output 9 2 9" xfId="31341"/>
    <cellStyle name="Output 9 3" xfId="31342"/>
    <cellStyle name="Output 9 3 10" xfId="31343"/>
    <cellStyle name="Output 9 3 11" xfId="31344"/>
    <cellStyle name="Output 9 3 12" xfId="31345"/>
    <cellStyle name="Output 9 3 13" xfId="31346"/>
    <cellStyle name="Output 9 3 14" xfId="31347"/>
    <cellStyle name="Output 9 3 15" xfId="31348"/>
    <cellStyle name="Output 9 3 16" xfId="31349"/>
    <cellStyle name="Output 9 3 2" xfId="31350"/>
    <cellStyle name="Output 9 3 2 2" xfId="31351"/>
    <cellStyle name="Output 9 3 2 3" xfId="31352"/>
    <cellStyle name="Output 9 3 2 4" xfId="31353"/>
    <cellStyle name="Output 9 3 3" xfId="31354"/>
    <cellStyle name="Output 9 3 4" xfId="31355"/>
    <cellStyle name="Output 9 3 5" xfId="31356"/>
    <cellStyle name="Output 9 3 6" xfId="31357"/>
    <cellStyle name="Output 9 3 7" xfId="31358"/>
    <cellStyle name="Output 9 3 8" xfId="31359"/>
    <cellStyle name="Output 9 3 9" xfId="31360"/>
    <cellStyle name="Output 9 4" xfId="31361"/>
    <cellStyle name="Output 9 4 10" xfId="31362"/>
    <cellStyle name="Output 9 4 11" xfId="31363"/>
    <cellStyle name="Output 9 4 12" xfId="31364"/>
    <cellStyle name="Output 9 4 13" xfId="31365"/>
    <cellStyle name="Output 9 4 14" xfId="31366"/>
    <cellStyle name="Output 9 4 15" xfId="31367"/>
    <cellStyle name="Output 9 4 16" xfId="31368"/>
    <cellStyle name="Output 9 4 2" xfId="31369"/>
    <cellStyle name="Output 9 4 2 2" xfId="31370"/>
    <cellStyle name="Output 9 4 2 3" xfId="31371"/>
    <cellStyle name="Output 9 4 2 4" xfId="31372"/>
    <cellStyle name="Output 9 4 3" xfId="31373"/>
    <cellStyle name="Output 9 4 4" xfId="31374"/>
    <cellStyle name="Output 9 4 5" xfId="31375"/>
    <cellStyle name="Output 9 4 6" xfId="31376"/>
    <cellStyle name="Output 9 4 7" xfId="31377"/>
    <cellStyle name="Output 9 4 8" xfId="31378"/>
    <cellStyle name="Output 9 4 9" xfId="31379"/>
    <cellStyle name="per.style" xfId="31380"/>
    <cellStyle name="Percen - Style2" xfId="31381"/>
    <cellStyle name="Percent [0]" xfId="31382"/>
    <cellStyle name="Percent [0] 2" xfId="31383"/>
    <cellStyle name="Percent [0] 3" xfId="31384"/>
    <cellStyle name="Percent [0] 4" xfId="31385"/>
    <cellStyle name="Percent [0] 5" xfId="31386"/>
    <cellStyle name="Percent [0] 6" xfId="31387"/>
    <cellStyle name="Percent [0] 7" xfId="31388"/>
    <cellStyle name="Percent [0] 8" xfId="31389"/>
    <cellStyle name="Percent [00]" xfId="31390"/>
    <cellStyle name="Percent [00] 2" xfId="31391"/>
    <cellStyle name="Percent [00] 3" xfId="31392"/>
    <cellStyle name="Percent [00] 4" xfId="31393"/>
    <cellStyle name="Percent [00] 5" xfId="31394"/>
    <cellStyle name="Percent [00] 6" xfId="31395"/>
    <cellStyle name="Percent [00] 7" xfId="31396"/>
    <cellStyle name="Percent [00] 8" xfId="31397"/>
    <cellStyle name="Percent [2]" xfId="31398"/>
    <cellStyle name="Percent [2] 2" xfId="31399"/>
    <cellStyle name="Percent [2] 3" xfId="31400"/>
    <cellStyle name="Percent [2] 4" xfId="31401"/>
    <cellStyle name="Percent [2] 5" xfId="31402"/>
    <cellStyle name="Percent [2] 6" xfId="31403"/>
    <cellStyle name="Percent [2] 7" xfId="31404"/>
    <cellStyle name="Percent [2] 8" xfId="31405"/>
    <cellStyle name="Percent [2] 9" xfId="31406"/>
    <cellStyle name="Percent 10" xfId="31407"/>
    <cellStyle name="Percent 11" xfId="31408"/>
    <cellStyle name="Percent 11 10" xfId="31409"/>
    <cellStyle name="Percent 11 2" xfId="31410"/>
    <cellStyle name="Percent 11 3" xfId="31411"/>
    <cellStyle name="Percent 11 4" xfId="31412"/>
    <cellStyle name="Percent 11 5" xfId="31413"/>
    <cellStyle name="Percent 11 6" xfId="31414"/>
    <cellStyle name="Percent 11 7" xfId="31415"/>
    <cellStyle name="Percent 11 8" xfId="31416"/>
    <cellStyle name="Percent 11 9" xfId="31417"/>
    <cellStyle name="Percent 12" xfId="31418"/>
    <cellStyle name="Percent 12 10" xfId="31419"/>
    <cellStyle name="Percent 12 10 2" xfId="31420"/>
    <cellStyle name="Percent 12 10 2 2" xfId="31421"/>
    <cellStyle name="Percent 12 10 3" xfId="31422"/>
    <cellStyle name="Percent 12 11" xfId="31423"/>
    <cellStyle name="Percent 12 11 2" xfId="31424"/>
    <cellStyle name="Percent 12 12" xfId="31425"/>
    <cellStyle name="Percent 12 2" xfId="31426"/>
    <cellStyle name="Percent 12 2 2" xfId="31427"/>
    <cellStyle name="Percent 12 2 2 2" xfId="31428"/>
    <cellStyle name="Percent 12 2 2 2 2" xfId="31429"/>
    <cellStyle name="Percent 12 2 2 3" xfId="31430"/>
    <cellStyle name="Percent 12 2 3" xfId="31431"/>
    <cellStyle name="Percent 12 2 3 2" xfId="31432"/>
    <cellStyle name="Percent 12 2 3 2 2" xfId="31433"/>
    <cellStyle name="Percent 12 2 3 3" xfId="31434"/>
    <cellStyle name="Percent 12 2 4" xfId="31435"/>
    <cellStyle name="Percent 12 2 4 2" xfId="31436"/>
    <cellStyle name="Percent 12 2 5" xfId="31437"/>
    <cellStyle name="Percent 12 3" xfId="31438"/>
    <cellStyle name="Percent 12 3 2" xfId="31439"/>
    <cellStyle name="Percent 12 3 2 2" xfId="31440"/>
    <cellStyle name="Percent 12 3 2 2 2" xfId="31441"/>
    <cellStyle name="Percent 12 3 2 3" xfId="31442"/>
    <cellStyle name="Percent 12 3 3" xfId="31443"/>
    <cellStyle name="Percent 12 3 3 2" xfId="31444"/>
    <cellStyle name="Percent 12 3 3 2 2" xfId="31445"/>
    <cellStyle name="Percent 12 3 3 3" xfId="31446"/>
    <cellStyle name="Percent 12 3 4" xfId="31447"/>
    <cellStyle name="Percent 12 3 4 2" xfId="31448"/>
    <cellStyle name="Percent 12 3 5" xfId="31449"/>
    <cellStyle name="Percent 12 4" xfId="31450"/>
    <cellStyle name="Percent 12 4 2" xfId="31451"/>
    <cellStyle name="Percent 12 4 2 2" xfId="31452"/>
    <cellStyle name="Percent 12 4 2 2 2" xfId="31453"/>
    <cellStyle name="Percent 12 4 2 3" xfId="31454"/>
    <cellStyle name="Percent 12 4 3" xfId="31455"/>
    <cellStyle name="Percent 12 4 3 2" xfId="31456"/>
    <cellStyle name="Percent 12 4 3 2 2" xfId="31457"/>
    <cellStyle name="Percent 12 4 3 3" xfId="31458"/>
    <cellStyle name="Percent 12 4 4" xfId="31459"/>
    <cellStyle name="Percent 12 4 4 2" xfId="31460"/>
    <cellStyle name="Percent 12 4 5" xfId="31461"/>
    <cellStyle name="Percent 12 5" xfId="31462"/>
    <cellStyle name="Percent 12 5 2" xfId="31463"/>
    <cellStyle name="Percent 12 5 2 2" xfId="31464"/>
    <cellStyle name="Percent 12 5 3" xfId="31465"/>
    <cellStyle name="Percent 12 6" xfId="31466"/>
    <cellStyle name="Percent 12 6 2" xfId="31467"/>
    <cellStyle name="Percent 12 6 2 2" xfId="31468"/>
    <cellStyle name="Percent 12 6 3" xfId="31469"/>
    <cellStyle name="Percent 12 7" xfId="31470"/>
    <cellStyle name="Percent 12 7 2" xfId="31471"/>
    <cellStyle name="Percent 12 7 2 2" xfId="31472"/>
    <cellStyle name="Percent 12 7 3" xfId="31473"/>
    <cellStyle name="Percent 12 7 4" xfId="31474"/>
    <cellStyle name="Percent 12 8" xfId="31475"/>
    <cellStyle name="Percent 12 8 2" xfId="31476"/>
    <cellStyle name="Percent 12 8 2 2" xfId="31477"/>
    <cellStyle name="Percent 12 8 3" xfId="31478"/>
    <cellStyle name="Percent 12 8 4" xfId="31479"/>
    <cellStyle name="Percent 12 9" xfId="31480"/>
    <cellStyle name="Percent 12 9 2" xfId="31481"/>
    <cellStyle name="Percent 12 9 2 2" xfId="31482"/>
    <cellStyle name="Percent 12 9 3" xfId="31483"/>
    <cellStyle name="Percent 12 9 4" xfId="31484"/>
    <cellStyle name="Percent 13" xfId="31485"/>
    <cellStyle name="Percent 13 10" xfId="31486"/>
    <cellStyle name="Percent 13 10 2" xfId="31487"/>
    <cellStyle name="Percent 13 10 2 2" xfId="31488"/>
    <cellStyle name="Percent 13 10 3" xfId="31489"/>
    <cellStyle name="Percent 13 11" xfId="31490"/>
    <cellStyle name="Percent 13 11 2" xfId="31491"/>
    <cellStyle name="Percent 13 12" xfId="31492"/>
    <cellStyle name="Percent 13 2" xfId="31493"/>
    <cellStyle name="Percent 13 2 2" xfId="31494"/>
    <cellStyle name="Percent 13 2 2 2" xfId="31495"/>
    <cellStyle name="Percent 13 2 2 2 2" xfId="31496"/>
    <cellStyle name="Percent 13 2 2 3" xfId="31497"/>
    <cellStyle name="Percent 13 2 3" xfId="31498"/>
    <cellStyle name="Percent 13 2 3 2" xfId="31499"/>
    <cellStyle name="Percent 13 2 3 2 2" xfId="31500"/>
    <cellStyle name="Percent 13 2 3 3" xfId="31501"/>
    <cellStyle name="Percent 13 2 4" xfId="31502"/>
    <cellStyle name="Percent 13 2 4 2" xfId="31503"/>
    <cellStyle name="Percent 13 2 4 3" xfId="31504"/>
    <cellStyle name="Percent 13 2 5" xfId="31505"/>
    <cellStyle name="Percent 13 3" xfId="31506"/>
    <cellStyle name="Percent 13 3 2" xfId="31507"/>
    <cellStyle name="Percent 13 3 2 2" xfId="31508"/>
    <cellStyle name="Percent 13 3 2 2 2" xfId="31509"/>
    <cellStyle name="Percent 13 3 2 2 3" xfId="31510"/>
    <cellStyle name="Percent 13 3 2 3" xfId="31511"/>
    <cellStyle name="Percent 13 3 3" xfId="31512"/>
    <cellStyle name="Percent 13 3 3 2" xfId="31513"/>
    <cellStyle name="Percent 13 3 3 2 2" xfId="31514"/>
    <cellStyle name="Percent 13 3 3 3" xfId="31515"/>
    <cellStyle name="Percent 13 3 4" xfId="31516"/>
    <cellStyle name="Percent 13 3 4 2" xfId="31517"/>
    <cellStyle name="Percent 13 3 5" xfId="31518"/>
    <cellStyle name="Percent 13 4" xfId="31519"/>
    <cellStyle name="Percent 13 4 2" xfId="31520"/>
    <cellStyle name="Percent 13 4 2 2" xfId="31521"/>
    <cellStyle name="Percent 13 4 2 2 2" xfId="31522"/>
    <cellStyle name="Percent 13 4 2 3" xfId="31523"/>
    <cellStyle name="Percent 13 4 3" xfId="31524"/>
    <cellStyle name="Percent 13 4 3 2" xfId="31525"/>
    <cellStyle name="Percent 13 4 3 2 2" xfId="31526"/>
    <cellStyle name="Percent 13 4 3 3" xfId="31527"/>
    <cellStyle name="Percent 13 4 4" xfId="31528"/>
    <cellStyle name="Percent 13 4 4 2" xfId="31529"/>
    <cellStyle name="Percent 13 4 5" xfId="31530"/>
    <cellStyle name="Percent 13 5" xfId="31531"/>
    <cellStyle name="Percent 13 5 2" xfId="31532"/>
    <cellStyle name="Percent 13 5 2 2" xfId="31533"/>
    <cellStyle name="Percent 13 5 3" xfId="31534"/>
    <cellStyle name="Percent 13 6" xfId="31535"/>
    <cellStyle name="Percent 13 6 2" xfId="31536"/>
    <cellStyle name="Percent 13 6 2 2" xfId="31537"/>
    <cellStyle name="Percent 13 6 3" xfId="31538"/>
    <cellStyle name="Percent 13 7" xfId="31539"/>
    <cellStyle name="Percent 13 7 2" xfId="31540"/>
    <cellStyle name="Percent 13 7 2 2" xfId="31541"/>
    <cellStyle name="Percent 13 7 3" xfId="31542"/>
    <cellStyle name="Percent 13 7 4" xfId="31543"/>
    <cellStyle name="Percent 13 8" xfId="31544"/>
    <cellStyle name="Percent 13 8 2" xfId="31545"/>
    <cellStyle name="Percent 13 8 2 2" xfId="31546"/>
    <cellStyle name="Percent 13 8 3" xfId="31547"/>
    <cellStyle name="Percent 13 9" xfId="31548"/>
    <cellStyle name="Percent 13 9 2" xfId="31549"/>
    <cellStyle name="Percent 13 9 2 2" xfId="31550"/>
    <cellStyle name="Percent 13 9 3" xfId="31551"/>
    <cellStyle name="Percent 14" xfId="31552"/>
    <cellStyle name="Percent 14 2" xfId="31553"/>
    <cellStyle name="Percent 14 2 2" xfId="31554"/>
    <cellStyle name="Percent 14 2 2 2" xfId="31555"/>
    <cellStyle name="Percent 14 2 3" xfId="31556"/>
    <cellStyle name="Percent 15" xfId="31557"/>
    <cellStyle name="Percent 16" xfId="31558"/>
    <cellStyle name="Percent 17" xfId="31559"/>
    <cellStyle name="Percent 18" xfId="31560"/>
    <cellStyle name="Percent 19" xfId="31561"/>
    <cellStyle name="Percent 2" xfId="31562"/>
    <cellStyle name="Percent 2 10" xfId="31563"/>
    <cellStyle name="Percent 2 10 2" xfId="31564"/>
    <cellStyle name="Percent 2 10 3" xfId="31565"/>
    <cellStyle name="Percent 2 10 4" xfId="31566"/>
    <cellStyle name="Percent 2 10 5" xfId="31567"/>
    <cellStyle name="Percent 2 10 6" xfId="31568"/>
    <cellStyle name="Percent 2 10 7" xfId="31569"/>
    <cellStyle name="Percent 2 10 8" xfId="31570"/>
    <cellStyle name="Percent 2 11" xfId="31571"/>
    <cellStyle name="Percent 2 11 2" xfId="31572"/>
    <cellStyle name="Percent 2 11 3" xfId="31573"/>
    <cellStyle name="Percent 2 11 4" xfId="31574"/>
    <cellStyle name="Percent 2 11 5" xfId="31575"/>
    <cellStyle name="Percent 2 11 6" xfId="31576"/>
    <cellStyle name="Percent 2 11 7" xfId="31577"/>
    <cellStyle name="Percent 2 11 7 2" xfId="31578"/>
    <cellStyle name="Percent 2 11 8" xfId="31579"/>
    <cellStyle name="Percent 2 11 8 2" xfId="31580"/>
    <cellStyle name="Percent 2 12" xfId="31581"/>
    <cellStyle name="Percent 2 12 2" xfId="31582"/>
    <cellStyle name="Percent 2 12 3" xfId="31583"/>
    <cellStyle name="Percent 2 12 4" xfId="31584"/>
    <cellStyle name="Percent 2 12 5" xfId="31585"/>
    <cellStyle name="Percent 2 12 6" xfId="31586"/>
    <cellStyle name="Percent 2 12 7" xfId="31587"/>
    <cellStyle name="Percent 2 12 8" xfId="31588"/>
    <cellStyle name="Percent 2 13" xfId="31589"/>
    <cellStyle name="Percent 2 13 2" xfId="31590"/>
    <cellStyle name="Percent 2 13 3" xfId="31591"/>
    <cellStyle name="Percent 2 13 4" xfId="31592"/>
    <cellStyle name="Percent 2 13 5" xfId="31593"/>
    <cellStyle name="Percent 2 13 6" xfId="31594"/>
    <cellStyle name="Percent 2 13 7" xfId="31595"/>
    <cellStyle name="Percent 2 13 7 2" xfId="31596"/>
    <cellStyle name="Percent 2 13 8" xfId="31597"/>
    <cellStyle name="Percent 2 13 8 2" xfId="31598"/>
    <cellStyle name="Percent 2 14" xfId="31599"/>
    <cellStyle name="Percent 2 14 2" xfId="31600"/>
    <cellStyle name="Percent 2 14 3" xfId="31601"/>
    <cellStyle name="Percent 2 14 4" xfId="31602"/>
    <cellStyle name="Percent 2 14 5" xfId="31603"/>
    <cellStyle name="Percent 2 14 6" xfId="31604"/>
    <cellStyle name="Percent 2 14 7" xfId="31605"/>
    <cellStyle name="Percent 2 14 8" xfId="31606"/>
    <cellStyle name="Percent 2 15" xfId="31607"/>
    <cellStyle name="Percent 2 15 2" xfId="31608"/>
    <cellStyle name="Percent 2 15 3" xfId="31609"/>
    <cellStyle name="Percent 2 15 4" xfId="31610"/>
    <cellStyle name="Percent 2 15 5" xfId="31611"/>
    <cellStyle name="Percent 2 15 6" xfId="31612"/>
    <cellStyle name="Percent 2 15 7" xfId="31613"/>
    <cellStyle name="Percent 2 15 7 2" xfId="31614"/>
    <cellStyle name="Percent 2 15 8" xfId="31615"/>
    <cellStyle name="Percent 2 15 8 2" xfId="31616"/>
    <cellStyle name="Percent 2 16" xfId="31617"/>
    <cellStyle name="Percent 2 16 2" xfId="31618"/>
    <cellStyle name="Percent 2 16 3" xfId="31619"/>
    <cellStyle name="Percent 2 16 4" xfId="31620"/>
    <cellStyle name="Percent 2 16 5" xfId="31621"/>
    <cellStyle name="Percent 2 16 6" xfId="31622"/>
    <cellStyle name="Percent 2 16 7" xfId="31623"/>
    <cellStyle name="Percent 2 16 8" xfId="31624"/>
    <cellStyle name="Percent 2 16 8 2" xfId="31625"/>
    <cellStyle name="Percent 2 17" xfId="31626"/>
    <cellStyle name="Percent 2 17 2" xfId="31627"/>
    <cellStyle name="Percent 2 17 3" xfId="31628"/>
    <cellStyle name="Percent 2 17 4" xfId="31629"/>
    <cellStyle name="Percent 2 17 5" xfId="31630"/>
    <cellStyle name="Percent 2 17 6" xfId="31631"/>
    <cellStyle name="Percent 2 17 7" xfId="31632"/>
    <cellStyle name="Percent 2 17 8" xfId="31633"/>
    <cellStyle name="Percent 2 18" xfId="31634"/>
    <cellStyle name="Percent 2 18 2" xfId="31635"/>
    <cellStyle name="Percent 2 18 3" xfId="31636"/>
    <cellStyle name="Percent 2 18 4" xfId="31637"/>
    <cellStyle name="Percent 2 18 5" xfId="31638"/>
    <cellStyle name="Percent 2 18 6" xfId="31639"/>
    <cellStyle name="Percent 2 18 7" xfId="31640"/>
    <cellStyle name="Percent 2 18 8" xfId="31641"/>
    <cellStyle name="Percent 2 19" xfId="31642"/>
    <cellStyle name="Percent 2 19 2" xfId="31643"/>
    <cellStyle name="Percent 2 19 2 2" xfId="31644"/>
    <cellStyle name="Percent 2 19 3" xfId="31645"/>
    <cellStyle name="Percent 2 19 4" xfId="31646"/>
    <cellStyle name="Percent 2 19 5" xfId="31647"/>
    <cellStyle name="Percent 2 19 6" xfId="31648"/>
    <cellStyle name="Percent 2 19 7" xfId="31649"/>
    <cellStyle name="Percent 2 19 8" xfId="31650"/>
    <cellStyle name="Percent 2 2" xfId="31651"/>
    <cellStyle name="Percent 2 2 2" xfId="31652"/>
    <cellStyle name="Percent 2 2 2 2" xfId="31653"/>
    <cellStyle name="Percent 2 2 2 2 2" xfId="31654"/>
    <cellStyle name="Percent 2 2 2 2 2 2" xfId="31655"/>
    <cellStyle name="Percent 2 2 2 3" xfId="31656"/>
    <cellStyle name="Percent 2 2 2 4" xfId="31657"/>
    <cellStyle name="Percent 2 2 3" xfId="31658"/>
    <cellStyle name="Percent 2 2 4" xfId="31659"/>
    <cellStyle name="Percent 2 2 5" xfId="31660"/>
    <cellStyle name="Percent 2 2 6" xfId="31661"/>
    <cellStyle name="Percent 2 2 7" xfId="31662"/>
    <cellStyle name="Percent 2 2 8" xfId="31663"/>
    <cellStyle name="Percent 2 2 9" xfId="31664"/>
    <cellStyle name="Percent 2 20" xfId="31665"/>
    <cellStyle name="Percent 2 20 2" xfId="31666"/>
    <cellStyle name="Percent 2 20 3" xfId="31667"/>
    <cellStyle name="Percent 2 20 4" xfId="31668"/>
    <cellStyle name="Percent 2 20 5" xfId="31669"/>
    <cellStyle name="Percent 2 20 6" xfId="31670"/>
    <cellStyle name="Percent 2 20 7" xfId="31671"/>
    <cellStyle name="Percent 2 20 7 2" xfId="31672"/>
    <cellStyle name="Percent 2 20 8" xfId="31673"/>
    <cellStyle name="Percent 2 20 8 2" xfId="31674"/>
    <cellStyle name="Percent 2 21" xfId="31675"/>
    <cellStyle name="Percent 2 21 2" xfId="31676"/>
    <cellStyle name="Percent 2 21 3" xfId="31677"/>
    <cellStyle name="Percent 2 21 4" xfId="31678"/>
    <cellStyle name="Percent 2 21 5" xfId="31679"/>
    <cellStyle name="Percent 2 21 6" xfId="31680"/>
    <cellStyle name="Percent 2 21 7" xfId="31681"/>
    <cellStyle name="Percent 2 21 8" xfId="31682"/>
    <cellStyle name="Percent 2 21 8 2" xfId="31683"/>
    <cellStyle name="Percent 2 22" xfId="31684"/>
    <cellStyle name="Percent 2 22 2" xfId="31685"/>
    <cellStyle name="Percent 2 22 3" xfId="31686"/>
    <cellStyle name="Percent 2 22 4" xfId="31687"/>
    <cellStyle name="Percent 2 22 5" xfId="31688"/>
    <cellStyle name="Percent 2 22 6" xfId="31689"/>
    <cellStyle name="Percent 2 22 7" xfId="31690"/>
    <cellStyle name="Percent 2 22 8" xfId="31691"/>
    <cellStyle name="Percent 2 23" xfId="31692"/>
    <cellStyle name="Percent 2 23 2" xfId="31693"/>
    <cellStyle name="Percent 2 23 3" xfId="31694"/>
    <cellStyle name="Percent 2 23 4" xfId="31695"/>
    <cellStyle name="Percent 2 23 5" xfId="31696"/>
    <cellStyle name="Percent 2 23 6" xfId="31697"/>
    <cellStyle name="Percent 2 23 7" xfId="31698"/>
    <cellStyle name="Percent 2 23 8" xfId="31699"/>
    <cellStyle name="Percent 2 24" xfId="31700"/>
    <cellStyle name="Percent 2 24 2" xfId="31701"/>
    <cellStyle name="Percent 2 24 2 2" xfId="31702"/>
    <cellStyle name="Percent 2 24 3" xfId="31703"/>
    <cellStyle name="Percent 2 24 4" xfId="31704"/>
    <cellStyle name="Percent 2 24 5" xfId="31705"/>
    <cellStyle name="Percent 2 24 6" xfId="31706"/>
    <cellStyle name="Percent 2 24 7" xfId="31707"/>
    <cellStyle name="Percent 2 24 8" xfId="31708"/>
    <cellStyle name="Percent 2 25" xfId="31709"/>
    <cellStyle name="Percent 2 25 2" xfId="31710"/>
    <cellStyle name="Percent 2 25 2 2" xfId="31711"/>
    <cellStyle name="Percent 2 25 3" xfId="31712"/>
    <cellStyle name="Percent 2 25 3 2" xfId="31713"/>
    <cellStyle name="Percent 2 25 4" xfId="31714"/>
    <cellStyle name="Percent 2 25 5" xfId="31715"/>
    <cellStyle name="Percent 2 25 6" xfId="31716"/>
    <cellStyle name="Percent 2 25 7" xfId="31717"/>
    <cellStyle name="Percent 2 25 8" xfId="31718"/>
    <cellStyle name="Percent 2 26" xfId="31719"/>
    <cellStyle name="Percent 2 26 2" xfId="31720"/>
    <cellStyle name="Percent 2 26 2 2" xfId="31721"/>
    <cellStyle name="Percent 2 26 3" xfId="31722"/>
    <cellStyle name="Percent 2 26 3 2" xfId="31723"/>
    <cellStyle name="Percent 2 26 4" xfId="31724"/>
    <cellStyle name="Percent 2 26 5" xfId="31725"/>
    <cellStyle name="Percent 2 26 6" xfId="31726"/>
    <cellStyle name="Percent 2 26 7" xfId="31727"/>
    <cellStyle name="Percent 2 26 8" xfId="31728"/>
    <cellStyle name="Percent 2 27" xfId="31729"/>
    <cellStyle name="Percent 2 27 2" xfId="31730"/>
    <cellStyle name="Percent 2 27 3" xfId="31731"/>
    <cellStyle name="Percent 2 27 4" xfId="31732"/>
    <cellStyle name="Percent 2 27 5" xfId="31733"/>
    <cellStyle name="Percent 2 27 6" xfId="31734"/>
    <cellStyle name="Percent 2 27 7" xfId="31735"/>
    <cellStyle name="Percent 2 27 8" xfId="31736"/>
    <cellStyle name="Percent 2 28" xfId="31737"/>
    <cellStyle name="Percent 2 28 2" xfId="31738"/>
    <cellStyle name="Percent 2 28 3" xfId="31739"/>
    <cellStyle name="Percent 2 28 4" xfId="31740"/>
    <cellStyle name="Percent 2 28 5" xfId="31741"/>
    <cellStyle name="Percent 2 28 6" xfId="31742"/>
    <cellStyle name="Percent 2 28 7" xfId="31743"/>
    <cellStyle name="Percent 2 28 8" xfId="31744"/>
    <cellStyle name="Percent 2 29" xfId="31745"/>
    <cellStyle name="Percent 2 29 2" xfId="31746"/>
    <cellStyle name="Percent 2 29 3" xfId="31747"/>
    <cellStyle name="Percent 2 29 4" xfId="31748"/>
    <cellStyle name="Percent 2 29 5" xfId="31749"/>
    <cellStyle name="Percent 2 29 6" xfId="31750"/>
    <cellStyle name="Percent 2 29 7" xfId="31751"/>
    <cellStyle name="Percent 2 29 8" xfId="31752"/>
    <cellStyle name="Percent 2 3" xfId="31753"/>
    <cellStyle name="Percent 2 3 2" xfId="31754"/>
    <cellStyle name="Percent 2 3 3" xfId="31755"/>
    <cellStyle name="Percent 2 3 4" xfId="31756"/>
    <cellStyle name="Percent 2 3 5" xfId="31757"/>
    <cellStyle name="Percent 2 3 6" xfId="31758"/>
    <cellStyle name="Percent 2 3 7" xfId="31759"/>
    <cellStyle name="Percent 2 3 8" xfId="31760"/>
    <cellStyle name="Percent 2 30" xfId="31761"/>
    <cellStyle name="Percent 2 30 2" xfId="31762"/>
    <cellStyle name="Percent 2 30 2 2" xfId="31763"/>
    <cellStyle name="Percent 2 30 3" xfId="31764"/>
    <cellStyle name="Percent 2 30 3 2" xfId="31765"/>
    <cellStyle name="Percent 2 30 4" xfId="31766"/>
    <cellStyle name="Percent 2 30 5" xfId="31767"/>
    <cellStyle name="Percent 2 30 6" xfId="31768"/>
    <cellStyle name="Percent 2 30 7" xfId="31769"/>
    <cellStyle name="Percent 2 30 8" xfId="31770"/>
    <cellStyle name="Percent 2 31" xfId="31771"/>
    <cellStyle name="Percent 2 31 2" xfId="31772"/>
    <cellStyle name="Percent 2 31 2 2" xfId="31773"/>
    <cellStyle name="Percent 2 31 3" xfId="31774"/>
    <cellStyle name="Percent 2 31 3 2" xfId="31775"/>
    <cellStyle name="Percent 2 31 4" xfId="31776"/>
    <cellStyle name="Percent 2 31 5" xfId="31777"/>
    <cellStyle name="Percent 2 31 6" xfId="31778"/>
    <cellStyle name="Percent 2 31 7" xfId="31779"/>
    <cellStyle name="Percent 2 31 8" xfId="31780"/>
    <cellStyle name="Percent 2 32" xfId="31781"/>
    <cellStyle name="Percent 2 32 2" xfId="31782"/>
    <cellStyle name="Percent 2 32 3" xfId="31783"/>
    <cellStyle name="Percent 2 32 4" xfId="31784"/>
    <cellStyle name="Percent 2 32 5" xfId="31785"/>
    <cellStyle name="Percent 2 32 6" xfId="31786"/>
    <cellStyle name="Percent 2 32 7" xfId="31787"/>
    <cellStyle name="Percent 2 32 8" xfId="31788"/>
    <cellStyle name="Percent 2 33" xfId="31789"/>
    <cellStyle name="Percent 2 33 2" xfId="31790"/>
    <cellStyle name="Percent 2 33 3" xfId="31791"/>
    <cellStyle name="Percent 2 33 4" xfId="31792"/>
    <cellStyle name="Percent 2 33 5" xfId="31793"/>
    <cellStyle name="Percent 2 33 6" xfId="31794"/>
    <cellStyle name="Percent 2 33 7" xfId="31795"/>
    <cellStyle name="Percent 2 33 8" xfId="31796"/>
    <cellStyle name="Percent 2 34" xfId="31797"/>
    <cellStyle name="Percent 2 34 2" xfId="31798"/>
    <cellStyle name="Percent 2 34 3" xfId="31799"/>
    <cellStyle name="Percent 2 34 4" xfId="31800"/>
    <cellStyle name="Percent 2 34 5" xfId="31801"/>
    <cellStyle name="Percent 2 34 6" xfId="31802"/>
    <cellStyle name="Percent 2 4" xfId="31803"/>
    <cellStyle name="Percent 2 4 2" xfId="31804"/>
    <cellStyle name="Percent 2 4 3" xfId="31805"/>
    <cellStyle name="Percent 2 4 4" xfId="31806"/>
    <cellStyle name="Percent 2 4 5" xfId="31807"/>
    <cellStyle name="Percent 2 4 6" xfId="31808"/>
    <cellStyle name="Percent 2 4 7" xfId="31809"/>
    <cellStyle name="Percent 2 4 8" xfId="31810"/>
    <cellStyle name="Percent 2 5" xfId="31811"/>
    <cellStyle name="Percent 2 5 2" xfId="31812"/>
    <cellStyle name="Percent 2 5 2 2" xfId="31813"/>
    <cellStyle name="Percent 2 5 3" xfId="31814"/>
    <cellStyle name="Percent 2 5 3 2" xfId="31815"/>
    <cellStyle name="Percent 2 5 4" xfId="31816"/>
    <cellStyle name="Percent 2 5 4 2" xfId="31817"/>
    <cellStyle name="Percent 2 5 5" xfId="31818"/>
    <cellStyle name="Percent 2 5 5 2" xfId="31819"/>
    <cellStyle name="Percent 2 5 6" xfId="31820"/>
    <cellStyle name="Percent 2 5 7" xfId="31821"/>
    <cellStyle name="Percent 2 5 8" xfId="31822"/>
    <cellStyle name="Percent 2 6" xfId="31823"/>
    <cellStyle name="Percent 2 6 2" xfId="31824"/>
    <cellStyle name="Percent 2 6 3" xfId="31825"/>
    <cellStyle name="Percent 2 6 4" xfId="31826"/>
    <cellStyle name="Percent 2 6 5" xfId="31827"/>
    <cellStyle name="Percent 2 6 6" xfId="31828"/>
    <cellStyle name="Percent 2 6 7" xfId="31829"/>
    <cellStyle name="Percent 2 6 8" xfId="31830"/>
    <cellStyle name="Percent 2 7" xfId="31831"/>
    <cellStyle name="Percent 2 7 2" xfId="31832"/>
    <cellStyle name="Percent 2 7 3" xfId="31833"/>
    <cellStyle name="Percent 2 7 4" xfId="31834"/>
    <cellStyle name="Percent 2 7 5" xfId="31835"/>
    <cellStyle name="Percent 2 7 6" xfId="31836"/>
    <cellStyle name="Percent 2 7 7" xfId="31837"/>
    <cellStyle name="Percent 2 7 8" xfId="31838"/>
    <cellStyle name="Percent 2 8" xfId="31839"/>
    <cellStyle name="Percent 2 8 2" xfId="31840"/>
    <cellStyle name="Percent 2 8 3" xfId="31841"/>
    <cellStyle name="Percent 2 8 4" xfId="31842"/>
    <cellStyle name="Percent 2 8 5" xfId="31843"/>
    <cellStyle name="Percent 2 8 6" xfId="31844"/>
    <cellStyle name="Percent 2 8 7" xfId="31845"/>
    <cellStyle name="Percent 2 8 8" xfId="31846"/>
    <cellStyle name="Percent 2 9" xfId="31847"/>
    <cellStyle name="Percent 2 9 2" xfId="31848"/>
    <cellStyle name="Percent 2 9 3" xfId="31849"/>
    <cellStyle name="Percent 2 9 4" xfId="31850"/>
    <cellStyle name="Percent 2 9 5" xfId="31851"/>
    <cellStyle name="Percent 2 9 6" xfId="31852"/>
    <cellStyle name="Percent 2 9 6 2" xfId="31853"/>
    <cellStyle name="Percent 2 9 7" xfId="31854"/>
    <cellStyle name="Percent 2 9 7 2" xfId="31855"/>
    <cellStyle name="Percent 2 9 8" xfId="31856"/>
    <cellStyle name="Percent 2 9 8 2" xfId="31857"/>
    <cellStyle name="Percent 2_Checked Assa Pricing Final." xfId="31858"/>
    <cellStyle name="Percent 20" xfId="31859"/>
    <cellStyle name="Percent 21" xfId="31860"/>
    <cellStyle name="Percent 22" xfId="31861"/>
    <cellStyle name="Percent 23" xfId="31862"/>
    <cellStyle name="Percent 24" xfId="31863"/>
    <cellStyle name="Percent 25" xfId="31864"/>
    <cellStyle name="Percent 26" xfId="31865"/>
    <cellStyle name="Percent 27" xfId="31866"/>
    <cellStyle name="Percent 28" xfId="31867"/>
    <cellStyle name="Percent 29" xfId="31868"/>
    <cellStyle name="Percent 3" xfId="31869"/>
    <cellStyle name="Percent 3 10" xfId="31870"/>
    <cellStyle name="Percent 3 11" xfId="31871"/>
    <cellStyle name="Percent 3 12" xfId="31872"/>
    <cellStyle name="Percent 3 13" xfId="31873"/>
    <cellStyle name="Percent 3 14" xfId="31874"/>
    <cellStyle name="Percent 3 15" xfId="31875"/>
    <cellStyle name="Percent 3 16" xfId="31876"/>
    <cellStyle name="Percent 3 2" xfId="31877"/>
    <cellStyle name="Percent 3 2 2" xfId="31878"/>
    <cellStyle name="Percent 3 2 3" xfId="31879"/>
    <cellStyle name="Percent 3 2 4" xfId="31880"/>
    <cellStyle name="Percent 3 2 5" xfId="31881"/>
    <cellStyle name="Percent 3 2 6" xfId="31882"/>
    <cellStyle name="Percent 3 2 7" xfId="31883"/>
    <cellStyle name="Percent 3 2 8" xfId="31884"/>
    <cellStyle name="Percent 3 3" xfId="31885"/>
    <cellStyle name="Percent 3 4" xfId="31886"/>
    <cellStyle name="Percent 3 5" xfId="31887"/>
    <cellStyle name="Percent 3 6" xfId="31888"/>
    <cellStyle name="Percent 3 7" xfId="31889"/>
    <cellStyle name="Percent 3 8" xfId="31890"/>
    <cellStyle name="Percent 3 9" xfId="31891"/>
    <cellStyle name="Percent 30" xfId="31892"/>
    <cellStyle name="Percent 31" xfId="31893"/>
    <cellStyle name="Percent 32" xfId="31894"/>
    <cellStyle name="Percent 33" xfId="31895"/>
    <cellStyle name="Percent 34" xfId="31896"/>
    <cellStyle name="Percent 35" xfId="31897"/>
    <cellStyle name="Percent 36" xfId="31898"/>
    <cellStyle name="Percent 37" xfId="31899"/>
    <cellStyle name="Percent 38" xfId="31900"/>
    <cellStyle name="Percent 39" xfId="31901"/>
    <cellStyle name="Percent 4" xfId="31902"/>
    <cellStyle name="Percent 4 2" xfId="31903"/>
    <cellStyle name="Percent 4 2 2" xfId="31904"/>
    <cellStyle name="Percent 4 2 3" xfId="31905"/>
    <cellStyle name="Percent 4 2 4" xfId="31906"/>
    <cellStyle name="Percent 4 2 5" xfId="31907"/>
    <cellStyle name="Percent 4 2 6" xfId="31908"/>
    <cellStyle name="Percent 4 2 7" xfId="31909"/>
    <cellStyle name="Percent 4 2 7 2" xfId="31910"/>
    <cellStyle name="Percent 4 2 8" xfId="31911"/>
    <cellStyle name="Percent 4 3" xfId="31912"/>
    <cellStyle name="Percent 4 4" xfId="31913"/>
    <cellStyle name="Percent 4 5" xfId="31914"/>
    <cellStyle name="Percent 4 6" xfId="31915"/>
    <cellStyle name="Percent 4 7" xfId="31916"/>
    <cellStyle name="Percent 4 8" xfId="31917"/>
    <cellStyle name="Percent 4 8 2" xfId="31918"/>
    <cellStyle name="Percent 4 9" xfId="31919"/>
    <cellStyle name="Percent 40" xfId="31920"/>
    <cellStyle name="Percent 41" xfId="31921"/>
    <cellStyle name="Percent 42" xfId="31922"/>
    <cellStyle name="Percent 43" xfId="31923"/>
    <cellStyle name="Percent 44" xfId="31924"/>
    <cellStyle name="Percent 45" xfId="31925"/>
    <cellStyle name="Percent 46" xfId="31926"/>
    <cellStyle name="Percent 47" xfId="31927"/>
    <cellStyle name="Percent 48" xfId="31928"/>
    <cellStyle name="Percent 49" xfId="31929"/>
    <cellStyle name="Percent 5" xfId="31930"/>
    <cellStyle name="Percent 5 10" xfId="31931"/>
    <cellStyle name="Percent 5 2" xfId="31932"/>
    <cellStyle name="Percent 5 3" xfId="31933"/>
    <cellStyle name="Percent 5 4" xfId="31934"/>
    <cellStyle name="Percent 5 5" xfId="31935"/>
    <cellStyle name="Percent 5 6" xfId="31936"/>
    <cellStyle name="Percent 5 7" xfId="31937"/>
    <cellStyle name="Percent 5 7 2" xfId="31938"/>
    <cellStyle name="Percent 5 8" xfId="31939"/>
    <cellStyle name="Percent 5 8 2" xfId="31940"/>
    <cellStyle name="Percent 5 9" xfId="31941"/>
    <cellStyle name="Percent 50" xfId="31942"/>
    <cellStyle name="Percent 50 2" xfId="31943"/>
    <cellStyle name="Percent 50 2 2" xfId="31944"/>
    <cellStyle name="Percent 50 3" xfId="31945"/>
    <cellStyle name="Percent 51" xfId="31946"/>
    <cellStyle name="Percent 52" xfId="31947"/>
    <cellStyle name="Percent 53" xfId="31948"/>
    <cellStyle name="Percent 54" xfId="31949"/>
    <cellStyle name="Percent 55" xfId="31950"/>
    <cellStyle name="Percent 56" xfId="31951"/>
    <cellStyle name="Percent 57" xfId="31952"/>
    <cellStyle name="Percent 58" xfId="31953"/>
    <cellStyle name="Percent 59" xfId="31954"/>
    <cellStyle name="Percent 6" xfId="31955"/>
    <cellStyle name="Percent 6 2" xfId="31956"/>
    <cellStyle name="Percent 6 3" xfId="31957"/>
    <cellStyle name="Percent 6 4" xfId="31958"/>
    <cellStyle name="Percent 6 5" xfId="31959"/>
    <cellStyle name="Percent 6 6" xfId="31960"/>
    <cellStyle name="Percent 6 7" xfId="31961"/>
    <cellStyle name="Percent 6 7 2" xfId="31962"/>
    <cellStyle name="Percent 6 8" xfId="31963"/>
    <cellStyle name="Percent 7" xfId="31964"/>
    <cellStyle name="Percent 8" xfId="31965"/>
    <cellStyle name="Percent 8 2" xfId="31966"/>
    <cellStyle name="Percent 8 3" xfId="31967"/>
    <cellStyle name="Percent 8 4" xfId="31968"/>
    <cellStyle name="Percent 8 5" xfId="31969"/>
    <cellStyle name="Percent 8 6" xfId="31970"/>
    <cellStyle name="Percent 8 7" xfId="31971"/>
    <cellStyle name="Percent 8 7 2" xfId="31972"/>
    <cellStyle name="Percent 8 8" xfId="31973"/>
    <cellStyle name="Percent 8 8 2" xfId="31974"/>
    <cellStyle name="Percent 8 9" xfId="31975"/>
    <cellStyle name="Percent 9" xfId="31976"/>
    <cellStyle name="PERCENTAGE" xfId="31977"/>
    <cellStyle name="Preliminary_Data" xfId="31978"/>
    <cellStyle name="PrePop Currency (0)" xfId="31979"/>
    <cellStyle name="PrePop Currency (0) 2" xfId="31980"/>
    <cellStyle name="PrePop Currency (0) 3" xfId="31981"/>
    <cellStyle name="PrePop Currency (0) 4" xfId="31982"/>
    <cellStyle name="PrePop Currency (0) 5" xfId="31983"/>
    <cellStyle name="PrePop Currency (0) 6" xfId="31984"/>
    <cellStyle name="PrePop Currency (0) 7" xfId="31985"/>
    <cellStyle name="PrePop Currency (0) 8" xfId="31986"/>
    <cellStyle name="PrePop Currency (2)" xfId="31987"/>
    <cellStyle name="PrePop Currency (2) 2" xfId="31988"/>
    <cellStyle name="PrePop Currency (2) 2 2" xfId="31989"/>
    <cellStyle name="PrePop Currency (2) 3" xfId="31990"/>
    <cellStyle name="PrePop Currency (2) 3 2" xfId="31991"/>
    <cellStyle name="PrePop Currency (2) 4" xfId="31992"/>
    <cellStyle name="PrePop Currency (2) 4 2" xfId="31993"/>
    <cellStyle name="PrePop Currency (2) 5" xfId="31994"/>
    <cellStyle name="PrePop Currency (2) 5 2" xfId="31995"/>
    <cellStyle name="PrePop Currency (2) 6" xfId="31996"/>
    <cellStyle name="PrePop Currency (2) 6 2" xfId="31997"/>
    <cellStyle name="PrePop Currency (2) 7" xfId="31998"/>
    <cellStyle name="PrePop Currency (2) 7 2" xfId="31999"/>
    <cellStyle name="PrePop Currency (2) 8" xfId="32000"/>
    <cellStyle name="PrePop Currency (2) 8 2" xfId="32001"/>
    <cellStyle name="PrePop Currency (2) 9" xfId="32002"/>
    <cellStyle name="PrePop Units (0)" xfId="32003"/>
    <cellStyle name="PrePop Units (0) 2" xfId="32004"/>
    <cellStyle name="PrePop Units (0) 2 2" xfId="32005"/>
    <cellStyle name="PrePop Units (0) 3" xfId="32006"/>
    <cellStyle name="PrePop Units (0) 3 2" xfId="32007"/>
    <cellStyle name="PrePop Units (0) 4" xfId="32008"/>
    <cellStyle name="PrePop Units (0) 4 2" xfId="32009"/>
    <cellStyle name="PrePop Units (0) 5" xfId="32010"/>
    <cellStyle name="PrePop Units (0) 5 2" xfId="32011"/>
    <cellStyle name="PrePop Units (0) 6" xfId="32012"/>
    <cellStyle name="PrePop Units (0) 7" xfId="32013"/>
    <cellStyle name="PrePop Units (0) 8" xfId="32014"/>
    <cellStyle name="PrePop Units (1)" xfId="32015"/>
    <cellStyle name="PrePop Units (1) 2" xfId="32016"/>
    <cellStyle name="PrePop Units (1) 2 2" xfId="32017"/>
    <cellStyle name="PrePop Units (1) 3" xfId="32018"/>
    <cellStyle name="PrePop Units (1) 3 2" xfId="32019"/>
    <cellStyle name="PrePop Units (1) 4" xfId="32020"/>
    <cellStyle name="PrePop Units (1) 4 2" xfId="32021"/>
    <cellStyle name="PrePop Units (1) 5" xfId="32022"/>
    <cellStyle name="PrePop Units (1) 5 2" xfId="32023"/>
    <cellStyle name="PrePop Units (1) 6" xfId="32024"/>
    <cellStyle name="PrePop Units (1) 7" xfId="32025"/>
    <cellStyle name="PrePop Units (1) 8" xfId="32026"/>
    <cellStyle name="PrePop Units (2)" xfId="32027"/>
    <cellStyle name="PrePop Units (2) 2" xfId="32028"/>
    <cellStyle name="PrePop Units (2) 2 2" xfId="32029"/>
    <cellStyle name="PrePop Units (2) 3" xfId="32030"/>
    <cellStyle name="PrePop Units (2) 3 2" xfId="32031"/>
    <cellStyle name="PrePop Units (2) 4" xfId="32032"/>
    <cellStyle name="PrePop Units (2) 4 2" xfId="32033"/>
    <cellStyle name="PrePop Units (2) 5" xfId="32034"/>
    <cellStyle name="PrePop Units (2) 5 2" xfId="32035"/>
    <cellStyle name="PrePop Units (2) 6" xfId="32036"/>
    <cellStyle name="PrePop Units (2) 6 2" xfId="32037"/>
    <cellStyle name="PrePop Units (2) 7" xfId="32038"/>
    <cellStyle name="PrePop Units (2) 7 2" xfId="32039"/>
    <cellStyle name="PrePop Units (2) 8" xfId="32040"/>
    <cellStyle name="PrePop Units (2) 8 2" xfId="32041"/>
    <cellStyle name="PrePop Units (2) 9" xfId="32042"/>
    <cellStyle name="Prices_Data" xfId="32043"/>
    <cellStyle name="PSChar" xfId="32044"/>
    <cellStyle name="PSDate" xfId="32045"/>
    <cellStyle name="PSDate 2" xfId="32046"/>
    <cellStyle name="Quantity" xfId="32047"/>
    <cellStyle name="Quantity 10" xfId="32048"/>
    <cellStyle name="Quantity 2" xfId="32049"/>
    <cellStyle name="Quantity 2 2" xfId="32050"/>
    <cellStyle name="Quantity 2 3" xfId="32051"/>
    <cellStyle name="Quantity 3" xfId="32052"/>
    <cellStyle name="Quantity 3 2" xfId="32053"/>
    <cellStyle name="Quantity 3 3" xfId="32054"/>
    <cellStyle name="Quantity 4" xfId="32055"/>
    <cellStyle name="Quantity 4 2" xfId="32056"/>
    <cellStyle name="Quantity 4 3" xfId="32057"/>
    <cellStyle name="Quantity 5" xfId="32058"/>
    <cellStyle name="Quantity 5 2" xfId="32059"/>
    <cellStyle name="Quantity 5 3" xfId="32060"/>
    <cellStyle name="Quantity 6" xfId="32061"/>
    <cellStyle name="Quantity 6 2" xfId="32062"/>
    <cellStyle name="Quantity 6 3" xfId="32063"/>
    <cellStyle name="Quantity 7" xfId="32064"/>
    <cellStyle name="Quantity 7 2" xfId="32065"/>
    <cellStyle name="Quantity 7 3" xfId="32066"/>
    <cellStyle name="Quantity 8" xfId="32067"/>
    <cellStyle name="Quantity 8 2" xfId="32068"/>
    <cellStyle name="Quantity 8 3" xfId="32069"/>
    <cellStyle name="Quantity 9" xfId="32070"/>
    <cellStyle name="S—_x0008_" xfId="32071"/>
    <cellStyle name="S—_x005f_x0008_" xfId="32072"/>
    <cellStyle name="Satisfaisant" xfId="32073"/>
    <cellStyle name="sbt2" xfId="32074"/>
    <cellStyle name="sbt2 2" xfId="32075"/>
    <cellStyle name="sbt2 2 2" xfId="32076"/>
    <cellStyle name="sbt2 3" xfId="32077"/>
    <cellStyle name="sbt2 3 2" xfId="32078"/>
    <cellStyle name="sbt2 4" xfId="32079"/>
    <cellStyle name="sbt2 4 2" xfId="32080"/>
    <cellStyle name="sbt2 5" xfId="32081"/>
    <cellStyle name="sbt2 5 2" xfId="32082"/>
    <cellStyle name="sbt2 6" xfId="32083"/>
    <cellStyle name="sbt2 6 2" xfId="32084"/>
    <cellStyle name="sbt2 7" xfId="32085"/>
    <cellStyle name="sbt2 7 2" xfId="32086"/>
    <cellStyle name="sbt2 8" xfId="32087"/>
    <cellStyle name="sbt2 8 2" xfId="32088"/>
    <cellStyle name="sbt2 9" xfId="32089"/>
    <cellStyle name="Sortie" xfId="32090"/>
    <cellStyle name="Sortie 10" xfId="32091"/>
    <cellStyle name="Sortie 11" xfId="32092"/>
    <cellStyle name="Sortie 12" xfId="32093"/>
    <cellStyle name="Sortie 13" xfId="32094"/>
    <cellStyle name="Sortie 14" xfId="32095"/>
    <cellStyle name="Sortie 15" xfId="32096"/>
    <cellStyle name="Sortie 16" xfId="32097"/>
    <cellStyle name="Sortie 2" xfId="32098"/>
    <cellStyle name="Sortie 2 2" xfId="32099"/>
    <cellStyle name="Sortie 2 3" xfId="32100"/>
    <cellStyle name="Sortie 2 4" xfId="32101"/>
    <cellStyle name="Sortie 3" xfId="32102"/>
    <cellStyle name="Sortie 4" xfId="32103"/>
    <cellStyle name="Sortie 5" xfId="32104"/>
    <cellStyle name="Sortie 6" xfId="32105"/>
    <cellStyle name="Sortie 7" xfId="32106"/>
    <cellStyle name="Sortie 8" xfId="32107"/>
    <cellStyle name="Sortie 9" xfId="32108"/>
    <cellStyle name="Standard 2" xfId="32109"/>
    <cellStyle name="Star" xfId="32110"/>
    <cellStyle name="Star 2" xfId="32111"/>
    <cellStyle name="Star 2 2" xfId="32112"/>
    <cellStyle name="Star 2 3" xfId="32113"/>
    <cellStyle name="Star 3" xfId="32114"/>
    <cellStyle name="Star 4" xfId="32115"/>
    <cellStyle name="Star 5" xfId="32116"/>
    <cellStyle name="Star 6" xfId="32117"/>
    <cellStyle name="Star 7" xfId="32118"/>
    <cellStyle name="Style 1" xfId="32119"/>
    <cellStyle name="Style 1 10" xfId="32120"/>
    <cellStyle name="Style 1 11" xfId="32121"/>
    <cellStyle name="Style 1 12" xfId="32122"/>
    <cellStyle name="Style 1 13" xfId="32123"/>
    <cellStyle name="Style 1 14" xfId="32124"/>
    <cellStyle name="Style 1 15" xfId="32125"/>
    <cellStyle name="Style 1 16" xfId="32126"/>
    <cellStyle name="Style 1 2" xfId="32127"/>
    <cellStyle name="Style 1 2 2" xfId="32128"/>
    <cellStyle name="Style 1 2 3" xfId="32129"/>
    <cellStyle name="Style 1 2 4" xfId="32130"/>
    <cellStyle name="Style 1 2 5" xfId="32131"/>
    <cellStyle name="Style 1 2 6" xfId="32132"/>
    <cellStyle name="Style 1 2 7" xfId="32133"/>
    <cellStyle name="Style 1 2 8" xfId="32134"/>
    <cellStyle name="Style 1 2 9" xfId="32135"/>
    <cellStyle name="Style 1 3" xfId="32136"/>
    <cellStyle name="Style 1 3 2" xfId="32137"/>
    <cellStyle name="Style 1 4" xfId="32138"/>
    <cellStyle name="Style 1 5" xfId="32139"/>
    <cellStyle name="Style 1 6" xfId="32140"/>
    <cellStyle name="Style 1 7" xfId="32141"/>
    <cellStyle name="Style 1 8" xfId="32142"/>
    <cellStyle name="Style 1 9" xfId="32143"/>
    <cellStyle name="Style 1_AP Logistic 2009 Konsolidasi (Optimist - Annual Plan)" xfId="32144"/>
    <cellStyle name="Style 10" xfId="32145"/>
    <cellStyle name="Style 11" xfId="32146"/>
    <cellStyle name="Style 12" xfId="32147"/>
    <cellStyle name="Style 13" xfId="32148"/>
    <cellStyle name="Style 14" xfId="32149"/>
    <cellStyle name="Style 15" xfId="32150"/>
    <cellStyle name="Style 16" xfId="32151"/>
    <cellStyle name="Style 17" xfId="32152"/>
    <cellStyle name="Style 18" xfId="32153"/>
    <cellStyle name="Style 19" xfId="32154"/>
    <cellStyle name="Style 2" xfId="32155"/>
    <cellStyle name="Style 20" xfId="32156"/>
    <cellStyle name="Style 21" xfId="32157"/>
    <cellStyle name="Style 22" xfId="32158"/>
    <cellStyle name="Style 23" xfId="32159"/>
    <cellStyle name="Style 24" xfId="32160"/>
    <cellStyle name="Style 25" xfId="32161"/>
    <cellStyle name="Style 26" xfId="32162"/>
    <cellStyle name="Style 27" xfId="32163"/>
    <cellStyle name="Style 28" xfId="32164"/>
    <cellStyle name="Style 29" xfId="32165"/>
    <cellStyle name="Style 3" xfId="32166"/>
    <cellStyle name="Style 30" xfId="32167"/>
    <cellStyle name="Style 31" xfId="32168"/>
    <cellStyle name="Style 32" xfId="32169"/>
    <cellStyle name="Style 33" xfId="32170"/>
    <cellStyle name="Style 34" xfId="32171"/>
    <cellStyle name="Style 35" xfId="32172"/>
    <cellStyle name="Style 36" xfId="32173"/>
    <cellStyle name="Style 37" xfId="32174"/>
    <cellStyle name="Style 38" xfId="32175"/>
    <cellStyle name="Style 39" xfId="32176"/>
    <cellStyle name="Style 4" xfId="32177"/>
    <cellStyle name="Style 40" xfId="32178"/>
    <cellStyle name="Style 41" xfId="32179"/>
    <cellStyle name="Style 42" xfId="32180"/>
    <cellStyle name="Style 43" xfId="32181"/>
    <cellStyle name="Style 44" xfId="32182"/>
    <cellStyle name="Style 45" xfId="32183"/>
    <cellStyle name="Style 46" xfId="32184"/>
    <cellStyle name="Style 47" xfId="32185"/>
    <cellStyle name="Style 48" xfId="32186"/>
    <cellStyle name="Style 49" xfId="32187"/>
    <cellStyle name="Style 5" xfId="32188"/>
    <cellStyle name="Style 50" xfId="32189"/>
    <cellStyle name="Style 51" xfId="32190"/>
    <cellStyle name="Style 52" xfId="32191"/>
    <cellStyle name="Style 53" xfId="32192"/>
    <cellStyle name="Style 54" xfId="32193"/>
    <cellStyle name="Style 55" xfId="32194"/>
    <cellStyle name="Style 56" xfId="32195"/>
    <cellStyle name="Style 57" xfId="32196"/>
    <cellStyle name="Style 58" xfId="32197"/>
    <cellStyle name="Style 59" xfId="32198"/>
    <cellStyle name="Style 6" xfId="32199"/>
    <cellStyle name="Style 60" xfId="32200"/>
    <cellStyle name="Style 61" xfId="32201"/>
    <cellStyle name="Style 62" xfId="32202"/>
    <cellStyle name="Style 63" xfId="32203"/>
    <cellStyle name="Style 64" xfId="32204"/>
    <cellStyle name="Style 65" xfId="32205"/>
    <cellStyle name="Style 66" xfId="32206"/>
    <cellStyle name="Style 67" xfId="32207"/>
    <cellStyle name="Style 68" xfId="32208"/>
    <cellStyle name="Style 69" xfId="32209"/>
    <cellStyle name="Style 7" xfId="32210"/>
    <cellStyle name="Style 70" xfId="32211"/>
    <cellStyle name="Style 71" xfId="32212"/>
    <cellStyle name="Style 72" xfId="32213"/>
    <cellStyle name="Style 73" xfId="32214"/>
    <cellStyle name="Style 74" xfId="32215"/>
    <cellStyle name="Style 75" xfId="32216"/>
    <cellStyle name="Style 76" xfId="32217"/>
    <cellStyle name="Style 77" xfId="32218"/>
    <cellStyle name="Style 78" xfId="32219"/>
    <cellStyle name="Style 79" xfId="32220"/>
    <cellStyle name="Style 8" xfId="32221"/>
    <cellStyle name="Style 80" xfId="32222"/>
    <cellStyle name="Style 81" xfId="32223"/>
    <cellStyle name="Style 82" xfId="32224"/>
    <cellStyle name="Style 83" xfId="32225"/>
    <cellStyle name="Style 9" xfId="32226"/>
    <cellStyle name="style_1" xfId="32227"/>
    <cellStyle name="Style1" xfId="32228"/>
    <cellStyle name="Style1 2" xfId="32229"/>
    <cellStyle name="Style1 2 2" xfId="32230"/>
    <cellStyle name="Style1 2 3" xfId="32231"/>
    <cellStyle name="Style1 2 4" xfId="32232"/>
    <cellStyle name="subhead" xfId="32233"/>
    <cellStyle name="subt1" xfId="32234"/>
    <cellStyle name="subt1 2" xfId="32235"/>
    <cellStyle name="subt1 3" xfId="32236"/>
    <cellStyle name="subt1 4" xfId="32237"/>
    <cellStyle name="subt1 5" xfId="32238"/>
    <cellStyle name="subt1 6" xfId="32239"/>
    <cellStyle name="subt1 7" xfId="32240"/>
    <cellStyle name="subt1 8" xfId="32241"/>
    <cellStyle name="T" xfId="32242"/>
    <cellStyle name="T 2" xfId="32243"/>
    <cellStyle name="T 2 2" xfId="32244"/>
    <cellStyle name="T 3" xfId="32245"/>
    <cellStyle name="T 4" xfId="32246"/>
    <cellStyle name="T 5" xfId="32247"/>
    <cellStyle name="T_Book1" xfId="32248"/>
    <cellStyle name="T_Book1 2" xfId="32249"/>
    <cellStyle name="T_Book1 2 2" xfId="32250"/>
    <cellStyle name="T_Book1 3" xfId="32251"/>
    <cellStyle name="T_Book1 4" xfId="32252"/>
    <cellStyle name="T_Book1 5" xfId="32253"/>
    <cellStyle name="T_Book1_1" xfId="32254"/>
    <cellStyle name="T_Book1_1 2" xfId="32255"/>
    <cellStyle name="T_Book1_1 2 2" xfId="32256"/>
    <cellStyle name="T_Book1_1 3" xfId="32257"/>
    <cellStyle name="T_Book1_1 4" xfId="32258"/>
    <cellStyle name="T_Book1_1 5" xfId="32259"/>
    <cellStyle name="T_Cashflow QPR3" xfId="32260"/>
    <cellStyle name="T_Cashflow QPR3 2" xfId="32261"/>
    <cellStyle name="T_Cashflow QPR3 2 2" xfId="32262"/>
    <cellStyle name="T_Cashflow QPR3 3" xfId="32263"/>
    <cellStyle name="T_Cashflow QPR3 4" xfId="32264"/>
    <cellStyle name="T_Cashflow QPR3 5" xfId="32265"/>
    <cellStyle name="T_Copy of BC nhanh TCT -2008" xfId="32266"/>
    <cellStyle name="T_Copy of BC nhanh TCT -2008 2" xfId="32267"/>
    <cellStyle name="T_Copy of BC nhanh TCT -2008 2 2" xfId="32268"/>
    <cellStyle name="T_Copy of BC nhanh TCT -2008 3" xfId="32269"/>
    <cellStyle name="T_Copy of BC nhanh TCT -2008 4" xfId="32270"/>
    <cellStyle name="T_Copy of BC nhanh TCT -2008 5" xfId="32271"/>
    <cellStyle name="T_Intimex-2007" xfId="32272"/>
    <cellStyle name="T_Intimex-2007 2" xfId="32273"/>
    <cellStyle name="T_Intimex-2007 2 2" xfId="32274"/>
    <cellStyle name="T_Intimex-2007 3" xfId="32275"/>
    <cellStyle name="T_Intimex-2007 4" xfId="32276"/>
    <cellStyle name="T_Intimex-2007 5" xfId="32277"/>
    <cellStyle name="Table" xfId="32278"/>
    <cellStyle name="Table 10" xfId="32279"/>
    <cellStyle name="Table 10 2" xfId="32280"/>
    <cellStyle name="Table 10 3" xfId="32281"/>
    <cellStyle name="Table 11" xfId="32282"/>
    <cellStyle name="Table 12" xfId="32283"/>
    <cellStyle name="Table 13" xfId="32284"/>
    <cellStyle name="Table 14" xfId="32285"/>
    <cellStyle name="Table 15" xfId="32286"/>
    <cellStyle name="Table 2" xfId="32287"/>
    <cellStyle name="Table 2 2" xfId="32288"/>
    <cellStyle name="Table 2 2 2" xfId="32289"/>
    <cellStyle name="Table 2 2 2 2" xfId="32290"/>
    <cellStyle name="Table 2 2 2 3" xfId="32291"/>
    <cellStyle name="Table 2 2 3" xfId="32292"/>
    <cellStyle name="Table 2 2 4" xfId="32293"/>
    <cellStyle name="Table 2 2 5" xfId="32294"/>
    <cellStyle name="Table 2 2 6" xfId="32295"/>
    <cellStyle name="Table 2 2 7" xfId="32296"/>
    <cellStyle name="Table 2 3" xfId="32297"/>
    <cellStyle name="Table 2 3 2" xfId="32298"/>
    <cellStyle name="Table 2 3 2 2" xfId="32299"/>
    <cellStyle name="Table 2 3 2 3" xfId="32300"/>
    <cellStyle name="Table 2 3 3" xfId="32301"/>
    <cellStyle name="Table 2 3 4" xfId="32302"/>
    <cellStyle name="Table 2 3 5" xfId="32303"/>
    <cellStyle name="Table 2 3 6" xfId="32304"/>
    <cellStyle name="Table 2 3 7" xfId="32305"/>
    <cellStyle name="Table 2 4" xfId="32306"/>
    <cellStyle name="Table 2 4 2" xfId="32307"/>
    <cellStyle name="Table 2 4 3" xfId="32308"/>
    <cellStyle name="Table 2 5" xfId="32309"/>
    <cellStyle name="Table 2 6" xfId="32310"/>
    <cellStyle name="Table 2 7" xfId="32311"/>
    <cellStyle name="Table 2 8" xfId="32312"/>
    <cellStyle name="Table 2 9" xfId="32313"/>
    <cellStyle name="Table 3" xfId="32314"/>
    <cellStyle name="Table 3 2" xfId="32315"/>
    <cellStyle name="Table 3 2 2" xfId="32316"/>
    <cellStyle name="Table 3 2 3" xfId="32317"/>
    <cellStyle name="Table 3 3" xfId="32318"/>
    <cellStyle name="Table 3 4" xfId="32319"/>
    <cellStyle name="Table 3 5" xfId="32320"/>
    <cellStyle name="Table 3 6" xfId="32321"/>
    <cellStyle name="Table 3 7" xfId="32322"/>
    <cellStyle name="Table 4" xfId="32323"/>
    <cellStyle name="Table 4 2" xfId="32324"/>
    <cellStyle name="Table 4 2 2" xfId="32325"/>
    <cellStyle name="Table 4 2 3" xfId="32326"/>
    <cellStyle name="Table 4 3" xfId="32327"/>
    <cellStyle name="Table 4 4" xfId="32328"/>
    <cellStyle name="Table 4 5" xfId="32329"/>
    <cellStyle name="Table 4 6" xfId="32330"/>
    <cellStyle name="Table 4 7" xfId="32331"/>
    <cellStyle name="Table 5" xfId="32332"/>
    <cellStyle name="Table 5 2" xfId="32333"/>
    <cellStyle name="Table 5 2 2" xfId="32334"/>
    <cellStyle name="Table 5 2 3" xfId="32335"/>
    <cellStyle name="Table 5 3" xfId="32336"/>
    <cellStyle name="Table 5 4" xfId="32337"/>
    <cellStyle name="Table 5 5" xfId="32338"/>
    <cellStyle name="Table 5 6" xfId="32339"/>
    <cellStyle name="Table 5 7" xfId="32340"/>
    <cellStyle name="Table 6" xfId="32341"/>
    <cellStyle name="Table 6 2" xfId="32342"/>
    <cellStyle name="Table 6 2 2" xfId="32343"/>
    <cellStyle name="Table 6 2 3" xfId="32344"/>
    <cellStyle name="Table 6 3" xfId="32345"/>
    <cellStyle name="Table 6 4" xfId="32346"/>
    <cellStyle name="Table 6 5" xfId="32347"/>
    <cellStyle name="Table 6 6" xfId="32348"/>
    <cellStyle name="Table 6 7" xfId="32349"/>
    <cellStyle name="Table 7" xfId="32350"/>
    <cellStyle name="Table 7 2" xfId="32351"/>
    <cellStyle name="Table 7 2 2" xfId="32352"/>
    <cellStyle name="Table 7 2 3" xfId="32353"/>
    <cellStyle name="Table 7 3" xfId="32354"/>
    <cellStyle name="Table 7 4" xfId="32355"/>
    <cellStyle name="Table 7 5" xfId="32356"/>
    <cellStyle name="Table 7 6" xfId="32357"/>
    <cellStyle name="Table 7 7" xfId="32358"/>
    <cellStyle name="Table 8" xfId="32359"/>
    <cellStyle name="Table 8 2" xfId="32360"/>
    <cellStyle name="Table 8 2 2" xfId="32361"/>
    <cellStyle name="Table 8 2 3" xfId="32362"/>
    <cellStyle name="Table 8 3" xfId="32363"/>
    <cellStyle name="Table 8 4" xfId="32364"/>
    <cellStyle name="Table 8 5" xfId="32365"/>
    <cellStyle name="Table 8 6" xfId="32366"/>
    <cellStyle name="Table 8 7" xfId="32367"/>
    <cellStyle name="Table 9" xfId="32368"/>
    <cellStyle name="Table 9 2" xfId="32369"/>
    <cellStyle name="Table 9 2 2" xfId="32370"/>
    <cellStyle name="Table 9 2 3" xfId="32371"/>
    <cellStyle name="Table 9 3" xfId="32372"/>
    <cellStyle name="Table 9 4" xfId="32373"/>
    <cellStyle name="Table 9 5" xfId="32374"/>
    <cellStyle name="Table 9 6" xfId="32375"/>
    <cellStyle name="Table 9 7" xfId="32376"/>
    <cellStyle name="Text Indent A" xfId="32377"/>
    <cellStyle name="Text Indent A 2" xfId="32378"/>
    <cellStyle name="Text Indent A 3" xfId="32379"/>
    <cellStyle name="Text Indent A 4" xfId="32380"/>
    <cellStyle name="Text Indent A 5" xfId="32381"/>
    <cellStyle name="Text Indent A 6" xfId="32382"/>
    <cellStyle name="Text Indent A 7" xfId="32383"/>
    <cellStyle name="Text Indent A 8" xfId="32384"/>
    <cellStyle name="Text Indent A 9" xfId="32385"/>
    <cellStyle name="Text Indent B" xfId="32386"/>
    <cellStyle name="Text Indent B 2" xfId="32387"/>
    <cellStyle name="Text Indent B 3" xfId="32388"/>
    <cellStyle name="Text Indent B 4" xfId="32389"/>
    <cellStyle name="Text Indent B 5" xfId="32390"/>
    <cellStyle name="Text Indent B 6" xfId="32391"/>
    <cellStyle name="Text Indent B 7" xfId="32392"/>
    <cellStyle name="Text Indent B 8" xfId="32393"/>
    <cellStyle name="Text Indent C" xfId="32394"/>
    <cellStyle name="Text Indent C 2" xfId="32395"/>
    <cellStyle name="Text Indent C 3" xfId="32396"/>
    <cellStyle name="Text Indent C 4" xfId="32397"/>
    <cellStyle name="Text Indent C 5" xfId="32398"/>
    <cellStyle name="Text Indent C 6" xfId="32399"/>
    <cellStyle name="Text Indent C 7" xfId="32400"/>
    <cellStyle name="Text Indent C 8" xfId="32401"/>
    <cellStyle name="Texte explicatif" xfId="32402"/>
    <cellStyle name="th" xfId="32403"/>
    <cellStyle name="th 2" xfId="32404"/>
    <cellStyle name="th 2 2" xfId="32405"/>
    <cellStyle name="th 3" xfId="32406"/>
    <cellStyle name="th 4" xfId="32407"/>
    <cellStyle name="th 5" xfId="32408"/>
    <cellStyle name="Thousands" xfId="32409"/>
    <cellStyle name="Thousands 2" xfId="32410"/>
    <cellStyle name="Tickmark" xfId="32411"/>
    <cellStyle name="Times New Roman" xfId="32412"/>
    <cellStyle name="Times New Roman 2" xfId="32413"/>
    <cellStyle name="Times New Roman 3" xfId="32414"/>
    <cellStyle name="Times New Roman 4" xfId="32415"/>
    <cellStyle name="Times New Roman 5" xfId="32416"/>
    <cellStyle name="Times New Roman 6" xfId="32417"/>
    <cellStyle name="Times New Roman 7" xfId="32418"/>
    <cellStyle name="Times New Roman 8" xfId="32419"/>
    <cellStyle name="Title 1" xfId="32420"/>
    <cellStyle name="Title 10 2" xfId="32421"/>
    <cellStyle name="Title 10 3" xfId="32422"/>
    <cellStyle name="Title 10 4" xfId="32423"/>
    <cellStyle name="Title 11 2" xfId="32424"/>
    <cellStyle name="Title 11 3" xfId="32425"/>
    <cellStyle name="Title 11 4" xfId="32426"/>
    <cellStyle name="Title 12 2" xfId="32427"/>
    <cellStyle name="Title 12 3" xfId="32428"/>
    <cellStyle name="Title 12 4" xfId="32429"/>
    <cellStyle name="Title 13 2" xfId="32430"/>
    <cellStyle name="Title 13 3" xfId="32431"/>
    <cellStyle name="Title 13 4" xfId="32432"/>
    <cellStyle name="Title 14 2" xfId="32433"/>
    <cellStyle name="Title 14 3" xfId="32434"/>
    <cellStyle name="Title 14 4" xfId="32435"/>
    <cellStyle name="Title 15 2" xfId="32436"/>
    <cellStyle name="Title 15 3" xfId="32437"/>
    <cellStyle name="Title 15 4" xfId="32438"/>
    <cellStyle name="Title 16 2" xfId="32439"/>
    <cellStyle name="Title 16 3" xfId="32440"/>
    <cellStyle name="Title 16 4" xfId="32441"/>
    <cellStyle name="Title 17 2" xfId="32442"/>
    <cellStyle name="Title 17 3" xfId="32443"/>
    <cellStyle name="Title 17 4" xfId="32444"/>
    <cellStyle name="Title 2" xfId="32445"/>
    <cellStyle name="Title 2 2" xfId="32446"/>
    <cellStyle name="Title 2 3" xfId="32447"/>
    <cellStyle name="Title 2 4" xfId="32448"/>
    <cellStyle name="Title 3" xfId="32449"/>
    <cellStyle name="Title 3 2" xfId="32450"/>
    <cellStyle name="Title 3 3" xfId="32451"/>
    <cellStyle name="Title 3 4" xfId="32452"/>
    <cellStyle name="Title 4" xfId="32453"/>
    <cellStyle name="Title 4 2" xfId="32454"/>
    <cellStyle name="Title 4 3" xfId="32455"/>
    <cellStyle name="Title 4 4" xfId="32456"/>
    <cellStyle name="Title 5" xfId="32457"/>
    <cellStyle name="Title 5 2" xfId="32458"/>
    <cellStyle name="Title 5 3" xfId="32459"/>
    <cellStyle name="Title 5 4" xfId="32460"/>
    <cellStyle name="Title 6" xfId="32461"/>
    <cellStyle name="Title 6 2" xfId="32462"/>
    <cellStyle name="Title 6 3" xfId="32463"/>
    <cellStyle name="Title 6 4" xfId="32464"/>
    <cellStyle name="Title 7 2" xfId="32465"/>
    <cellStyle name="Title 7 3" xfId="32466"/>
    <cellStyle name="Title 7 4" xfId="32467"/>
    <cellStyle name="Title 8 2" xfId="32468"/>
    <cellStyle name="Title 8 3" xfId="32469"/>
    <cellStyle name="Title 8 4" xfId="32470"/>
    <cellStyle name="Title 9 2" xfId="32471"/>
    <cellStyle name="Title 9 3" xfId="32472"/>
    <cellStyle name="Title 9 4" xfId="32473"/>
    <cellStyle name="Titre" xfId="32474"/>
    <cellStyle name="Titre 1" xfId="32475"/>
    <cellStyle name="Titre 2" xfId="32476"/>
    <cellStyle name="Titre 3" xfId="32477"/>
    <cellStyle name="Titre 4" xfId="32478"/>
    <cellStyle name="Total 1" xfId="32479"/>
    <cellStyle name="Total 1 10" xfId="32480"/>
    <cellStyle name="Total 1 11" xfId="32481"/>
    <cellStyle name="Total 1 12" xfId="32482"/>
    <cellStyle name="Total 1 13" xfId="32483"/>
    <cellStyle name="Total 1 14" xfId="32484"/>
    <cellStyle name="Total 1 15" xfId="32485"/>
    <cellStyle name="Total 1 16" xfId="32486"/>
    <cellStyle name="Total 1 2" xfId="32487"/>
    <cellStyle name="Total 1 2 2" xfId="32488"/>
    <cellStyle name="Total 1 2 3" xfId="32489"/>
    <cellStyle name="Total 1 2 4" xfId="32490"/>
    <cellStyle name="Total 1 3" xfId="32491"/>
    <cellStyle name="Total 1 4" xfId="32492"/>
    <cellStyle name="Total 1 5" xfId="32493"/>
    <cellStyle name="Total 1 6" xfId="32494"/>
    <cellStyle name="Total 1 7" xfId="32495"/>
    <cellStyle name="Total 1 8" xfId="32496"/>
    <cellStyle name="Total 1 9" xfId="32497"/>
    <cellStyle name="Total 10 2" xfId="32498"/>
    <cellStyle name="Total 10 2 10" xfId="32499"/>
    <cellStyle name="Total 10 2 11" xfId="32500"/>
    <cellStyle name="Total 10 2 12" xfId="32501"/>
    <cellStyle name="Total 10 2 13" xfId="32502"/>
    <cellStyle name="Total 10 2 14" xfId="32503"/>
    <cellStyle name="Total 10 2 15" xfId="32504"/>
    <cellStyle name="Total 10 2 16" xfId="32505"/>
    <cellStyle name="Total 10 2 2" xfId="32506"/>
    <cellStyle name="Total 10 2 2 2" xfId="32507"/>
    <cellStyle name="Total 10 2 2 3" xfId="32508"/>
    <cellStyle name="Total 10 2 2 4" xfId="32509"/>
    <cellStyle name="Total 10 2 3" xfId="32510"/>
    <cellStyle name="Total 10 2 4" xfId="32511"/>
    <cellStyle name="Total 10 2 5" xfId="32512"/>
    <cellStyle name="Total 10 2 6" xfId="32513"/>
    <cellStyle name="Total 10 2 7" xfId="32514"/>
    <cellStyle name="Total 10 2 8" xfId="32515"/>
    <cellStyle name="Total 10 2 9" xfId="32516"/>
    <cellStyle name="Total 10 3" xfId="32517"/>
    <cellStyle name="Total 10 3 10" xfId="32518"/>
    <cellStyle name="Total 10 3 11" xfId="32519"/>
    <cellStyle name="Total 10 3 12" xfId="32520"/>
    <cellStyle name="Total 10 3 13" xfId="32521"/>
    <cellStyle name="Total 10 3 14" xfId="32522"/>
    <cellStyle name="Total 10 3 15" xfId="32523"/>
    <cellStyle name="Total 10 3 16" xfId="32524"/>
    <cellStyle name="Total 10 3 2" xfId="32525"/>
    <cellStyle name="Total 10 3 2 2" xfId="32526"/>
    <cellStyle name="Total 10 3 2 3" xfId="32527"/>
    <cellStyle name="Total 10 3 2 4" xfId="32528"/>
    <cellStyle name="Total 10 3 3" xfId="32529"/>
    <cellStyle name="Total 10 3 4" xfId="32530"/>
    <cellStyle name="Total 10 3 5" xfId="32531"/>
    <cellStyle name="Total 10 3 6" xfId="32532"/>
    <cellStyle name="Total 10 3 7" xfId="32533"/>
    <cellStyle name="Total 10 3 8" xfId="32534"/>
    <cellStyle name="Total 10 3 9" xfId="32535"/>
    <cellStyle name="Total 10 4" xfId="32536"/>
    <cellStyle name="Total 10 4 10" xfId="32537"/>
    <cellStyle name="Total 10 4 11" xfId="32538"/>
    <cellStyle name="Total 10 4 12" xfId="32539"/>
    <cellStyle name="Total 10 4 13" xfId="32540"/>
    <cellStyle name="Total 10 4 14" xfId="32541"/>
    <cellStyle name="Total 10 4 15" xfId="32542"/>
    <cellStyle name="Total 10 4 16" xfId="32543"/>
    <cellStyle name="Total 10 4 2" xfId="32544"/>
    <cellStyle name="Total 10 4 2 2" xfId="32545"/>
    <cellStyle name="Total 10 4 2 3" xfId="32546"/>
    <cellStyle name="Total 10 4 2 4" xfId="32547"/>
    <cellStyle name="Total 10 4 3" xfId="32548"/>
    <cellStyle name="Total 10 4 4" xfId="32549"/>
    <cellStyle name="Total 10 4 5" xfId="32550"/>
    <cellStyle name="Total 10 4 6" xfId="32551"/>
    <cellStyle name="Total 10 4 7" xfId="32552"/>
    <cellStyle name="Total 10 4 8" xfId="32553"/>
    <cellStyle name="Total 10 4 9" xfId="32554"/>
    <cellStyle name="Total 11 2" xfId="32555"/>
    <cellStyle name="Total 11 2 10" xfId="32556"/>
    <cellStyle name="Total 11 2 11" xfId="32557"/>
    <cellStyle name="Total 11 2 12" xfId="32558"/>
    <cellStyle name="Total 11 2 13" xfId="32559"/>
    <cellStyle name="Total 11 2 14" xfId="32560"/>
    <cellStyle name="Total 11 2 15" xfId="32561"/>
    <cellStyle name="Total 11 2 16" xfId="32562"/>
    <cellStyle name="Total 11 2 2" xfId="32563"/>
    <cellStyle name="Total 11 2 2 2" xfId="32564"/>
    <cellStyle name="Total 11 2 2 3" xfId="32565"/>
    <cellStyle name="Total 11 2 2 4" xfId="32566"/>
    <cellStyle name="Total 11 2 3" xfId="32567"/>
    <cellStyle name="Total 11 2 4" xfId="32568"/>
    <cellStyle name="Total 11 2 5" xfId="32569"/>
    <cellStyle name="Total 11 2 6" xfId="32570"/>
    <cellStyle name="Total 11 2 7" xfId="32571"/>
    <cellStyle name="Total 11 2 8" xfId="32572"/>
    <cellStyle name="Total 11 2 9" xfId="32573"/>
    <cellStyle name="Total 11 3" xfId="32574"/>
    <cellStyle name="Total 11 3 10" xfId="32575"/>
    <cellStyle name="Total 11 3 11" xfId="32576"/>
    <cellStyle name="Total 11 3 12" xfId="32577"/>
    <cellStyle name="Total 11 3 13" xfId="32578"/>
    <cellStyle name="Total 11 3 14" xfId="32579"/>
    <cellStyle name="Total 11 3 15" xfId="32580"/>
    <cellStyle name="Total 11 3 16" xfId="32581"/>
    <cellStyle name="Total 11 3 2" xfId="32582"/>
    <cellStyle name="Total 11 3 2 2" xfId="32583"/>
    <cellStyle name="Total 11 3 2 3" xfId="32584"/>
    <cellStyle name="Total 11 3 2 4" xfId="32585"/>
    <cellStyle name="Total 11 3 3" xfId="32586"/>
    <cellStyle name="Total 11 3 4" xfId="32587"/>
    <cellStyle name="Total 11 3 5" xfId="32588"/>
    <cellStyle name="Total 11 3 6" xfId="32589"/>
    <cellStyle name="Total 11 3 7" xfId="32590"/>
    <cellStyle name="Total 11 3 8" xfId="32591"/>
    <cellStyle name="Total 11 3 9" xfId="32592"/>
    <cellStyle name="Total 11 4" xfId="32593"/>
    <cellStyle name="Total 11 4 10" xfId="32594"/>
    <cellStyle name="Total 11 4 11" xfId="32595"/>
    <cellStyle name="Total 11 4 12" xfId="32596"/>
    <cellStyle name="Total 11 4 13" xfId="32597"/>
    <cellStyle name="Total 11 4 14" xfId="32598"/>
    <cellStyle name="Total 11 4 15" xfId="32599"/>
    <cellStyle name="Total 11 4 16" xfId="32600"/>
    <cellStyle name="Total 11 4 2" xfId="32601"/>
    <cellStyle name="Total 11 4 2 2" xfId="32602"/>
    <cellStyle name="Total 11 4 2 3" xfId="32603"/>
    <cellStyle name="Total 11 4 2 4" xfId="32604"/>
    <cellStyle name="Total 11 4 3" xfId="32605"/>
    <cellStyle name="Total 11 4 4" xfId="32606"/>
    <cellStyle name="Total 11 4 5" xfId="32607"/>
    <cellStyle name="Total 11 4 6" xfId="32608"/>
    <cellStyle name="Total 11 4 7" xfId="32609"/>
    <cellStyle name="Total 11 4 8" xfId="32610"/>
    <cellStyle name="Total 11 4 9" xfId="32611"/>
    <cellStyle name="Total 12 2" xfId="32612"/>
    <cellStyle name="Total 12 2 10" xfId="32613"/>
    <cellStyle name="Total 12 2 11" xfId="32614"/>
    <cellStyle name="Total 12 2 12" xfId="32615"/>
    <cellStyle name="Total 12 2 13" xfId="32616"/>
    <cellStyle name="Total 12 2 14" xfId="32617"/>
    <cellStyle name="Total 12 2 15" xfId="32618"/>
    <cellStyle name="Total 12 2 16" xfId="32619"/>
    <cellStyle name="Total 12 2 2" xfId="32620"/>
    <cellStyle name="Total 12 2 2 2" xfId="32621"/>
    <cellStyle name="Total 12 2 2 3" xfId="32622"/>
    <cellStyle name="Total 12 2 2 4" xfId="32623"/>
    <cellStyle name="Total 12 2 3" xfId="32624"/>
    <cellStyle name="Total 12 2 4" xfId="32625"/>
    <cellStyle name="Total 12 2 5" xfId="32626"/>
    <cellStyle name="Total 12 2 6" xfId="32627"/>
    <cellStyle name="Total 12 2 7" xfId="32628"/>
    <cellStyle name="Total 12 2 8" xfId="32629"/>
    <cellStyle name="Total 12 2 9" xfId="32630"/>
    <cellStyle name="Total 12 3" xfId="32631"/>
    <cellStyle name="Total 12 3 10" xfId="32632"/>
    <cellStyle name="Total 12 3 11" xfId="32633"/>
    <cellStyle name="Total 12 3 12" xfId="32634"/>
    <cellStyle name="Total 12 3 13" xfId="32635"/>
    <cellStyle name="Total 12 3 14" xfId="32636"/>
    <cellStyle name="Total 12 3 15" xfId="32637"/>
    <cellStyle name="Total 12 3 16" xfId="32638"/>
    <cellStyle name="Total 12 3 2" xfId="32639"/>
    <cellStyle name="Total 12 3 2 2" xfId="32640"/>
    <cellStyle name="Total 12 3 2 3" xfId="32641"/>
    <cellStyle name="Total 12 3 2 4" xfId="32642"/>
    <cellStyle name="Total 12 3 3" xfId="32643"/>
    <cellStyle name="Total 12 3 4" xfId="32644"/>
    <cellStyle name="Total 12 3 5" xfId="32645"/>
    <cellStyle name="Total 12 3 6" xfId="32646"/>
    <cellStyle name="Total 12 3 7" xfId="32647"/>
    <cellStyle name="Total 12 3 8" xfId="32648"/>
    <cellStyle name="Total 12 3 9" xfId="32649"/>
    <cellStyle name="Total 12 4" xfId="32650"/>
    <cellStyle name="Total 12 4 10" xfId="32651"/>
    <cellStyle name="Total 12 4 11" xfId="32652"/>
    <cellStyle name="Total 12 4 12" xfId="32653"/>
    <cellStyle name="Total 12 4 13" xfId="32654"/>
    <cellStyle name="Total 12 4 14" xfId="32655"/>
    <cellStyle name="Total 12 4 15" xfId="32656"/>
    <cellStyle name="Total 12 4 16" xfId="32657"/>
    <cellStyle name="Total 12 4 2" xfId="32658"/>
    <cellStyle name="Total 12 4 2 2" xfId="32659"/>
    <cellStyle name="Total 12 4 2 3" xfId="32660"/>
    <cellStyle name="Total 12 4 2 4" xfId="32661"/>
    <cellStyle name="Total 12 4 3" xfId="32662"/>
    <cellStyle name="Total 12 4 4" xfId="32663"/>
    <cellStyle name="Total 12 4 5" xfId="32664"/>
    <cellStyle name="Total 12 4 6" xfId="32665"/>
    <cellStyle name="Total 12 4 7" xfId="32666"/>
    <cellStyle name="Total 12 4 8" xfId="32667"/>
    <cellStyle name="Total 12 4 9" xfId="32668"/>
    <cellStyle name="Total 13 2" xfId="32669"/>
    <cellStyle name="Total 13 2 10" xfId="32670"/>
    <cellStyle name="Total 13 2 11" xfId="32671"/>
    <cellStyle name="Total 13 2 12" xfId="32672"/>
    <cellStyle name="Total 13 2 13" xfId="32673"/>
    <cellStyle name="Total 13 2 14" xfId="32674"/>
    <cellStyle name="Total 13 2 15" xfId="32675"/>
    <cellStyle name="Total 13 2 16" xfId="32676"/>
    <cellStyle name="Total 13 2 2" xfId="32677"/>
    <cellStyle name="Total 13 2 2 2" xfId="32678"/>
    <cellStyle name="Total 13 2 2 3" xfId="32679"/>
    <cellStyle name="Total 13 2 2 4" xfId="32680"/>
    <cellStyle name="Total 13 2 3" xfId="32681"/>
    <cellStyle name="Total 13 2 4" xfId="32682"/>
    <cellStyle name="Total 13 2 5" xfId="32683"/>
    <cellStyle name="Total 13 2 6" xfId="32684"/>
    <cellStyle name="Total 13 2 7" xfId="32685"/>
    <cellStyle name="Total 13 2 8" xfId="32686"/>
    <cellStyle name="Total 13 2 9" xfId="32687"/>
    <cellStyle name="Total 13 3" xfId="32688"/>
    <cellStyle name="Total 13 3 10" xfId="32689"/>
    <cellStyle name="Total 13 3 11" xfId="32690"/>
    <cellStyle name="Total 13 3 12" xfId="32691"/>
    <cellStyle name="Total 13 3 13" xfId="32692"/>
    <cellStyle name="Total 13 3 14" xfId="32693"/>
    <cellStyle name="Total 13 3 15" xfId="32694"/>
    <cellStyle name="Total 13 3 16" xfId="32695"/>
    <cellStyle name="Total 13 3 2" xfId="32696"/>
    <cellStyle name="Total 13 3 2 2" xfId="32697"/>
    <cellStyle name="Total 13 3 2 3" xfId="32698"/>
    <cellStyle name="Total 13 3 2 4" xfId="32699"/>
    <cellStyle name="Total 13 3 3" xfId="32700"/>
    <cellStyle name="Total 13 3 4" xfId="32701"/>
    <cellStyle name="Total 13 3 5" xfId="32702"/>
    <cellStyle name="Total 13 3 6" xfId="32703"/>
    <cellStyle name="Total 13 3 7" xfId="32704"/>
    <cellStyle name="Total 13 3 8" xfId="32705"/>
    <cellStyle name="Total 13 3 9" xfId="32706"/>
    <cellStyle name="Total 13 4" xfId="32707"/>
    <cellStyle name="Total 13 4 10" xfId="32708"/>
    <cellStyle name="Total 13 4 11" xfId="32709"/>
    <cellStyle name="Total 13 4 12" xfId="32710"/>
    <cellStyle name="Total 13 4 13" xfId="32711"/>
    <cellStyle name="Total 13 4 14" xfId="32712"/>
    <cellStyle name="Total 13 4 15" xfId="32713"/>
    <cellStyle name="Total 13 4 16" xfId="32714"/>
    <cellStyle name="Total 13 4 2" xfId="32715"/>
    <cellStyle name="Total 13 4 2 2" xfId="32716"/>
    <cellStyle name="Total 13 4 2 3" xfId="32717"/>
    <cellStyle name="Total 13 4 2 4" xfId="32718"/>
    <cellStyle name="Total 13 4 3" xfId="32719"/>
    <cellStyle name="Total 13 4 4" xfId="32720"/>
    <cellStyle name="Total 13 4 5" xfId="32721"/>
    <cellStyle name="Total 13 4 6" xfId="32722"/>
    <cellStyle name="Total 13 4 7" xfId="32723"/>
    <cellStyle name="Total 13 4 8" xfId="32724"/>
    <cellStyle name="Total 13 4 9" xfId="32725"/>
    <cellStyle name="Total 14 2" xfId="32726"/>
    <cellStyle name="Total 14 2 10" xfId="32727"/>
    <cellStyle name="Total 14 2 11" xfId="32728"/>
    <cellStyle name="Total 14 2 12" xfId="32729"/>
    <cellStyle name="Total 14 2 13" xfId="32730"/>
    <cellStyle name="Total 14 2 14" xfId="32731"/>
    <cellStyle name="Total 14 2 15" xfId="32732"/>
    <cellStyle name="Total 14 2 16" xfId="32733"/>
    <cellStyle name="Total 14 2 2" xfId="32734"/>
    <cellStyle name="Total 14 2 2 2" xfId="32735"/>
    <cellStyle name="Total 14 2 2 3" xfId="32736"/>
    <cellStyle name="Total 14 2 2 4" xfId="32737"/>
    <cellStyle name="Total 14 2 3" xfId="32738"/>
    <cellStyle name="Total 14 2 4" xfId="32739"/>
    <cellStyle name="Total 14 2 5" xfId="32740"/>
    <cellStyle name="Total 14 2 6" xfId="32741"/>
    <cellStyle name="Total 14 2 7" xfId="32742"/>
    <cellStyle name="Total 14 2 8" xfId="32743"/>
    <cellStyle name="Total 14 2 9" xfId="32744"/>
    <cellStyle name="Total 14 3" xfId="32745"/>
    <cellStyle name="Total 14 3 10" xfId="32746"/>
    <cellStyle name="Total 14 3 11" xfId="32747"/>
    <cellStyle name="Total 14 3 12" xfId="32748"/>
    <cellStyle name="Total 14 3 13" xfId="32749"/>
    <cellStyle name="Total 14 3 14" xfId="32750"/>
    <cellStyle name="Total 14 3 15" xfId="32751"/>
    <cellStyle name="Total 14 3 16" xfId="32752"/>
    <cellStyle name="Total 14 3 2" xfId="32753"/>
    <cellStyle name="Total 14 3 2 2" xfId="32754"/>
    <cellStyle name="Total 14 3 2 3" xfId="32755"/>
    <cellStyle name="Total 14 3 2 4" xfId="32756"/>
    <cellStyle name="Total 14 3 3" xfId="32757"/>
    <cellStyle name="Total 14 3 4" xfId="32758"/>
    <cellStyle name="Total 14 3 5" xfId="32759"/>
    <cellStyle name="Total 14 3 6" xfId="32760"/>
    <cellStyle name="Total 14 3 7" xfId="32761"/>
    <cellStyle name="Total 14 3 8" xfId="32762"/>
    <cellStyle name="Total 14 3 9" xfId="32763"/>
    <cellStyle name="Total 14 4" xfId="32764"/>
    <cellStyle name="Total 14 4 10" xfId="32765"/>
    <cellStyle name="Total 14 4 11" xfId="32766"/>
    <cellStyle name="Total 14 4 12" xfId="32767"/>
    <cellStyle name="Total 14 4 13" xfId="32768"/>
    <cellStyle name="Total 14 4 14" xfId="32769"/>
    <cellStyle name="Total 14 4 15" xfId="32770"/>
    <cellStyle name="Total 14 4 16" xfId="32771"/>
    <cellStyle name="Total 14 4 2" xfId="32772"/>
    <cellStyle name="Total 14 4 2 2" xfId="32773"/>
    <cellStyle name="Total 14 4 2 3" xfId="32774"/>
    <cellStyle name="Total 14 4 2 4" xfId="32775"/>
    <cellStyle name="Total 14 4 3" xfId="32776"/>
    <cellStyle name="Total 14 4 4" xfId="32777"/>
    <cellStyle name="Total 14 4 5" xfId="32778"/>
    <cellStyle name="Total 14 4 6" xfId="32779"/>
    <cellStyle name="Total 14 4 7" xfId="32780"/>
    <cellStyle name="Total 14 4 8" xfId="32781"/>
    <cellStyle name="Total 14 4 9" xfId="32782"/>
    <cellStyle name="Total 15 2" xfId="32783"/>
    <cellStyle name="Total 15 2 10" xfId="32784"/>
    <cellStyle name="Total 15 2 11" xfId="32785"/>
    <cellStyle name="Total 15 2 12" xfId="32786"/>
    <cellStyle name="Total 15 2 13" xfId="32787"/>
    <cellStyle name="Total 15 2 14" xfId="32788"/>
    <cellStyle name="Total 15 2 15" xfId="32789"/>
    <cellStyle name="Total 15 2 16" xfId="32790"/>
    <cellStyle name="Total 15 2 2" xfId="32791"/>
    <cellStyle name="Total 15 2 2 2" xfId="32792"/>
    <cellStyle name="Total 15 2 2 3" xfId="32793"/>
    <cellStyle name="Total 15 2 2 4" xfId="32794"/>
    <cellStyle name="Total 15 2 3" xfId="32795"/>
    <cellStyle name="Total 15 2 4" xfId="32796"/>
    <cellStyle name="Total 15 2 5" xfId="32797"/>
    <cellStyle name="Total 15 2 6" xfId="32798"/>
    <cellStyle name="Total 15 2 7" xfId="32799"/>
    <cellStyle name="Total 15 2 8" xfId="32800"/>
    <cellStyle name="Total 15 2 9" xfId="32801"/>
    <cellStyle name="Total 15 3" xfId="32802"/>
    <cellStyle name="Total 15 3 10" xfId="32803"/>
    <cellStyle name="Total 15 3 11" xfId="32804"/>
    <cellStyle name="Total 15 3 12" xfId="32805"/>
    <cellStyle name="Total 15 3 13" xfId="32806"/>
    <cellStyle name="Total 15 3 14" xfId="32807"/>
    <cellStyle name="Total 15 3 15" xfId="32808"/>
    <cellStyle name="Total 15 3 16" xfId="32809"/>
    <cellStyle name="Total 15 3 2" xfId="32810"/>
    <cellStyle name="Total 15 3 2 2" xfId="32811"/>
    <cellStyle name="Total 15 3 2 3" xfId="32812"/>
    <cellStyle name="Total 15 3 2 4" xfId="32813"/>
    <cellStyle name="Total 15 3 3" xfId="32814"/>
    <cellStyle name="Total 15 3 4" xfId="32815"/>
    <cellStyle name="Total 15 3 5" xfId="32816"/>
    <cellStyle name="Total 15 3 6" xfId="32817"/>
    <cellStyle name="Total 15 3 7" xfId="32818"/>
    <cellStyle name="Total 15 3 8" xfId="32819"/>
    <cellStyle name="Total 15 3 9" xfId="32820"/>
    <cellStyle name="Total 15 4" xfId="32821"/>
    <cellStyle name="Total 15 4 10" xfId="32822"/>
    <cellStyle name="Total 15 4 11" xfId="32823"/>
    <cellStyle name="Total 15 4 12" xfId="32824"/>
    <cellStyle name="Total 15 4 13" xfId="32825"/>
    <cellStyle name="Total 15 4 14" xfId="32826"/>
    <cellStyle name="Total 15 4 15" xfId="32827"/>
    <cellStyle name="Total 15 4 16" xfId="32828"/>
    <cellStyle name="Total 15 4 2" xfId="32829"/>
    <cellStyle name="Total 15 4 2 2" xfId="32830"/>
    <cellStyle name="Total 15 4 2 3" xfId="32831"/>
    <cellStyle name="Total 15 4 2 4" xfId="32832"/>
    <cellStyle name="Total 15 4 3" xfId="32833"/>
    <cellStyle name="Total 15 4 4" xfId="32834"/>
    <cellStyle name="Total 15 4 5" xfId="32835"/>
    <cellStyle name="Total 15 4 6" xfId="32836"/>
    <cellStyle name="Total 15 4 7" xfId="32837"/>
    <cellStyle name="Total 15 4 8" xfId="32838"/>
    <cellStyle name="Total 15 4 9" xfId="32839"/>
    <cellStyle name="Total 16 2" xfId="32840"/>
    <cellStyle name="Total 16 2 10" xfId="32841"/>
    <cellStyle name="Total 16 2 11" xfId="32842"/>
    <cellStyle name="Total 16 2 12" xfId="32843"/>
    <cellStyle name="Total 16 2 13" xfId="32844"/>
    <cellStyle name="Total 16 2 14" xfId="32845"/>
    <cellStyle name="Total 16 2 15" xfId="32846"/>
    <cellStyle name="Total 16 2 16" xfId="32847"/>
    <cellStyle name="Total 16 2 2" xfId="32848"/>
    <cellStyle name="Total 16 2 2 2" xfId="32849"/>
    <cellStyle name="Total 16 2 2 3" xfId="32850"/>
    <cellStyle name="Total 16 2 2 4" xfId="32851"/>
    <cellStyle name="Total 16 2 3" xfId="32852"/>
    <cellStyle name="Total 16 2 4" xfId="32853"/>
    <cellStyle name="Total 16 2 5" xfId="32854"/>
    <cellStyle name="Total 16 2 6" xfId="32855"/>
    <cellStyle name="Total 16 2 7" xfId="32856"/>
    <cellStyle name="Total 16 2 8" xfId="32857"/>
    <cellStyle name="Total 16 2 9" xfId="32858"/>
    <cellStyle name="Total 16 3" xfId="32859"/>
    <cellStyle name="Total 16 3 10" xfId="32860"/>
    <cellStyle name="Total 16 3 11" xfId="32861"/>
    <cellStyle name="Total 16 3 12" xfId="32862"/>
    <cellStyle name="Total 16 3 13" xfId="32863"/>
    <cellStyle name="Total 16 3 14" xfId="32864"/>
    <cellStyle name="Total 16 3 15" xfId="32865"/>
    <cellStyle name="Total 16 3 16" xfId="32866"/>
    <cellStyle name="Total 16 3 2" xfId="32867"/>
    <cellStyle name="Total 16 3 2 2" xfId="32868"/>
    <cellStyle name="Total 16 3 2 3" xfId="32869"/>
    <cellStyle name="Total 16 3 2 4" xfId="32870"/>
    <cellStyle name="Total 16 3 3" xfId="32871"/>
    <cellStyle name="Total 16 3 4" xfId="32872"/>
    <cellStyle name="Total 16 3 5" xfId="32873"/>
    <cellStyle name="Total 16 3 6" xfId="32874"/>
    <cellStyle name="Total 16 3 7" xfId="32875"/>
    <cellStyle name="Total 16 3 8" xfId="32876"/>
    <cellStyle name="Total 16 3 9" xfId="32877"/>
    <cellStyle name="Total 16 4" xfId="32878"/>
    <cellStyle name="Total 16 4 10" xfId="32879"/>
    <cellStyle name="Total 16 4 11" xfId="32880"/>
    <cellStyle name="Total 16 4 12" xfId="32881"/>
    <cellStyle name="Total 16 4 13" xfId="32882"/>
    <cellStyle name="Total 16 4 14" xfId="32883"/>
    <cellStyle name="Total 16 4 15" xfId="32884"/>
    <cellStyle name="Total 16 4 16" xfId="32885"/>
    <cellStyle name="Total 16 4 2" xfId="32886"/>
    <cellStyle name="Total 16 4 2 2" xfId="32887"/>
    <cellStyle name="Total 16 4 2 3" xfId="32888"/>
    <cellStyle name="Total 16 4 2 4" xfId="32889"/>
    <cellStyle name="Total 16 4 3" xfId="32890"/>
    <cellStyle name="Total 16 4 4" xfId="32891"/>
    <cellStyle name="Total 16 4 5" xfId="32892"/>
    <cellStyle name="Total 16 4 6" xfId="32893"/>
    <cellStyle name="Total 16 4 7" xfId="32894"/>
    <cellStyle name="Total 16 4 8" xfId="32895"/>
    <cellStyle name="Total 16 4 9" xfId="32896"/>
    <cellStyle name="Total 17 2" xfId="32897"/>
    <cellStyle name="Total 17 2 10" xfId="32898"/>
    <cellStyle name="Total 17 2 11" xfId="32899"/>
    <cellStyle name="Total 17 2 12" xfId="32900"/>
    <cellStyle name="Total 17 2 13" xfId="32901"/>
    <cellStyle name="Total 17 2 14" xfId="32902"/>
    <cellStyle name="Total 17 2 15" xfId="32903"/>
    <cellStyle name="Total 17 2 16" xfId="32904"/>
    <cellStyle name="Total 17 2 2" xfId="32905"/>
    <cellStyle name="Total 17 2 2 2" xfId="32906"/>
    <cellStyle name="Total 17 2 2 3" xfId="32907"/>
    <cellStyle name="Total 17 2 2 4" xfId="32908"/>
    <cellStyle name="Total 17 2 3" xfId="32909"/>
    <cellStyle name="Total 17 2 4" xfId="32910"/>
    <cellStyle name="Total 17 2 5" xfId="32911"/>
    <cellStyle name="Total 17 2 6" xfId="32912"/>
    <cellStyle name="Total 17 2 7" xfId="32913"/>
    <cellStyle name="Total 17 2 8" xfId="32914"/>
    <cellStyle name="Total 17 2 9" xfId="32915"/>
    <cellStyle name="Total 17 3" xfId="32916"/>
    <cellStyle name="Total 17 3 10" xfId="32917"/>
    <cellStyle name="Total 17 3 11" xfId="32918"/>
    <cellStyle name="Total 17 3 12" xfId="32919"/>
    <cellStyle name="Total 17 3 13" xfId="32920"/>
    <cellStyle name="Total 17 3 14" xfId="32921"/>
    <cellStyle name="Total 17 3 15" xfId="32922"/>
    <cellStyle name="Total 17 3 16" xfId="32923"/>
    <cellStyle name="Total 17 3 2" xfId="32924"/>
    <cellStyle name="Total 17 3 2 2" xfId="32925"/>
    <cellStyle name="Total 17 3 2 3" xfId="32926"/>
    <cellStyle name="Total 17 3 2 4" xfId="32927"/>
    <cellStyle name="Total 17 3 3" xfId="32928"/>
    <cellStyle name="Total 17 3 4" xfId="32929"/>
    <cellStyle name="Total 17 3 5" xfId="32930"/>
    <cellStyle name="Total 17 3 6" xfId="32931"/>
    <cellStyle name="Total 17 3 7" xfId="32932"/>
    <cellStyle name="Total 17 3 8" xfId="32933"/>
    <cellStyle name="Total 17 3 9" xfId="32934"/>
    <cellStyle name="Total 17 4" xfId="32935"/>
    <cellStyle name="Total 17 4 10" xfId="32936"/>
    <cellStyle name="Total 17 4 11" xfId="32937"/>
    <cellStyle name="Total 17 4 12" xfId="32938"/>
    <cellStyle name="Total 17 4 13" xfId="32939"/>
    <cellStyle name="Total 17 4 14" xfId="32940"/>
    <cellStyle name="Total 17 4 15" xfId="32941"/>
    <cellStyle name="Total 17 4 16" xfId="32942"/>
    <cellStyle name="Total 17 4 2" xfId="32943"/>
    <cellStyle name="Total 17 4 2 2" xfId="32944"/>
    <cellStyle name="Total 17 4 2 3" xfId="32945"/>
    <cellStyle name="Total 17 4 2 4" xfId="32946"/>
    <cellStyle name="Total 17 4 3" xfId="32947"/>
    <cellStyle name="Total 17 4 4" xfId="32948"/>
    <cellStyle name="Total 17 4 5" xfId="32949"/>
    <cellStyle name="Total 17 4 6" xfId="32950"/>
    <cellStyle name="Total 17 4 7" xfId="32951"/>
    <cellStyle name="Total 17 4 8" xfId="32952"/>
    <cellStyle name="Total 17 4 9" xfId="32953"/>
    <cellStyle name="Total 2" xfId="32954"/>
    <cellStyle name="Total 2 10" xfId="32955"/>
    <cellStyle name="Total 2 11" xfId="32956"/>
    <cellStyle name="Total 2 12" xfId="32957"/>
    <cellStyle name="Total 2 13" xfId="32958"/>
    <cellStyle name="Total 2 14" xfId="32959"/>
    <cellStyle name="Total 2 15" xfId="32960"/>
    <cellStyle name="Total 2 16" xfId="32961"/>
    <cellStyle name="Total 2 17" xfId="32962"/>
    <cellStyle name="Total 2 18" xfId="32963"/>
    <cellStyle name="Total 2 19" xfId="32964"/>
    <cellStyle name="Total 2 2" xfId="32965"/>
    <cellStyle name="Total 2 2 10" xfId="32966"/>
    <cellStyle name="Total 2 2 11" xfId="32967"/>
    <cellStyle name="Total 2 2 12" xfId="32968"/>
    <cellStyle name="Total 2 2 13" xfId="32969"/>
    <cellStyle name="Total 2 2 14" xfId="32970"/>
    <cellStyle name="Total 2 2 15" xfId="32971"/>
    <cellStyle name="Total 2 2 16" xfId="32972"/>
    <cellStyle name="Total 2 2 2" xfId="32973"/>
    <cellStyle name="Total 2 2 2 2" xfId="32974"/>
    <cellStyle name="Total 2 2 2 3" xfId="32975"/>
    <cellStyle name="Total 2 2 2 4" xfId="32976"/>
    <cellStyle name="Total 2 2 3" xfId="32977"/>
    <cellStyle name="Total 2 2 4" xfId="32978"/>
    <cellStyle name="Total 2 2 5" xfId="32979"/>
    <cellStyle name="Total 2 2 6" xfId="32980"/>
    <cellStyle name="Total 2 2 7" xfId="32981"/>
    <cellStyle name="Total 2 2 8" xfId="32982"/>
    <cellStyle name="Total 2 2 9" xfId="32983"/>
    <cellStyle name="Total 2 3" xfId="32984"/>
    <cellStyle name="Total 2 3 10" xfId="32985"/>
    <cellStyle name="Total 2 3 11" xfId="32986"/>
    <cellStyle name="Total 2 3 12" xfId="32987"/>
    <cellStyle name="Total 2 3 13" xfId="32988"/>
    <cellStyle name="Total 2 3 14" xfId="32989"/>
    <cellStyle name="Total 2 3 15" xfId="32990"/>
    <cellStyle name="Total 2 3 16" xfId="32991"/>
    <cellStyle name="Total 2 3 2" xfId="32992"/>
    <cellStyle name="Total 2 3 2 2" xfId="32993"/>
    <cellStyle name="Total 2 3 2 3" xfId="32994"/>
    <cellStyle name="Total 2 3 2 4" xfId="32995"/>
    <cellStyle name="Total 2 3 3" xfId="32996"/>
    <cellStyle name="Total 2 3 4" xfId="32997"/>
    <cellStyle name="Total 2 3 5" xfId="32998"/>
    <cellStyle name="Total 2 3 6" xfId="32999"/>
    <cellStyle name="Total 2 3 7" xfId="33000"/>
    <cellStyle name="Total 2 3 8" xfId="33001"/>
    <cellStyle name="Total 2 3 9" xfId="33002"/>
    <cellStyle name="Total 2 4" xfId="33003"/>
    <cellStyle name="Total 2 4 10" xfId="33004"/>
    <cellStyle name="Total 2 4 11" xfId="33005"/>
    <cellStyle name="Total 2 4 12" xfId="33006"/>
    <cellStyle name="Total 2 4 13" xfId="33007"/>
    <cellStyle name="Total 2 4 14" xfId="33008"/>
    <cellStyle name="Total 2 4 15" xfId="33009"/>
    <cellStyle name="Total 2 4 16" xfId="33010"/>
    <cellStyle name="Total 2 4 2" xfId="33011"/>
    <cellStyle name="Total 2 4 2 2" xfId="33012"/>
    <cellStyle name="Total 2 4 2 3" xfId="33013"/>
    <cellStyle name="Total 2 4 2 4" xfId="33014"/>
    <cellStyle name="Total 2 4 3" xfId="33015"/>
    <cellStyle name="Total 2 4 4" xfId="33016"/>
    <cellStyle name="Total 2 4 5" xfId="33017"/>
    <cellStyle name="Total 2 4 6" xfId="33018"/>
    <cellStyle name="Total 2 4 7" xfId="33019"/>
    <cellStyle name="Total 2 4 8" xfId="33020"/>
    <cellStyle name="Total 2 4 9" xfId="33021"/>
    <cellStyle name="Total 2 5" xfId="33022"/>
    <cellStyle name="Total 2 5 2" xfId="33023"/>
    <cellStyle name="Total 2 5 3" xfId="33024"/>
    <cellStyle name="Total 2 5 4" xfId="33025"/>
    <cellStyle name="Total 2 6" xfId="33026"/>
    <cellStyle name="Total 2 7" xfId="33027"/>
    <cellStyle name="Total 2 8" xfId="33028"/>
    <cellStyle name="Total 2 9" xfId="33029"/>
    <cellStyle name="Total 3" xfId="33030"/>
    <cellStyle name="Total 3 2" xfId="33031"/>
    <cellStyle name="Total 3 2 10" xfId="33032"/>
    <cellStyle name="Total 3 2 11" xfId="33033"/>
    <cellStyle name="Total 3 2 12" xfId="33034"/>
    <cellStyle name="Total 3 2 13" xfId="33035"/>
    <cellStyle name="Total 3 2 14" xfId="33036"/>
    <cellStyle name="Total 3 2 15" xfId="33037"/>
    <cellStyle name="Total 3 2 16" xfId="33038"/>
    <cellStyle name="Total 3 2 2" xfId="33039"/>
    <cellStyle name="Total 3 2 2 2" xfId="33040"/>
    <cellStyle name="Total 3 2 2 3" xfId="33041"/>
    <cellStyle name="Total 3 2 2 4" xfId="33042"/>
    <cellStyle name="Total 3 2 3" xfId="33043"/>
    <cellStyle name="Total 3 2 4" xfId="33044"/>
    <cellStyle name="Total 3 2 5" xfId="33045"/>
    <cellStyle name="Total 3 2 6" xfId="33046"/>
    <cellStyle name="Total 3 2 7" xfId="33047"/>
    <cellStyle name="Total 3 2 8" xfId="33048"/>
    <cellStyle name="Total 3 2 9" xfId="33049"/>
    <cellStyle name="Total 3 3" xfId="33050"/>
    <cellStyle name="Total 3 3 10" xfId="33051"/>
    <cellStyle name="Total 3 3 11" xfId="33052"/>
    <cellStyle name="Total 3 3 12" xfId="33053"/>
    <cellStyle name="Total 3 3 13" xfId="33054"/>
    <cellStyle name="Total 3 3 14" xfId="33055"/>
    <cellStyle name="Total 3 3 15" xfId="33056"/>
    <cellStyle name="Total 3 3 16" xfId="33057"/>
    <cellStyle name="Total 3 3 2" xfId="33058"/>
    <cellStyle name="Total 3 3 2 2" xfId="33059"/>
    <cellStyle name="Total 3 3 2 3" xfId="33060"/>
    <cellStyle name="Total 3 3 2 4" xfId="33061"/>
    <cellStyle name="Total 3 3 3" xfId="33062"/>
    <cellStyle name="Total 3 3 4" xfId="33063"/>
    <cellStyle name="Total 3 3 5" xfId="33064"/>
    <cellStyle name="Total 3 3 6" xfId="33065"/>
    <cellStyle name="Total 3 3 7" xfId="33066"/>
    <cellStyle name="Total 3 3 8" xfId="33067"/>
    <cellStyle name="Total 3 3 9" xfId="33068"/>
    <cellStyle name="Total 3 4" xfId="33069"/>
    <cellStyle name="Total 3 4 10" xfId="33070"/>
    <cellStyle name="Total 3 4 11" xfId="33071"/>
    <cellStyle name="Total 3 4 12" xfId="33072"/>
    <cellStyle name="Total 3 4 13" xfId="33073"/>
    <cellStyle name="Total 3 4 14" xfId="33074"/>
    <cellStyle name="Total 3 4 15" xfId="33075"/>
    <cellStyle name="Total 3 4 16" xfId="33076"/>
    <cellStyle name="Total 3 4 2" xfId="33077"/>
    <cellStyle name="Total 3 4 2 2" xfId="33078"/>
    <cellStyle name="Total 3 4 2 3" xfId="33079"/>
    <cellStyle name="Total 3 4 2 4" xfId="33080"/>
    <cellStyle name="Total 3 4 3" xfId="33081"/>
    <cellStyle name="Total 3 4 4" xfId="33082"/>
    <cellStyle name="Total 3 4 5" xfId="33083"/>
    <cellStyle name="Total 3 4 6" xfId="33084"/>
    <cellStyle name="Total 3 4 7" xfId="33085"/>
    <cellStyle name="Total 3 4 8" xfId="33086"/>
    <cellStyle name="Total 3 4 9" xfId="33087"/>
    <cellStyle name="Total 4" xfId="33088"/>
    <cellStyle name="Total 4 10" xfId="33089"/>
    <cellStyle name="Total 4 11" xfId="33090"/>
    <cellStyle name="Total 4 12" xfId="33091"/>
    <cellStyle name="Total 4 13" xfId="33092"/>
    <cellStyle name="Total 4 14" xfId="33093"/>
    <cellStyle name="Total 4 15" xfId="33094"/>
    <cellStyle name="Total 4 16" xfId="33095"/>
    <cellStyle name="Total 4 17" xfId="33096"/>
    <cellStyle name="Total 4 18" xfId="33097"/>
    <cellStyle name="Total 4 19" xfId="33098"/>
    <cellStyle name="Total 4 2" xfId="33099"/>
    <cellStyle name="Total 4 2 10" xfId="33100"/>
    <cellStyle name="Total 4 2 11" xfId="33101"/>
    <cellStyle name="Total 4 2 12" xfId="33102"/>
    <cellStyle name="Total 4 2 13" xfId="33103"/>
    <cellStyle name="Total 4 2 14" xfId="33104"/>
    <cellStyle name="Total 4 2 15" xfId="33105"/>
    <cellStyle name="Total 4 2 16" xfId="33106"/>
    <cellStyle name="Total 4 2 2" xfId="33107"/>
    <cellStyle name="Total 4 2 2 2" xfId="33108"/>
    <cellStyle name="Total 4 2 2 3" xfId="33109"/>
    <cellStyle name="Total 4 2 2 4" xfId="33110"/>
    <cellStyle name="Total 4 2 3" xfId="33111"/>
    <cellStyle name="Total 4 2 4" xfId="33112"/>
    <cellStyle name="Total 4 2 5" xfId="33113"/>
    <cellStyle name="Total 4 2 6" xfId="33114"/>
    <cellStyle name="Total 4 2 7" xfId="33115"/>
    <cellStyle name="Total 4 2 8" xfId="33116"/>
    <cellStyle name="Total 4 2 9" xfId="33117"/>
    <cellStyle name="Total 4 3" xfId="33118"/>
    <cellStyle name="Total 4 3 10" xfId="33119"/>
    <cellStyle name="Total 4 3 11" xfId="33120"/>
    <cellStyle name="Total 4 3 12" xfId="33121"/>
    <cellStyle name="Total 4 3 13" xfId="33122"/>
    <cellStyle name="Total 4 3 14" xfId="33123"/>
    <cellStyle name="Total 4 3 15" xfId="33124"/>
    <cellStyle name="Total 4 3 16" xfId="33125"/>
    <cellStyle name="Total 4 3 2" xfId="33126"/>
    <cellStyle name="Total 4 3 2 2" xfId="33127"/>
    <cellStyle name="Total 4 3 2 3" xfId="33128"/>
    <cellStyle name="Total 4 3 2 4" xfId="33129"/>
    <cellStyle name="Total 4 3 3" xfId="33130"/>
    <cellStyle name="Total 4 3 4" xfId="33131"/>
    <cellStyle name="Total 4 3 5" xfId="33132"/>
    <cellStyle name="Total 4 3 6" xfId="33133"/>
    <cellStyle name="Total 4 3 7" xfId="33134"/>
    <cellStyle name="Total 4 3 8" xfId="33135"/>
    <cellStyle name="Total 4 3 9" xfId="33136"/>
    <cellStyle name="Total 4 4" xfId="33137"/>
    <cellStyle name="Total 4 4 10" xfId="33138"/>
    <cellStyle name="Total 4 4 11" xfId="33139"/>
    <cellStyle name="Total 4 4 12" xfId="33140"/>
    <cellStyle name="Total 4 4 13" xfId="33141"/>
    <cellStyle name="Total 4 4 14" xfId="33142"/>
    <cellStyle name="Total 4 4 15" xfId="33143"/>
    <cellStyle name="Total 4 4 16" xfId="33144"/>
    <cellStyle name="Total 4 4 2" xfId="33145"/>
    <cellStyle name="Total 4 4 2 2" xfId="33146"/>
    <cellStyle name="Total 4 4 2 3" xfId="33147"/>
    <cellStyle name="Total 4 4 2 4" xfId="33148"/>
    <cellStyle name="Total 4 4 3" xfId="33149"/>
    <cellStyle name="Total 4 4 4" xfId="33150"/>
    <cellStyle name="Total 4 4 5" xfId="33151"/>
    <cellStyle name="Total 4 4 6" xfId="33152"/>
    <cellStyle name="Total 4 4 7" xfId="33153"/>
    <cellStyle name="Total 4 4 8" xfId="33154"/>
    <cellStyle name="Total 4 4 9" xfId="33155"/>
    <cellStyle name="Total 4 5" xfId="33156"/>
    <cellStyle name="Total 4 5 2" xfId="33157"/>
    <cellStyle name="Total 4 5 3" xfId="33158"/>
    <cellStyle name="Total 4 5 4" xfId="33159"/>
    <cellStyle name="Total 4 6" xfId="33160"/>
    <cellStyle name="Total 4 7" xfId="33161"/>
    <cellStyle name="Total 4 8" xfId="33162"/>
    <cellStyle name="Total 4 9" xfId="33163"/>
    <cellStyle name="Total 5" xfId="33164"/>
    <cellStyle name="Total 5 10" xfId="33165"/>
    <cellStyle name="Total 5 11" xfId="33166"/>
    <cellStyle name="Total 5 12" xfId="33167"/>
    <cellStyle name="Total 5 13" xfId="33168"/>
    <cellStyle name="Total 5 14" xfId="33169"/>
    <cellStyle name="Total 5 15" xfId="33170"/>
    <cellStyle name="Total 5 16" xfId="33171"/>
    <cellStyle name="Total 5 17" xfId="33172"/>
    <cellStyle name="Total 5 18" xfId="33173"/>
    <cellStyle name="Total 5 2" xfId="33174"/>
    <cellStyle name="Total 5 2 10" xfId="33175"/>
    <cellStyle name="Total 5 2 11" xfId="33176"/>
    <cellStyle name="Total 5 2 12" xfId="33177"/>
    <cellStyle name="Total 5 2 13" xfId="33178"/>
    <cellStyle name="Total 5 2 14" xfId="33179"/>
    <cellStyle name="Total 5 2 15" xfId="33180"/>
    <cellStyle name="Total 5 2 16" xfId="33181"/>
    <cellStyle name="Total 5 2 2" xfId="33182"/>
    <cellStyle name="Total 5 2 2 2" xfId="33183"/>
    <cellStyle name="Total 5 2 2 3" xfId="33184"/>
    <cellStyle name="Total 5 2 2 4" xfId="33185"/>
    <cellStyle name="Total 5 2 3" xfId="33186"/>
    <cellStyle name="Total 5 2 4" xfId="33187"/>
    <cellStyle name="Total 5 2 5" xfId="33188"/>
    <cellStyle name="Total 5 2 6" xfId="33189"/>
    <cellStyle name="Total 5 2 7" xfId="33190"/>
    <cellStyle name="Total 5 2 8" xfId="33191"/>
    <cellStyle name="Total 5 2 9" xfId="33192"/>
    <cellStyle name="Total 5 3" xfId="33193"/>
    <cellStyle name="Total 5 3 10" xfId="33194"/>
    <cellStyle name="Total 5 3 11" xfId="33195"/>
    <cellStyle name="Total 5 3 12" xfId="33196"/>
    <cellStyle name="Total 5 3 13" xfId="33197"/>
    <cellStyle name="Total 5 3 14" xfId="33198"/>
    <cellStyle name="Total 5 3 15" xfId="33199"/>
    <cellStyle name="Total 5 3 16" xfId="33200"/>
    <cellStyle name="Total 5 3 2" xfId="33201"/>
    <cellStyle name="Total 5 3 2 2" xfId="33202"/>
    <cellStyle name="Total 5 3 2 3" xfId="33203"/>
    <cellStyle name="Total 5 3 2 4" xfId="33204"/>
    <cellStyle name="Total 5 3 3" xfId="33205"/>
    <cellStyle name="Total 5 3 4" xfId="33206"/>
    <cellStyle name="Total 5 3 5" xfId="33207"/>
    <cellStyle name="Total 5 3 6" xfId="33208"/>
    <cellStyle name="Total 5 3 7" xfId="33209"/>
    <cellStyle name="Total 5 3 8" xfId="33210"/>
    <cellStyle name="Total 5 3 9" xfId="33211"/>
    <cellStyle name="Total 5 4" xfId="33212"/>
    <cellStyle name="Total 5 4 10" xfId="33213"/>
    <cellStyle name="Total 5 4 11" xfId="33214"/>
    <cellStyle name="Total 5 4 12" xfId="33215"/>
    <cellStyle name="Total 5 4 13" xfId="33216"/>
    <cellStyle name="Total 5 4 14" xfId="33217"/>
    <cellStyle name="Total 5 4 15" xfId="33218"/>
    <cellStyle name="Total 5 4 16" xfId="33219"/>
    <cellStyle name="Total 5 4 2" xfId="33220"/>
    <cellStyle name="Total 5 4 2 2" xfId="33221"/>
    <cellStyle name="Total 5 4 2 3" xfId="33222"/>
    <cellStyle name="Total 5 4 2 4" xfId="33223"/>
    <cellStyle name="Total 5 4 3" xfId="33224"/>
    <cellStyle name="Total 5 4 4" xfId="33225"/>
    <cellStyle name="Total 5 4 5" xfId="33226"/>
    <cellStyle name="Total 5 4 6" xfId="33227"/>
    <cellStyle name="Total 5 4 7" xfId="33228"/>
    <cellStyle name="Total 5 4 8" xfId="33229"/>
    <cellStyle name="Total 5 4 9" xfId="33230"/>
    <cellStyle name="Total 5 5" xfId="33231"/>
    <cellStyle name="Total 5 5 2" xfId="33232"/>
    <cellStyle name="Total 5 5 3" xfId="33233"/>
    <cellStyle name="Total 5 5 4" xfId="33234"/>
    <cellStyle name="Total 5 6" xfId="33235"/>
    <cellStyle name="Total 5 7" xfId="33236"/>
    <cellStyle name="Total 5 8" xfId="33237"/>
    <cellStyle name="Total 5 9" xfId="33238"/>
    <cellStyle name="Total 6" xfId="33239"/>
    <cellStyle name="Total 6 10" xfId="33240"/>
    <cellStyle name="Total 6 11" xfId="33241"/>
    <cellStyle name="Total 6 12" xfId="33242"/>
    <cellStyle name="Total 6 13" xfId="33243"/>
    <cellStyle name="Total 6 14" xfId="33244"/>
    <cellStyle name="Total 6 15" xfId="33245"/>
    <cellStyle name="Total 6 16" xfId="33246"/>
    <cellStyle name="Total 6 17" xfId="33247"/>
    <cellStyle name="Total 6 18" xfId="33248"/>
    <cellStyle name="Total 6 2" xfId="33249"/>
    <cellStyle name="Total 6 2 10" xfId="33250"/>
    <cellStyle name="Total 6 2 11" xfId="33251"/>
    <cellStyle name="Total 6 2 12" xfId="33252"/>
    <cellStyle name="Total 6 2 13" xfId="33253"/>
    <cellStyle name="Total 6 2 14" xfId="33254"/>
    <cellStyle name="Total 6 2 15" xfId="33255"/>
    <cellStyle name="Total 6 2 16" xfId="33256"/>
    <cellStyle name="Total 6 2 2" xfId="33257"/>
    <cellStyle name="Total 6 2 2 2" xfId="33258"/>
    <cellStyle name="Total 6 2 2 3" xfId="33259"/>
    <cellStyle name="Total 6 2 2 4" xfId="33260"/>
    <cellStyle name="Total 6 2 3" xfId="33261"/>
    <cellStyle name="Total 6 2 4" xfId="33262"/>
    <cellStyle name="Total 6 2 5" xfId="33263"/>
    <cellStyle name="Total 6 2 6" xfId="33264"/>
    <cellStyle name="Total 6 2 7" xfId="33265"/>
    <cellStyle name="Total 6 2 8" xfId="33266"/>
    <cellStyle name="Total 6 2 9" xfId="33267"/>
    <cellStyle name="Total 6 3" xfId="33268"/>
    <cellStyle name="Total 6 3 10" xfId="33269"/>
    <cellStyle name="Total 6 3 11" xfId="33270"/>
    <cellStyle name="Total 6 3 12" xfId="33271"/>
    <cellStyle name="Total 6 3 13" xfId="33272"/>
    <cellStyle name="Total 6 3 14" xfId="33273"/>
    <cellStyle name="Total 6 3 15" xfId="33274"/>
    <cellStyle name="Total 6 3 16" xfId="33275"/>
    <cellStyle name="Total 6 3 2" xfId="33276"/>
    <cellStyle name="Total 6 3 2 2" xfId="33277"/>
    <cellStyle name="Total 6 3 2 3" xfId="33278"/>
    <cellStyle name="Total 6 3 2 4" xfId="33279"/>
    <cellStyle name="Total 6 3 3" xfId="33280"/>
    <cellStyle name="Total 6 3 4" xfId="33281"/>
    <cellStyle name="Total 6 3 5" xfId="33282"/>
    <cellStyle name="Total 6 3 6" xfId="33283"/>
    <cellStyle name="Total 6 3 7" xfId="33284"/>
    <cellStyle name="Total 6 3 8" xfId="33285"/>
    <cellStyle name="Total 6 3 9" xfId="33286"/>
    <cellStyle name="Total 6 4" xfId="33287"/>
    <cellStyle name="Total 6 4 10" xfId="33288"/>
    <cellStyle name="Total 6 4 11" xfId="33289"/>
    <cellStyle name="Total 6 4 12" xfId="33290"/>
    <cellStyle name="Total 6 4 13" xfId="33291"/>
    <cellStyle name="Total 6 4 14" xfId="33292"/>
    <cellStyle name="Total 6 4 15" xfId="33293"/>
    <cellStyle name="Total 6 4 16" xfId="33294"/>
    <cellStyle name="Total 6 4 2" xfId="33295"/>
    <cellStyle name="Total 6 4 2 2" xfId="33296"/>
    <cellStyle name="Total 6 4 2 3" xfId="33297"/>
    <cellStyle name="Total 6 4 2 4" xfId="33298"/>
    <cellStyle name="Total 6 4 3" xfId="33299"/>
    <cellStyle name="Total 6 4 4" xfId="33300"/>
    <cellStyle name="Total 6 4 5" xfId="33301"/>
    <cellStyle name="Total 6 4 6" xfId="33302"/>
    <cellStyle name="Total 6 4 7" xfId="33303"/>
    <cellStyle name="Total 6 4 8" xfId="33304"/>
    <cellStyle name="Total 6 4 9" xfId="33305"/>
    <cellStyle name="Total 6 5" xfId="33306"/>
    <cellStyle name="Total 6 5 2" xfId="33307"/>
    <cellStyle name="Total 6 5 3" xfId="33308"/>
    <cellStyle name="Total 6 5 4" xfId="33309"/>
    <cellStyle name="Total 6 6" xfId="33310"/>
    <cellStyle name="Total 6 7" xfId="33311"/>
    <cellStyle name="Total 6 8" xfId="33312"/>
    <cellStyle name="Total 6 9" xfId="33313"/>
    <cellStyle name="Total 7 2" xfId="33314"/>
    <cellStyle name="Total 7 2 10" xfId="33315"/>
    <cellStyle name="Total 7 2 11" xfId="33316"/>
    <cellStyle name="Total 7 2 12" xfId="33317"/>
    <cellStyle name="Total 7 2 13" xfId="33318"/>
    <cellStyle name="Total 7 2 14" xfId="33319"/>
    <cellStyle name="Total 7 2 15" xfId="33320"/>
    <cellStyle name="Total 7 2 16" xfId="33321"/>
    <cellStyle name="Total 7 2 2" xfId="33322"/>
    <cellStyle name="Total 7 2 2 2" xfId="33323"/>
    <cellStyle name="Total 7 2 2 3" xfId="33324"/>
    <cellStyle name="Total 7 2 2 4" xfId="33325"/>
    <cellStyle name="Total 7 2 3" xfId="33326"/>
    <cellStyle name="Total 7 2 4" xfId="33327"/>
    <cellStyle name="Total 7 2 5" xfId="33328"/>
    <cellStyle name="Total 7 2 6" xfId="33329"/>
    <cellStyle name="Total 7 2 7" xfId="33330"/>
    <cellStyle name="Total 7 2 8" xfId="33331"/>
    <cellStyle name="Total 7 2 9" xfId="33332"/>
    <cellStyle name="Total 7 3" xfId="33333"/>
    <cellStyle name="Total 7 3 10" xfId="33334"/>
    <cellStyle name="Total 7 3 11" xfId="33335"/>
    <cellStyle name="Total 7 3 12" xfId="33336"/>
    <cellStyle name="Total 7 3 13" xfId="33337"/>
    <cellStyle name="Total 7 3 14" xfId="33338"/>
    <cellStyle name="Total 7 3 15" xfId="33339"/>
    <cellStyle name="Total 7 3 16" xfId="33340"/>
    <cellStyle name="Total 7 3 2" xfId="33341"/>
    <cellStyle name="Total 7 3 2 2" xfId="33342"/>
    <cellStyle name="Total 7 3 2 3" xfId="33343"/>
    <cellStyle name="Total 7 3 2 4" xfId="33344"/>
    <cellStyle name="Total 7 3 3" xfId="33345"/>
    <cellStyle name="Total 7 3 4" xfId="33346"/>
    <cellStyle name="Total 7 3 5" xfId="33347"/>
    <cellStyle name="Total 7 3 6" xfId="33348"/>
    <cellStyle name="Total 7 3 7" xfId="33349"/>
    <cellStyle name="Total 7 3 8" xfId="33350"/>
    <cellStyle name="Total 7 3 9" xfId="33351"/>
    <cellStyle name="Total 7 4" xfId="33352"/>
    <cellStyle name="Total 7 4 10" xfId="33353"/>
    <cellStyle name="Total 7 4 11" xfId="33354"/>
    <cellStyle name="Total 7 4 12" xfId="33355"/>
    <cellStyle name="Total 7 4 13" xfId="33356"/>
    <cellStyle name="Total 7 4 14" xfId="33357"/>
    <cellStyle name="Total 7 4 15" xfId="33358"/>
    <cellStyle name="Total 7 4 16" xfId="33359"/>
    <cellStyle name="Total 7 4 2" xfId="33360"/>
    <cellStyle name="Total 7 4 2 2" xfId="33361"/>
    <cellStyle name="Total 7 4 2 3" xfId="33362"/>
    <cellStyle name="Total 7 4 2 4" xfId="33363"/>
    <cellStyle name="Total 7 4 3" xfId="33364"/>
    <cellStyle name="Total 7 4 4" xfId="33365"/>
    <cellStyle name="Total 7 4 5" xfId="33366"/>
    <cellStyle name="Total 7 4 6" xfId="33367"/>
    <cellStyle name="Total 7 4 7" xfId="33368"/>
    <cellStyle name="Total 7 4 8" xfId="33369"/>
    <cellStyle name="Total 7 4 9" xfId="33370"/>
    <cellStyle name="Total 8 2" xfId="33371"/>
    <cellStyle name="Total 8 2 10" xfId="33372"/>
    <cellStyle name="Total 8 2 11" xfId="33373"/>
    <cellStyle name="Total 8 2 12" xfId="33374"/>
    <cellStyle name="Total 8 2 13" xfId="33375"/>
    <cellStyle name="Total 8 2 14" xfId="33376"/>
    <cellStyle name="Total 8 2 15" xfId="33377"/>
    <cellStyle name="Total 8 2 16" xfId="33378"/>
    <cellStyle name="Total 8 2 2" xfId="33379"/>
    <cellStyle name="Total 8 2 2 2" xfId="33380"/>
    <cellStyle name="Total 8 2 2 3" xfId="33381"/>
    <cellStyle name="Total 8 2 2 4" xfId="33382"/>
    <cellStyle name="Total 8 2 3" xfId="33383"/>
    <cellStyle name="Total 8 2 4" xfId="33384"/>
    <cellStyle name="Total 8 2 5" xfId="33385"/>
    <cellStyle name="Total 8 2 6" xfId="33386"/>
    <cellStyle name="Total 8 2 7" xfId="33387"/>
    <cellStyle name="Total 8 2 8" xfId="33388"/>
    <cellStyle name="Total 8 2 9" xfId="33389"/>
    <cellStyle name="Total 8 3" xfId="33390"/>
    <cellStyle name="Total 8 3 10" xfId="33391"/>
    <cellStyle name="Total 8 3 11" xfId="33392"/>
    <cellStyle name="Total 8 3 12" xfId="33393"/>
    <cellStyle name="Total 8 3 13" xfId="33394"/>
    <cellStyle name="Total 8 3 14" xfId="33395"/>
    <cellStyle name="Total 8 3 15" xfId="33396"/>
    <cellStyle name="Total 8 3 16" xfId="33397"/>
    <cellStyle name="Total 8 3 2" xfId="33398"/>
    <cellStyle name="Total 8 3 2 2" xfId="33399"/>
    <cellStyle name="Total 8 3 2 3" xfId="33400"/>
    <cellStyle name="Total 8 3 2 4" xfId="33401"/>
    <cellStyle name="Total 8 3 3" xfId="33402"/>
    <cellStyle name="Total 8 3 4" xfId="33403"/>
    <cellStyle name="Total 8 3 5" xfId="33404"/>
    <cellStyle name="Total 8 3 6" xfId="33405"/>
    <cellStyle name="Total 8 3 7" xfId="33406"/>
    <cellStyle name="Total 8 3 8" xfId="33407"/>
    <cellStyle name="Total 8 3 9" xfId="33408"/>
    <cellStyle name="Total 8 4" xfId="33409"/>
    <cellStyle name="Total 8 4 10" xfId="33410"/>
    <cellStyle name="Total 8 4 11" xfId="33411"/>
    <cellStyle name="Total 8 4 12" xfId="33412"/>
    <cellStyle name="Total 8 4 13" xfId="33413"/>
    <cellStyle name="Total 8 4 14" xfId="33414"/>
    <cellStyle name="Total 8 4 15" xfId="33415"/>
    <cellStyle name="Total 8 4 16" xfId="33416"/>
    <cellStyle name="Total 8 4 2" xfId="33417"/>
    <cellStyle name="Total 8 4 2 2" xfId="33418"/>
    <cellStyle name="Total 8 4 2 3" xfId="33419"/>
    <cellStyle name="Total 8 4 2 4" xfId="33420"/>
    <cellStyle name="Total 8 4 3" xfId="33421"/>
    <cellStyle name="Total 8 4 4" xfId="33422"/>
    <cellStyle name="Total 8 4 5" xfId="33423"/>
    <cellStyle name="Total 8 4 6" xfId="33424"/>
    <cellStyle name="Total 8 4 7" xfId="33425"/>
    <cellStyle name="Total 8 4 8" xfId="33426"/>
    <cellStyle name="Total 8 4 9" xfId="33427"/>
    <cellStyle name="Total 9 2" xfId="33428"/>
    <cellStyle name="Total 9 2 10" xfId="33429"/>
    <cellStyle name="Total 9 2 11" xfId="33430"/>
    <cellStyle name="Total 9 2 12" xfId="33431"/>
    <cellStyle name="Total 9 2 13" xfId="33432"/>
    <cellStyle name="Total 9 2 14" xfId="33433"/>
    <cellStyle name="Total 9 2 15" xfId="33434"/>
    <cellStyle name="Total 9 2 16" xfId="33435"/>
    <cellStyle name="Total 9 2 2" xfId="33436"/>
    <cellStyle name="Total 9 2 2 2" xfId="33437"/>
    <cellStyle name="Total 9 2 2 3" xfId="33438"/>
    <cellStyle name="Total 9 2 2 4" xfId="33439"/>
    <cellStyle name="Total 9 2 3" xfId="33440"/>
    <cellStyle name="Total 9 2 4" xfId="33441"/>
    <cellStyle name="Total 9 2 5" xfId="33442"/>
    <cellStyle name="Total 9 2 6" xfId="33443"/>
    <cellStyle name="Total 9 2 7" xfId="33444"/>
    <cellStyle name="Total 9 2 8" xfId="33445"/>
    <cellStyle name="Total 9 2 9" xfId="33446"/>
    <cellStyle name="Total 9 3" xfId="33447"/>
    <cellStyle name="Total 9 3 10" xfId="33448"/>
    <cellStyle name="Total 9 3 11" xfId="33449"/>
    <cellStyle name="Total 9 3 12" xfId="33450"/>
    <cellStyle name="Total 9 3 13" xfId="33451"/>
    <cellStyle name="Total 9 3 14" xfId="33452"/>
    <cellStyle name="Total 9 3 15" xfId="33453"/>
    <cellStyle name="Total 9 3 16" xfId="33454"/>
    <cellStyle name="Total 9 3 2" xfId="33455"/>
    <cellStyle name="Total 9 3 2 2" xfId="33456"/>
    <cellStyle name="Total 9 3 2 3" xfId="33457"/>
    <cellStyle name="Total 9 3 2 4" xfId="33458"/>
    <cellStyle name="Total 9 3 3" xfId="33459"/>
    <cellStyle name="Total 9 3 4" xfId="33460"/>
    <cellStyle name="Total 9 3 5" xfId="33461"/>
    <cellStyle name="Total 9 3 6" xfId="33462"/>
    <cellStyle name="Total 9 3 7" xfId="33463"/>
    <cellStyle name="Total 9 3 8" xfId="33464"/>
    <cellStyle name="Total 9 3 9" xfId="33465"/>
    <cellStyle name="Total 9 4" xfId="33466"/>
    <cellStyle name="Total 9 4 10" xfId="33467"/>
    <cellStyle name="Total 9 4 11" xfId="33468"/>
    <cellStyle name="Total 9 4 12" xfId="33469"/>
    <cellStyle name="Total 9 4 13" xfId="33470"/>
    <cellStyle name="Total 9 4 14" xfId="33471"/>
    <cellStyle name="Total 9 4 15" xfId="33472"/>
    <cellStyle name="Total 9 4 16" xfId="33473"/>
    <cellStyle name="Total 9 4 2" xfId="33474"/>
    <cellStyle name="Total 9 4 2 2" xfId="33475"/>
    <cellStyle name="Total 9 4 2 3" xfId="33476"/>
    <cellStyle name="Total 9 4 2 4" xfId="33477"/>
    <cellStyle name="Total 9 4 3" xfId="33478"/>
    <cellStyle name="Total 9 4 4" xfId="33479"/>
    <cellStyle name="Total 9 4 5" xfId="33480"/>
    <cellStyle name="Total 9 4 6" xfId="33481"/>
    <cellStyle name="Total 9 4 7" xfId="33482"/>
    <cellStyle name="Total 9 4 8" xfId="33483"/>
    <cellStyle name="Total 9 4 9" xfId="33484"/>
    <cellStyle name="Tusental (0)_laroux" xfId="33485"/>
    <cellStyle name="Tusental_laroux" xfId="33486"/>
    <cellStyle name="Valuta (0)_laroux" xfId="33487"/>
    <cellStyle name="Valuta_laroux" xfId="33488"/>
    <cellStyle name="Vehicle_Benchmark" xfId="33489"/>
    <cellStyle name="Vérification" xfId="33490"/>
    <cellStyle name="Version_Header" xfId="33491"/>
    <cellStyle name="viet" xfId="33492"/>
    <cellStyle name="viet2" xfId="33493"/>
    <cellStyle name="viet2 2" xfId="33494"/>
    <cellStyle name="viet2 2 2" xfId="33495"/>
    <cellStyle name="viet2 2 3" xfId="33496"/>
    <cellStyle name="viet2 3" xfId="33497"/>
    <cellStyle name="viet2 4" xfId="33498"/>
    <cellStyle name="viet2 5" xfId="33499"/>
    <cellStyle name="viet2 6" xfId="33500"/>
    <cellStyle name="viet2 7" xfId="33501"/>
    <cellStyle name="VN new romanNormal" xfId="33502"/>
    <cellStyle name="VN time new roman" xfId="33503"/>
    <cellStyle name="vnhead1" xfId="33504"/>
    <cellStyle name="vnhead1 2" xfId="33505"/>
    <cellStyle name="vnhead1 2 2" xfId="33506"/>
    <cellStyle name="vnhead1 2 3" xfId="33507"/>
    <cellStyle name="vnhead1 3" xfId="33508"/>
    <cellStyle name="vnhead1 4" xfId="33509"/>
    <cellStyle name="vnhead1 5" xfId="33510"/>
    <cellStyle name="vnhead1 6" xfId="33511"/>
    <cellStyle name="vnhead1 7" xfId="33512"/>
    <cellStyle name="vnhead3" xfId="33513"/>
    <cellStyle name="vnhead3 2" xfId="33514"/>
    <cellStyle name="vntxt1" xfId="33515"/>
    <cellStyle name="vntxt1 2" xfId="33516"/>
    <cellStyle name="vntxt1 3" xfId="33517"/>
    <cellStyle name="vntxt2" xfId="33518"/>
    <cellStyle name="vntxt2 2" xfId="33519"/>
    <cellStyle name="vntxt2 3" xfId="33520"/>
    <cellStyle name="Volumes_Data" xfId="33521"/>
    <cellStyle name="Währung [0]_UXO VII" xfId="33522"/>
    <cellStyle name="Währung_UXO VII" xfId="33523"/>
    <cellStyle name="Warning Text 1" xfId="33524"/>
    <cellStyle name="Warning Text 10 2" xfId="33525"/>
    <cellStyle name="Warning Text 10 3" xfId="33526"/>
    <cellStyle name="Warning Text 10 4" xfId="33527"/>
    <cellStyle name="Warning Text 11 2" xfId="33528"/>
    <cellStyle name="Warning Text 11 3" xfId="33529"/>
    <cellStyle name="Warning Text 11 4" xfId="33530"/>
    <cellStyle name="Warning Text 12 2" xfId="33531"/>
    <cellStyle name="Warning Text 12 3" xfId="33532"/>
    <cellStyle name="Warning Text 12 4" xfId="33533"/>
    <cellStyle name="Warning Text 13 2" xfId="33534"/>
    <cellStyle name="Warning Text 13 3" xfId="33535"/>
    <cellStyle name="Warning Text 13 4" xfId="33536"/>
    <cellStyle name="Warning Text 14 2" xfId="33537"/>
    <cellStyle name="Warning Text 14 3" xfId="33538"/>
    <cellStyle name="Warning Text 14 4" xfId="33539"/>
    <cellStyle name="Warning Text 15 2" xfId="33540"/>
    <cellStyle name="Warning Text 15 3" xfId="33541"/>
    <cellStyle name="Warning Text 15 4" xfId="33542"/>
    <cellStyle name="Warning Text 16 2" xfId="33543"/>
    <cellStyle name="Warning Text 16 3" xfId="33544"/>
    <cellStyle name="Warning Text 16 4" xfId="33545"/>
    <cellStyle name="Warning Text 17 2" xfId="33546"/>
    <cellStyle name="Warning Text 17 3" xfId="33547"/>
    <cellStyle name="Warning Text 17 4" xfId="33548"/>
    <cellStyle name="Warning Text 2" xfId="33549"/>
    <cellStyle name="Warning Text 2 2" xfId="33550"/>
    <cellStyle name="Warning Text 2 3" xfId="33551"/>
    <cellStyle name="Warning Text 2 4" xfId="33552"/>
    <cellStyle name="Warning Text 3" xfId="33553"/>
    <cellStyle name="Warning Text 3 2" xfId="33554"/>
    <cellStyle name="Warning Text 3 3" xfId="33555"/>
    <cellStyle name="Warning Text 3 4" xfId="33556"/>
    <cellStyle name="Warning Text 4" xfId="33557"/>
    <cellStyle name="Warning Text 4 2" xfId="33558"/>
    <cellStyle name="Warning Text 4 3" xfId="33559"/>
    <cellStyle name="Warning Text 4 4" xfId="33560"/>
    <cellStyle name="Warning Text 4 5" xfId="33561"/>
    <cellStyle name="Warning Text 5" xfId="33562"/>
    <cellStyle name="Warning Text 5 2" xfId="33563"/>
    <cellStyle name="Warning Text 5 3" xfId="33564"/>
    <cellStyle name="Warning Text 5 4" xfId="33565"/>
    <cellStyle name="Warning Text 6" xfId="33566"/>
    <cellStyle name="Warning Text 6 2" xfId="33567"/>
    <cellStyle name="Warning Text 6 3" xfId="33568"/>
    <cellStyle name="Warning Text 6 4" xfId="33569"/>
    <cellStyle name="Warning Text 7 2" xfId="33570"/>
    <cellStyle name="Warning Text 7 3" xfId="33571"/>
    <cellStyle name="Warning Text 7 4" xfId="33572"/>
    <cellStyle name="Warning Text 8 2" xfId="33573"/>
    <cellStyle name="Warning Text 8 3" xfId="33574"/>
    <cellStyle name="Warning Text 8 4" xfId="33575"/>
    <cellStyle name="Warning Text 9 2" xfId="33576"/>
    <cellStyle name="Warning Text 9 3" xfId="33577"/>
    <cellStyle name="Warning Text 9 4" xfId="33578"/>
    <cellStyle name="WHead - Style2" xfId="33579"/>
    <cellStyle name="ｳfｹ・[0]_Cefiro" xfId="33580"/>
    <cellStyle name="ｳfｹCefiro" xfId="33581"/>
    <cellStyle name="ｳfｹCefiro 2" xfId="33582"/>
    <cellStyle name="ｳfｹCefiro 2 2" xfId="33583"/>
    <cellStyle name="ｳfｹCefiro 2 3" xfId="33584"/>
    <cellStyle name="ｳfｹCefiro 3" xfId="33585"/>
    <cellStyle name="ｳfｹCefiro 3 2" xfId="33586"/>
    <cellStyle name="ｳfｹCefiro 3 3" xfId="33587"/>
    <cellStyle name="ｳfｹCefiro 4" xfId="33588"/>
    <cellStyle name="ｳfｹCefiro 5" xfId="33589"/>
    <cellStyle name="ｳfｹM segment" xfId="33590"/>
    <cellStyle name="ｳfｹM segment 2" xfId="33591"/>
    <cellStyle name="ｳfｹM segment 2 2" xfId="33592"/>
    <cellStyle name="ｳfｹM segment 2 3" xfId="33593"/>
    <cellStyle name="ｳfｹM segment 3" xfId="33594"/>
    <cellStyle name="ｳfｹM segment 3 2" xfId="33595"/>
    <cellStyle name="ｳfｹM segment 3 3" xfId="33596"/>
    <cellStyle name="ｳfｹM segment 4" xfId="33597"/>
    <cellStyle name="ｳfｹM segment 5" xfId="33598"/>
    <cellStyle name="ｳfｹS segment" xfId="33599"/>
    <cellStyle name="ｳfｹS segment 2" xfId="33600"/>
    <cellStyle name="ｳfｹS segment 2 2" xfId="33601"/>
    <cellStyle name="ｳfｹS segment 2 3" xfId="33602"/>
    <cellStyle name="ｳfｹS segment 3" xfId="33603"/>
    <cellStyle name="ｳfｹS segment 3 2" xfId="33604"/>
    <cellStyle name="ｳfｹS segment 3 3" xfId="33605"/>
    <cellStyle name="ｳfｹS segment 4" xfId="33606"/>
    <cellStyle name="ｳfｹS segment 5" xfId="33607"/>
    <cellStyle name="ｹ鮗ﾐﾀｲ_ｰ豼ｵﾁ･" xfId="33608"/>
    <cellStyle name="ﾄﾞｸｶ [0]_ｰ霾ｹ" xfId="33609"/>
    <cellStyle name="ﾄﾞｸｶ_ｰ霾ｹ" xfId="33610"/>
    <cellStyle name="ﾅ・ｭ [0]_ｰ霾ｹ" xfId="33611"/>
    <cellStyle name="ﾅ・ｭ_ｰ霾ｹ" xfId="33612"/>
    <cellStyle name="ﾇ･ﾁﾘ_ｰ霾ｹ" xfId="33613"/>
    <cellStyle name="ハイパー??ク" xfId="33614"/>
    <cellStyle name="ハイパーリンクuscodes" xfId="33615"/>
    <cellStyle name="ハイパーリンクXterra " xfId="33616"/>
    <cellStyle name="เครื่องหมายจุลภาค [0]_N1222H#" xfId="33617"/>
    <cellStyle name="เครื่องหมายจุลภาค_N1222H#" xfId="33618"/>
    <cellStyle name="เครื่องหมายสกุลเงิน [0]_FTC_OFFER" xfId="33619"/>
    <cellStyle name="เครื่องหมายสกุลเงิน_FTC_OFFER" xfId="33620"/>
    <cellStyle name="น้บะภฒ_95" xfId="33621"/>
    <cellStyle name="ปกติ_Customer of jorong TO Oracleaaaa" xfId="33622"/>
    <cellStyle name="ฤธถ [0]_95" xfId="33623"/>
    <cellStyle name="ฤธถ_95" xfId="33624"/>
    <cellStyle name="ล๋ศญ [0]_95" xfId="33625"/>
    <cellStyle name="ล๋ศญ_95" xfId="33626"/>
    <cellStyle name="วฅมุ_4ฟ๙ฝวภ๛" xfId="33627"/>
    <cellStyle name=" [0.00]_ Att. 1- Cover" xfId="33628"/>
    <cellStyle name="_ Att. 1- Cover" xfId="33629"/>
    <cellStyle name="?_ Att. 1- Cover" xfId="33630"/>
    <cellStyle name="똿뗦먛귟 [0.00]_PRODUCT DETAIL Q1" xfId="33631"/>
    <cellStyle name="똿뗦먛귟_PRODUCT DETAIL Q1" xfId="33632"/>
    <cellStyle name="믅됞 [0.00]_PRODUCT DETAIL Q1" xfId="33633"/>
    <cellStyle name="믅됞_PRODUCT DETAIL Q1" xfId="33634"/>
    <cellStyle name="백분율_95" xfId="33635"/>
    <cellStyle name="뷭?_BOOKSHIP" xfId="33636"/>
    <cellStyle name="콤마 [0]_ 비목별 월별기술 " xfId="33637"/>
    <cellStyle name="콤마_ 비목별 월별기술 " xfId="33638"/>
    <cellStyle name="통화 [0]_1202" xfId="33639"/>
    <cellStyle name="통화_1202" xfId="33640"/>
    <cellStyle name="표준_(정보부문)월별인원계획" xfId="33641"/>
    <cellStyle name="하이퍼링크" xfId="33642"/>
    <cellStyle name="하이퍼링크 2" xfId="33643"/>
    <cellStyle name="하이퍼링크 3" xfId="33644"/>
    <cellStyle name="하이퍼링크 4" xfId="33645"/>
    <cellStyle name="하이퍼링크 5" xfId="33646"/>
    <cellStyle name="하이퍼링크 6" xfId="33647"/>
    <cellStyle name="하이퍼링크 7" xfId="33648"/>
    <cellStyle name="하이퍼링크 8" xfId="33649"/>
    <cellStyle name="一般_00Q3902REV.1" xfId="33650"/>
    <cellStyle name="千分位[0]_00Q3902REV.1" xfId="33651"/>
    <cellStyle name="千分位_00Q3902REV.1" xfId="33652"/>
    <cellStyle name="未定義" xfId="33653"/>
    <cellStyle name="桁区切り [0.00]_List-dwg瑩畳䵜楡" xfId="33654"/>
    <cellStyle name="桁区切り 2" xfId="33655"/>
    <cellStyle name="桁区切り_List-dwgist-" xfId="33656"/>
    <cellStyle name="桁蟻唇Ｆ [0.00]_11th Dec. (2)" xfId="33657"/>
    <cellStyle name="桁蟻唇Ｆ_11th Dec. (2)" xfId="33658"/>
    <cellStyle name="標?_Read me first" xfId="33659"/>
    <cellStyle name="標準 2" xfId="33660"/>
    <cellStyle name="標準 3" xfId="33661"/>
    <cellStyle name="標準_List-dwgis" xfId="33662"/>
    <cellStyle name="脱?Y [0.00]_Ladder Report" xfId="33663"/>
    <cellStyle name="脱?Y_Ladder Report" xfId="33664"/>
    <cellStyle name="脱浦 [0.00]_11th Dec. (2)" xfId="33665"/>
    <cellStyle name="脱浦_11th Dec. (2)" xfId="33666"/>
    <cellStyle name="表示済みのハイパー??ク" xfId="33667"/>
    <cellStyle name="表示済みのハイパーリンク" xfId="33668"/>
    <cellStyle name="表示済みのハイパーリンクa PRG MY02 (" xfId="33669"/>
    <cellStyle name="表示済みのハイパーリンクes_Book2akdo" xfId="33670"/>
    <cellStyle name="貨幣 [0]_00Q3902REV.1" xfId="33671"/>
    <cellStyle name="貨幣[0]_BRE" xfId="33672"/>
    <cellStyle name="貨幣_00Q3902REV.1" xfId="33673"/>
    <cellStyle name="通貨 [0.00]_List-dwgwg" xfId="33674"/>
    <cellStyle name="通貨_List-dwgis" xfId="3367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50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1561539</xdr:colOff>
      <xdr:row>0</xdr:row>
      <xdr:rowOff>123265</xdr:rowOff>
    </xdr:from>
    <xdr:to>
      <xdr:col>1</xdr:col>
      <xdr:colOff>2387413</xdr:colOff>
      <xdr:row>3</xdr:row>
      <xdr:rowOff>132790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66265" y="123190"/>
          <a:ext cx="83439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121585</xdr:colOff>
      <xdr:row>3</xdr:row>
      <xdr:rowOff>161815</xdr:rowOff>
    </xdr:from>
    <xdr:to>
      <xdr:col>7</xdr:col>
      <xdr:colOff>1236148</xdr:colOff>
      <xdr:row>7</xdr:row>
      <xdr:rowOff>79673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60260" y="885190"/>
          <a:ext cx="1122045" cy="565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39781</xdr:rowOff>
    </xdr:from>
    <xdr:to>
      <xdr:col>4</xdr:col>
      <xdr:colOff>582706</xdr:colOff>
      <xdr:row>10</xdr:row>
      <xdr:rowOff>190500</xdr:rowOff>
    </xdr:to>
    <xdr:sp macro="" textlink="">
      <xdr:nvSpPr>
        <xdr:cNvPr id="3" name="TextBox 2"/>
        <xdr:cNvSpPr txBox="1"/>
      </xdr:nvSpPr>
      <xdr:spPr>
        <a:xfrm>
          <a:off x="0" y="1029970"/>
          <a:ext cx="3030220" cy="11036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 b="1"/>
            <a:t>DITAGIHKAN KEPADA :</a:t>
          </a:r>
        </a:p>
        <a:p>
          <a:endParaRPr lang="id-ID" sz="1100" b="1"/>
        </a:p>
        <a:p>
          <a:r>
            <a:rPr lang="id-ID" sz="1100" b="1"/>
            <a:t>Customer</a:t>
          </a:r>
        </a:p>
        <a:p>
          <a:r>
            <a:rPr lang="id-ID" sz="1100" b="1"/>
            <a:t>PT. Adi Sarana  Armada, Tbk</a:t>
          </a:r>
        </a:p>
        <a:p>
          <a:r>
            <a:rPr lang="id-ID" sz="1100" b="1"/>
            <a:t>Gd .Graha Kirana Lt 6,</a:t>
          </a:r>
        </a:p>
        <a:p>
          <a:r>
            <a:rPr lang="id-ID" sz="1100" b="1"/>
            <a:t>Jl.Yos Sudarso No.88 Sunter Jaya</a:t>
          </a:r>
        </a:p>
        <a:p>
          <a:r>
            <a:rPr lang="id-ID" sz="1100" b="1"/>
            <a:t>Tanjung Priok Jakarta Utara</a:t>
          </a:r>
        </a:p>
        <a:p>
          <a:r>
            <a:rPr lang="id-ID" sz="1100" b="1"/>
            <a:t>NPWP : 01.955.213.2-054.000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11126</xdr:colOff>
      <xdr:row>4</xdr:row>
      <xdr:rowOff>12937</xdr:rowOff>
    </xdr:from>
    <xdr:to>
      <xdr:col>7</xdr:col>
      <xdr:colOff>1122350</xdr:colOff>
      <xdr:row>7</xdr:row>
      <xdr:rowOff>85434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9770" y="927100"/>
          <a:ext cx="1113155" cy="529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11203</xdr:colOff>
      <xdr:row>5</xdr:row>
      <xdr:rowOff>95810</xdr:rowOff>
    </xdr:from>
    <xdr:to>
      <xdr:col>4</xdr:col>
      <xdr:colOff>593909</xdr:colOff>
      <xdr:row>10</xdr:row>
      <xdr:rowOff>190500</xdr:rowOff>
    </xdr:to>
    <xdr:sp macro="" textlink="">
      <xdr:nvSpPr>
        <xdr:cNvPr id="5" name="TextBox 4"/>
        <xdr:cNvSpPr txBox="1"/>
      </xdr:nvSpPr>
      <xdr:spPr>
        <a:xfrm>
          <a:off x="10795" y="1085850"/>
          <a:ext cx="3030855" cy="1047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 b="1"/>
            <a:t>DITAGIHKAN KEPADA :</a:t>
          </a:r>
        </a:p>
        <a:p>
          <a:endParaRPr lang="id-ID" sz="1100" b="1"/>
        </a:p>
        <a:p>
          <a:r>
            <a:rPr lang="id-ID" sz="1100" b="1"/>
            <a:t>Customer</a:t>
          </a:r>
        </a:p>
        <a:p>
          <a:r>
            <a:rPr lang="id-ID" sz="1100" b="1"/>
            <a:t>PT. Adi Sarana  Armada, Tbk</a:t>
          </a:r>
        </a:p>
        <a:p>
          <a:r>
            <a:rPr lang="id-ID" sz="1100" b="1"/>
            <a:t>Gd .Graha Kirana Lt 6,</a:t>
          </a:r>
        </a:p>
        <a:p>
          <a:r>
            <a:rPr lang="id-ID" sz="1100" b="1"/>
            <a:t>Jl.Yos Sudarso No.88 Sunter Jaya</a:t>
          </a:r>
        </a:p>
        <a:p>
          <a:r>
            <a:rPr lang="id-ID" sz="1100" b="1"/>
            <a:t>Tanjung Priok Jakarta Utara</a:t>
          </a:r>
        </a:p>
        <a:p>
          <a:r>
            <a:rPr lang="id-ID" sz="1100" b="1"/>
            <a:t>NPWP : 01.955.213.2-054.000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1170215</xdr:colOff>
      <xdr:row>5</xdr:row>
      <xdr:rowOff>142876</xdr:rowOff>
    </xdr:from>
    <xdr:to>
      <xdr:col>5</xdr:col>
      <xdr:colOff>1866900</xdr:colOff>
      <xdr:row>8</xdr:row>
      <xdr:rowOff>76201</xdr:rowOff>
    </xdr:to>
    <xdr:pic>
      <xdr:nvPicPr>
        <xdr:cNvPr id="993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6945" y="1381125"/>
          <a:ext cx="7048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163286</xdr:rowOff>
    </xdr:from>
    <xdr:to>
      <xdr:col>4</xdr:col>
      <xdr:colOff>694285</xdr:colOff>
      <xdr:row>12</xdr:row>
      <xdr:rowOff>92210</xdr:rowOff>
    </xdr:to>
    <xdr:sp macro="" textlink="">
      <xdr:nvSpPr>
        <xdr:cNvPr id="3" name="TextBox 2"/>
        <xdr:cNvSpPr txBox="1"/>
      </xdr:nvSpPr>
      <xdr:spPr>
        <a:xfrm>
          <a:off x="0" y="1210945"/>
          <a:ext cx="3446780" cy="14624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 b="1"/>
            <a:t>DITAGIHKAN KEPADA :</a:t>
          </a:r>
        </a:p>
        <a:p>
          <a:endParaRPr lang="id-ID" sz="1100" b="1"/>
        </a:p>
        <a:p>
          <a:r>
            <a:rPr lang="id-ID" sz="1100" b="1"/>
            <a:t>Customer</a:t>
          </a:r>
        </a:p>
        <a:p>
          <a:r>
            <a:rPr lang="id-ID" sz="1100" b="1"/>
            <a:t>PT. Adi Sarana  Armada, Tbk</a:t>
          </a:r>
        </a:p>
        <a:p>
          <a:r>
            <a:rPr lang="id-ID" sz="1100" b="1"/>
            <a:t>Gd .Graha Kirana Lt 6,</a:t>
          </a:r>
        </a:p>
        <a:p>
          <a:r>
            <a:rPr lang="id-ID" sz="1100" b="1"/>
            <a:t>Jl.Yos Sudarso No.88 Sunter Jaya</a:t>
          </a:r>
        </a:p>
        <a:p>
          <a:r>
            <a:rPr lang="id-ID" sz="1100" b="1"/>
            <a:t>Tanjung Priok Jakarta Utara</a:t>
          </a:r>
        </a:p>
        <a:p>
          <a:r>
            <a:rPr lang="id-ID" sz="1100" b="1"/>
            <a:t>NPWP : 01.955.213.2-054.000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C://Users/kacablog/Desktop/LHD%20Tambahan%20Malang.xlsx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C://Users/ASUS/Downloads/LHD%20Anteraja%20Jawa%20Timur%202021-04%20(1-17).xlsx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C://Users/ASUS/Downloads/LHD%20Anteraja%20Jawa%20Timur%202021-04%20Dispatcher.xlsx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C://Users/ASUS/Downloads/LHD%20Anteraja%20Jawa%20Timur%202021-04.xlsx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Users\rosina.ribka\Desktop\DB%20PAK%20HENDYK.xlsx" TargetMode="External"/></Relationships>
</file>

<file path=xl/externalLinks/_rels/externalLink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Lenovo-pc\kumpulan%20pt\FILE%20SHARING\DINI%20RUBIYANI\2021\0.8%20DATABASE%20AGUSTUS%202021.xlsx" TargetMode="External"/></Relationships>
</file>

<file path=xl/externalLinks/_rels/externalLink7.xml.rels><?xml version="1.0" encoding="UTF-8" standalone="yes"?><Relationships xmlns="http://schemas.openxmlformats.org/package/2006/relationships"><Relationship Id="rId1" Type="http://schemas.openxmlformats.org/officeDocument/2006/relationships/externalLinkPath" Target="C://Users/ROSINA~1.RIB/AppData/Local/Temp/INSENTIF%20MALANG/Insentif%20TAB%20Jatim%20Jul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D"/>
      <sheetName val="DBU"/>
      <sheetName val="DBD"/>
      <sheetName val="DBR"/>
      <sheetName val="Monitoring SLA"/>
      <sheetName val="AOH"/>
      <sheetName val="Chart-Time"/>
      <sheetName val="APH"/>
      <sheetName val="UUR"/>
      <sheetName val="PRO"/>
      <sheetName val="Insentif Drv"/>
      <sheetName val="Rasio BBM"/>
      <sheetName val="We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D"/>
      <sheetName val="print_UJP"/>
      <sheetName val="LUM"/>
      <sheetName val="DBU"/>
      <sheetName val="DBD"/>
      <sheetName val="DBR"/>
      <sheetName val="AOH"/>
      <sheetName val="Chart-Time"/>
      <sheetName val="APH"/>
      <sheetName val="UUR"/>
      <sheetName val="PRO"/>
      <sheetName val="Insentif Drv"/>
      <sheetName val="Rasio BBM"/>
      <sheetName val="Copy insentif"/>
      <sheetName val="We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D"/>
      <sheetName val="DBU"/>
      <sheetName val="DBD"/>
      <sheetName val="DBR"/>
      <sheetName val="AOH"/>
      <sheetName val="Chart-Time"/>
      <sheetName val="UUR"/>
      <sheetName val="Insentif Drv"/>
      <sheetName val="Rasio BBM"/>
      <sheetName val="Copy insentif"/>
      <sheetName val="We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D"/>
      <sheetName val="print_UJP"/>
      <sheetName val="LUM"/>
      <sheetName val="DBU"/>
      <sheetName val="DBD"/>
      <sheetName val="DBR"/>
      <sheetName val="AOH"/>
      <sheetName val="Chart-Time"/>
      <sheetName val="APH"/>
      <sheetName val="UUR"/>
      <sheetName val="PRO"/>
      <sheetName val="Insentif Drv"/>
      <sheetName val="Rasio BBM"/>
      <sheetName val="Copy insentif"/>
      <sheetName val="We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T REMBANG "/>
      <sheetName val="SAT REMBANG JAN"/>
      <sheetName val="SURABAYA ANTERAJA"/>
      <sheetName val="SURABAYA ANTERAJA JAN"/>
      <sheetName val="MALANG ANTERAJA"/>
      <sheetName val="PROBOLINGGO ANTERAJA "/>
      <sheetName val="JEMBER ANTERAJA "/>
      <sheetName val="JOMBANG"/>
      <sheetName val="BANYUWANGI "/>
      <sheetName val="MALANG BAT "/>
      <sheetName val="MALANG BAT JAN"/>
      <sheetName val="MALANG BAT 2"/>
      <sheetName val="SEMARANG AOP"/>
      <sheetName val="SEMARANG POS"/>
      <sheetName val="PURBALINGGA - POS"/>
      <sheetName val="PURWOKERTO AOP"/>
      <sheetName val="PURWOKERTO POS"/>
      <sheetName val="JOGJA - OKE"/>
      <sheetName val="JOGJA ANTERAJA - OKE"/>
      <sheetName val="CILACAP ANTERAJA - OKE"/>
      <sheetName val="KUDUS ANTERAJA - OKE"/>
      <sheetName val="SOLO "/>
      <sheetName val="SEMARANG ANTERAJA"/>
      <sheetName val="SEMARANG ANTERAJA DES"/>
      <sheetName val="BANYUMAS ANTERAJA"/>
      <sheetName val="TEGAL ANTERAJA "/>
      <sheetName val="BALI CK"/>
      <sheetName val="BALI CK JAN"/>
      <sheetName val="BALI AOP"/>
      <sheetName val="BALI ANTERAJA"/>
      <sheetName val="BALI ANTERAJA DES"/>
      <sheetName val="MATARAM ANTERAJA"/>
      <sheetName val="PATI ANTERAJA"/>
      <sheetName val="PEMALANG  ANTERAJA"/>
      <sheetName val="INVOICE FEBRUARI"/>
      <sheetName val="INVOICE DESEMBER"/>
      <sheetName val="sharing budget"/>
      <sheetName val="in out"/>
      <sheetName val="sharing budget invoice  (2)"/>
    </sheetNames>
    <sheetDataSet>
      <sheetData sheetId="0"/>
      <sheetData sheetId="1"/>
      <sheetData sheetId="2"/>
      <sheetData sheetId="3"/>
      <sheetData sheetId="4">
        <row r="3">
          <cell r="G3">
            <v>2970502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-KARAWANG "/>
      <sheetName val="AOP - CIBITUNG "/>
      <sheetName val="CK"/>
      <sheetName val="NIRWANA LESTARI-NAROGONG"/>
      <sheetName val=" CIREBON-ANTERAJA "/>
      <sheetName val=" BEKASI -ANTERAJA "/>
      <sheetName val="BANDUNG-ANTERAJA"/>
      <sheetName val="ANTERAJA GARUT "/>
      <sheetName val="ANTERAJA SUBANG"/>
      <sheetName val="ANTERAJA CIAMIS"/>
      <sheetName val="CIANJUR ANTERAJA"/>
      <sheetName val="ANTERAJA -TASIK KOTA"/>
      <sheetName val="ANTERAJA -TASIK"/>
      <sheetName val="SUMEDANG ANTERAJA"/>
      <sheetName val="BANJAR ANTERAJA"/>
      <sheetName val="PANGANDARAN ANTERAJA"/>
      <sheetName val="AOP BANDUNG"/>
      <sheetName val="TAMBUN-HO"/>
      <sheetName val="KAWAN LAMA -JABABEKA"/>
      <sheetName val="YMZ-TANGERANG"/>
      <sheetName val="YMZ- BEKASI"/>
      <sheetName val="APL- CIKARANG "/>
      <sheetName val="ANTERAJA PEKANBARU "/>
      <sheetName val="ANTERAJA PADANG"/>
      <sheetName val="MEDAN"/>
      <sheetName val="ANTERAJA - MEDAN "/>
      <sheetName val="BATAM"/>
      <sheetName val="ANTERAJA BATAM"/>
      <sheetName val="ANTERAJA ACEH"/>
      <sheetName val="IN AGUSTUS 21"/>
      <sheetName val="OUT AGUSTUS 21"/>
      <sheetName val="SUMMARY"/>
      <sheetName val="Sheet4"/>
      <sheetName val="REPORT HARIAN"/>
      <sheetName val="BAT MALANG 1"/>
      <sheetName val="BAT MALANG 2"/>
      <sheetName val="YAMAZAKI JEMBER "/>
      <sheetName val="YAMAZAKI MALANG"/>
      <sheetName val="MADIUN - ANTERAJA "/>
      <sheetName val="JEMBER-ANTERAJA "/>
      <sheetName val="ANTERAJA BANYUWANGI "/>
      <sheetName val="ANTERAJA MADURA"/>
      <sheetName val="ANTERAJA LAMONGAN"/>
      <sheetName val="ANTERAJA TUBAN"/>
      <sheetName val="SURABAYA ANTERAJA"/>
      <sheetName val="MALANG - ANTERAJA "/>
      <sheetName val="PROBOLINGGO -ANTERAJA"/>
      <sheetName val="JOMBANG - ANTERAJA "/>
      <sheetName val="BALI CK"/>
      <sheetName val="AOP-BALI "/>
      <sheetName val="ANTERAJA BALI "/>
      <sheetName val="ANTERAJA MATARAM "/>
      <sheetName val="ANTERAJA SUMBAWA"/>
      <sheetName val="ANTERAJA BIMA "/>
      <sheetName val=" REMBANG SAT"/>
      <sheetName val="AOP SEMARANG "/>
      <sheetName val="SEMARANG ANTERAJA"/>
      <sheetName val="AOP PURWOKERTO "/>
      <sheetName val="PURWOKERTO ANTERAJA"/>
      <sheetName val="YOGYA-ANTERAJA"/>
      <sheetName val="TEGAL ANTERAJA "/>
      <sheetName val="ANTERAJA - CILACAP "/>
      <sheetName val="ANTERAJA PEMALANG "/>
      <sheetName val="KUDUS ANTERAJA "/>
      <sheetName val="SOLO "/>
      <sheetName val="FICO"/>
      <sheetName val="BANJARMASIN SAT"/>
      <sheetName val="pontianak"/>
      <sheetName val="HALIM-ANTERAJA"/>
      <sheetName val="ANTERAJA DRIVER LEADER"/>
      <sheetName val="TIPAR CAKUNG "/>
      <sheetName val="RAWABUAYA-ANTERAJA"/>
      <sheetName val="ANTERAJA TAMAN TEKNO "/>
      <sheetName val="ANTERAJA BOGOR"/>
      <sheetName val="ANTERAJA SUNTER"/>
      <sheetName val="MARUNDA"/>
      <sheetName val="MAKASSAR "/>
      <sheetName val="PARE-PARE"/>
      <sheetName val="KOLAKA ATJ"/>
      <sheetName val="MANADO"/>
      <sheetName val="ANTERAJA MANADO"/>
      <sheetName val="ANTERAJA BENGKULU"/>
      <sheetName val="GORONTALO"/>
      <sheetName val="ANTERAJA PALEMBANG "/>
      <sheetName val="ANTERAJA LAMPUNG "/>
      <sheetName val="ANTERAJA JAMBI "/>
      <sheetName val="ANTERAJA PONTIANAK    "/>
      <sheetName val="ANTERAJA PANGKAL PINANG "/>
      <sheetName val="ANTERAJA BANGKABELITUNG"/>
      <sheetName val="ATJ BANJARMASIN"/>
      <sheetName val="ATJ PALANGKARAYA"/>
      <sheetName val="Sheet9"/>
      <sheetName val="ANTERAJA BALIKPAPAN"/>
      <sheetName val="ANTERAJA SAMARINDA"/>
      <sheetName val="KEDAI SAYUR - PONDOK PINANG"/>
      <sheetName val="SYNCRUM MOJOKERTO"/>
      <sheetName val="CIMAHI ANTERAJA "/>
      <sheetName val="POS SEMARANG "/>
      <sheetName val="POS PURWOKERTO "/>
      <sheetName val="POS PURBALINGGA "/>
      <sheetName val="BREBES ANTERAJA"/>
      <sheetName val="ANTERAJA PATI "/>
      <sheetName val="BANYUMAS -ANTERAJA"/>
      <sheetName val="REMBANG ANTERAJA"/>
      <sheetName val="ANTERAJA-KARAWANG "/>
      <sheetName val="POS JOGJA "/>
      <sheetName val="IN JUNI 21"/>
      <sheetName val="OUT JUNI 21"/>
      <sheetName val="OUT MEI 21"/>
      <sheetName val="IN MEI 21"/>
      <sheetName val="OUT APRIL 2021"/>
      <sheetName val="IN APRIL 2021"/>
      <sheetName val="OUT MARET 2021"/>
      <sheetName val="IN MARET 2021"/>
      <sheetName val="IN FEBRUARI 2021"/>
      <sheetName val="OUT FEBRUARI 2021"/>
      <sheetName val="Sheet3"/>
      <sheetName val="IN JANUARI 2021"/>
      <sheetName val="OUT JANUARI 2021"/>
      <sheetName val="OUT NOVEMBER "/>
      <sheetName val="IN NOVEMBER "/>
      <sheetName val="HERO- CIBITUNG "/>
      <sheetName val="DAIDO-CIBITUNG "/>
      <sheetName val="YMZ- CIREBON"/>
      <sheetName val="PT BERLINA "/>
      <sheetName val="GABUNGAN"/>
      <sheetName val="GABUNGAN JANUARI "/>
      <sheetName val="PBI"/>
      <sheetName val="TUNGGAKAN BPJS"/>
      <sheetName val="BPJS TUNGGAKAN"/>
      <sheetName val="GABUNGAN (2)"/>
      <sheetName val="Sheet1"/>
      <sheetName val="non driver take over mulai agus"/>
      <sheetName val="PBI NOVEMBER"/>
      <sheetName val="IN"/>
      <sheetName val="OUT "/>
      <sheetName val="IN-JANUARI "/>
      <sheetName val="OUT-JANUARI "/>
      <sheetName val="IN-FEBRUARI "/>
      <sheetName val="OUT-FEBRUARI "/>
      <sheetName val="IN-MARET"/>
      <sheetName val="OUT-MARET"/>
      <sheetName val="Sheet2"/>
      <sheetName val="IN-APRIL "/>
      <sheetName val="OUT-APRIL "/>
      <sheetName val="IN MEI "/>
      <sheetName val="OUT MEI "/>
      <sheetName val="IN JUNI"/>
      <sheetName val="OUT JUNI"/>
      <sheetName val="IN JULI "/>
      <sheetName val="OUT JULI "/>
      <sheetName val="IN AGUSTUS "/>
      <sheetName val="OUT AGUSTUS "/>
      <sheetName val="IN SEPTEMBER "/>
      <sheetName val="OUT SEPTEMBER "/>
      <sheetName val="IN OKTOBER "/>
      <sheetName val="OUT OKTOBER"/>
      <sheetName val="IN DESEMBER "/>
      <sheetName val="AOP PURBALINGGA "/>
      <sheetName val="ANTERAJA SUKABUMI"/>
      <sheetName val="OUT MEI 2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7">
          <cell r="C7" t="str">
            <v>0619</v>
          </cell>
          <cell r="D7" t="str">
            <v>MIFTAKUL ARIS MUSTOFA</v>
          </cell>
        </row>
        <row r="8">
          <cell r="C8" t="str">
            <v>0736</v>
          </cell>
          <cell r="D8" t="str">
            <v>MOCHAMMAD AZWAR RIZAL ROMADLON</v>
          </cell>
        </row>
        <row r="9">
          <cell r="C9" t="str">
            <v>0864</v>
          </cell>
          <cell r="D9" t="str">
            <v>BILLY DIMAS DANU BARATA</v>
          </cell>
        </row>
        <row r="10">
          <cell r="C10" t="str">
            <v>0866</v>
          </cell>
          <cell r="D10" t="str">
            <v>MOCH. MAULVY AZIZ</v>
          </cell>
        </row>
        <row r="11">
          <cell r="C11" t="str">
            <v>0868</v>
          </cell>
          <cell r="D11" t="str">
            <v>WAHYU BUDI SANTOSO</v>
          </cell>
        </row>
        <row r="12">
          <cell r="C12" t="str">
            <v>1027</v>
          </cell>
          <cell r="D12" t="str">
            <v>YUSUF RSA LIFERE</v>
          </cell>
        </row>
        <row r="13">
          <cell r="C13" t="str">
            <v>1116</v>
          </cell>
          <cell r="D13" t="str">
            <v>EKO RAHMAT FITRI DIONO</v>
          </cell>
        </row>
        <row r="14">
          <cell r="C14" t="str">
            <v>1174</v>
          </cell>
          <cell r="D14" t="str">
            <v>NUR KHOLIQ</v>
          </cell>
        </row>
        <row r="15">
          <cell r="C15" t="str">
            <v>1201</v>
          </cell>
          <cell r="D15" t="str">
            <v xml:space="preserve">SUJOKO </v>
          </cell>
        </row>
        <row r="16">
          <cell r="C16" t="str">
            <v>1218</v>
          </cell>
          <cell r="D16" t="str">
            <v xml:space="preserve">AGUNG PRASETYO </v>
          </cell>
        </row>
        <row r="17">
          <cell r="C17" t="str">
            <v>1219</v>
          </cell>
          <cell r="D17" t="str">
            <v xml:space="preserve">MOCH SYAKUR ROHMAN </v>
          </cell>
        </row>
        <row r="18">
          <cell r="C18" t="str">
            <v>1223</v>
          </cell>
          <cell r="D18" t="str">
            <v xml:space="preserve">TEGUH DWI WICAKSONO </v>
          </cell>
        </row>
        <row r="19">
          <cell r="C19" t="str">
            <v>1166</v>
          </cell>
          <cell r="D19" t="str">
            <v>IRVAN KHOERI</v>
          </cell>
        </row>
        <row r="20">
          <cell r="C20" t="str">
            <v>1269</v>
          </cell>
          <cell r="D20" t="str">
            <v>ROHIM</v>
          </cell>
        </row>
        <row r="21">
          <cell r="C21" t="str">
            <v>1273</v>
          </cell>
          <cell r="D21" t="str">
            <v xml:space="preserve">TRI WIDODO </v>
          </cell>
        </row>
        <row r="22">
          <cell r="C22" t="str">
            <v>1288</v>
          </cell>
          <cell r="D22" t="str">
            <v xml:space="preserve">AHMAD ZAMRONI </v>
          </cell>
        </row>
        <row r="23">
          <cell r="C23" t="str">
            <v>1290</v>
          </cell>
          <cell r="D23" t="str">
            <v xml:space="preserve">DEDE ADAM NUGIE NUGRAHA </v>
          </cell>
        </row>
        <row r="24">
          <cell r="C24" t="str">
            <v>1291</v>
          </cell>
          <cell r="D24" t="str">
            <v xml:space="preserve">ZULFADRI </v>
          </cell>
        </row>
        <row r="25">
          <cell r="C25" t="str">
            <v>1310</v>
          </cell>
          <cell r="D25" t="str">
            <v>RADEN MOCHAMAD ANDRI PURNAMA PUTRA</v>
          </cell>
        </row>
        <row r="26">
          <cell r="C26" t="str">
            <v>1311</v>
          </cell>
          <cell r="D26" t="str">
            <v xml:space="preserve">BOY CAROLIN </v>
          </cell>
        </row>
        <row r="27">
          <cell r="C27" t="str">
            <v>1343</v>
          </cell>
          <cell r="D27" t="str">
            <v>PRAYOGO</v>
          </cell>
        </row>
        <row r="28">
          <cell r="C28" t="str">
            <v>1345</v>
          </cell>
          <cell r="D28" t="str">
            <v>NAUVAL ADJI KRAMA RIZQI R</v>
          </cell>
        </row>
        <row r="29">
          <cell r="C29" t="str">
            <v>1370</v>
          </cell>
          <cell r="D29" t="str">
            <v xml:space="preserve">MOCHAMMAD NORCHOLIK </v>
          </cell>
        </row>
        <row r="30">
          <cell r="C30" t="str">
            <v>1376</v>
          </cell>
          <cell r="D30" t="str">
            <v xml:space="preserve">FRASTIAN </v>
          </cell>
        </row>
        <row r="31">
          <cell r="C31" t="str">
            <v>1378</v>
          </cell>
          <cell r="D31" t="str">
            <v xml:space="preserve">HENDRO WAHYUDI </v>
          </cell>
        </row>
        <row r="32">
          <cell r="C32" t="str">
            <v>1413</v>
          </cell>
          <cell r="D32" t="str">
            <v xml:space="preserve">RIZAL SYAHPUTRA </v>
          </cell>
        </row>
        <row r="33">
          <cell r="C33" t="str">
            <v>1414</v>
          </cell>
          <cell r="D33" t="str">
            <v xml:space="preserve">TRI WISNU WIJAYANTO </v>
          </cell>
        </row>
        <row r="34">
          <cell r="C34" t="str">
            <v>1415</v>
          </cell>
          <cell r="D34" t="str">
            <v xml:space="preserve">SONI RAKHMAT </v>
          </cell>
        </row>
        <row r="35">
          <cell r="C35" t="str">
            <v>1411</v>
          </cell>
          <cell r="D35" t="str">
            <v xml:space="preserve">ARIEF EDI KASENDA </v>
          </cell>
        </row>
        <row r="36">
          <cell r="C36" t="str">
            <v>1418</v>
          </cell>
          <cell r="D36" t="str">
            <v>MUHAMAD HARIS</v>
          </cell>
        </row>
        <row r="37">
          <cell r="C37" t="str">
            <v>1419</v>
          </cell>
          <cell r="D37" t="str">
            <v xml:space="preserve">BUDI SANTOSO </v>
          </cell>
        </row>
        <row r="38">
          <cell r="C38" t="str">
            <v>1557</v>
          </cell>
          <cell r="D38" t="str">
            <v>KRISTIAN PRASETYA INDRA PUTRA</v>
          </cell>
        </row>
        <row r="39">
          <cell r="C39" t="str">
            <v>1325</v>
          </cell>
          <cell r="D39" t="str">
            <v xml:space="preserve">BAGAS ADITYA PUTRA PRATAMA </v>
          </cell>
        </row>
        <row r="40">
          <cell r="C40" t="str">
            <v>1558</v>
          </cell>
          <cell r="D40" t="str">
            <v>SAMSUL MA'ARIF</v>
          </cell>
        </row>
        <row r="41">
          <cell r="C41" t="str">
            <v>1559</v>
          </cell>
          <cell r="D41" t="str">
            <v>MOCH ARIFIN</v>
          </cell>
        </row>
        <row r="42">
          <cell r="C42" t="str">
            <v>1560</v>
          </cell>
          <cell r="D42" t="str">
            <v>MOHAMMAD MYZAN ABDUL F</v>
          </cell>
        </row>
        <row r="43">
          <cell r="C43" t="str">
            <v>1561</v>
          </cell>
          <cell r="D43" t="str">
            <v xml:space="preserve">EDWIN WIDYANTO </v>
          </cell>
        </row>
        <row r="44">
          <cell r="C44" t="str">
            <v>1563</v>
          </cell>
          <cell r="D44" t="str">
            <v xml:space="preserve">HERU LAKSONO PUTRO </v>
          </cell>
        </row>
        <row r="45">
          <cell r="C45" t="str">
            <v>1562</v>
          </cell>
          <cell r="D45" t="str">
            <v xml:space="preserve">AHMAD WAHID </v>
          </cell>
        </row>
        <row r="46">
          <cell r="C46" t="str">
            <v>1564</v>
          </cell>
          <cell r="D46" t="str">
            <v>MUHAMMAD AJI SANTOSO</v>
          </cell>
        </row>
        <row r="47">
          <cell r="C47" t="str">
            <v>1565</v>
          </cell>
          <cell r="D47" t="str">
            <v>ADE IRAWAN</v>
          </cell>
        </row>
        <row r="48">
          <cell r="C48" t="str">
            <v>1566</v>
          </cell>
          <cell r="D48" t="str">
            <v>FALDI FIRMAN IRZA</v>
          </cell>
        </row>
        <row r="49">
          <cell r="C49" t="str">
            <v>1647</v>
          </cell>
          <cell r="D49" t="str">
            <v>DEDY PERMADI</v>
          </cell>
        </row>
        <row r="50">
          <cell r="C50" t="str">
            <v>1567</v>
          </cell>
          <cell r="D50" t="str">
            <v>MUHAMMAD DIKI BAGUS NUR CAHYONO</v>
          </cell>
        </row>
        <row r="51">
          <cell r="C51" t="str">
            <v>1568</v>
          </cell>
          <cell r="D51" t="str">
            <v>JOHAN KURNIAWAN</v>
          </cell>
        </row>
        <row r="52">
          <cell r="C52" t="str">
            <v>1569</v>
          </cell>
          <cell r="D52" t="str">
            <v>SHOLIHIN</v>
          </cell>
        </row>
        <row r="53">
          <cell r="C53" t="str">
            <v>1570</v>
          </cell>
          <cell r="D53" t="str">
            <v>YULIUS JOKO GEDEON</v>
          </cell>
        </row>
        <row r="54">
          <cell r="C54" t="str">
            <v>1571</v>
          </cell>
          <cell r="D54" t="str">
            <v>ARIS SETIYAWAN</v>
          </cell>
        </row>
        <row r="55">
          <cell r="C55" t="str">
            <v>1572</v>
          </cell>
          <cell r="D55" t="str">
            <v>ABDUL KHOLIQ JUNAIDI</v>
          </cell>
        </row>
        <row r="56">
          <cell r="C56" t="str">
            <v>1650</v>
          </cell>
          <cell r="D56" t="str">
            <v>IRFAN ARIF HIDAYAT</v>
          </cell>
        </row>
        <row r="57">
          <cell r="C57" t="str">
            <v>1574</v>
          </cell>
          <cell r="D57" t="str">
            <v>DIKA SUSANTO</v>
          </cell>
        </row>
        <row r="58">
          <cell r="C58" t="str">
            <v>1651</v>
          </cell>
          <cell r="D58" t="str">
            <v>RIKY SETYO WIBOWO</v>
          </cell>
        </row>
        <row r="59">
          <cell r="C59" t="str">
            <v>1652</v>
          </cell>
          <cell r="D59" t="str">
            <v>KOMANG BUDI DHARMA MARIADINATA</v>
          </cell>
        </row>
        <row r="60">
          <cell r="C60" t="str">
            <v>1575</v>
          </cell>
          <cell r="D60" t="str">
            <v>DODIK FAJARIANTO</v>
          </cell>
        </row>
        <row r="61">
          <cell r="C61" t="str">
            <v>1576</v>
          </cell>
          <cell r="D61" t="str">
            <v>RISZA WAHYU PERMADANI</v>
          </cell>
        </row>
        <row r="62">
          <cell r="C62" t="str">
            <v>1653</v>
          </cell>
          <cell r="D62" t="str">
            <v>AHMAD ARFANDI</v>
          </cell>
        </row>
        <row r="63">
          <cell r="C63" t="str">
            <v>1654</v>
          </cell>
          <cell r="D63" t="str">
            <v>HERU USWINDA</v>
          </cell>
        </row>
        <row r="64">
          <cell r="C64" t="str">
            <v>1578</v>
          </cell>
          <cell r="D64" t="str">
            <v>ADE OKY DWI CHRISTANTO</v>
          </cell>
        </row>
        <row r="65">
          <cell r="C65" t="str">
            <v>1579</v>
          </cell>
          <cell r="D65" t="str">
            <v>PARDAM KHOLIK</v>
          </cell>
        </row>
        <row r="66">
          <cell r="C66" t="str">
            <v>1580</v>
          </cell>
          <cell r="D66" t="str">
            <v>FUAD FAJRI SOBA</v>
          </cell>
        </row>
        <row r="67">
          <cell r="C67" t="str">
            <v>1581</v>
          </cell>
          <cell r="D67" t="str">
            <v>PAPUT ARIF JUNAIDI</v>
          </cell>
        </row>
        <row r="68">
          <cell r="C68" t="str">
            <v>1655</v>
          </cell>
          <cell r="D68" t="str">
            <v>JANUAR CATUR WAHYU PRASTIYO</v>
          </cell>
        </row>
        <row r="69">
          <cell r="C69" t="str">
            <v>1582</v>
          </cell>
          <cell r="D69" t="str">
            <v>JASMANIYAH RAHARJO</v>
          </cell>
        </row>
        <row r="70">
          <cell r="C70" t="str">
            <v>1583</v>
          </cell>
          <cell r="D70" t="str">
            <v>AHMAD HAFIDON</v>
          </cell>
        </row>
        <row r="71">
          <cell r="C71" t="str">
            <v>1588</v>
          </cell>
          <cell r="D71" t="str">
            <v>CATUR LANGGENG WIBISONO</v>
          </cell>
        </row>
        <row r="72">
          <cell r="C72" t="str">
            <v>1589</v>
          </cell>
          <cell r="D72" t="str">
            <v>KAMILUDDIN</v>
          </cell>
        </row>
        <row r="73">
          <cell r="C73" t="str">
            <v>1590</v>
          </cell>
          <cell r="D73" t="str">
            <v>JUNAIDIN</v>
          </cell>
        </row>
        <row r="74">
          <cell r="C74" t="str">
            <v>0001</v>
          </cell>
          <cell r="D74" t="str">
            <v>LINTANG CITRA MAHARANI</v>
          </cell>
        </row>
        <row r="75">
          <cell r="C75" t="str">
            <v>1635</v>
          </cell>
          <cell r="D75" t="str">
            <v>BAMBAN SATRIAWAN</v>
          </cell>
        </row>
        <row r="76">
          <cell r="C76" t="str">
            <v>1636</v>
          </cell>
          <cell r="D76" t="str">
            <v>RIFANTONO</v>
          </cell>
        </row>
        <row r="77">
          <cell r="C77" t="str">
            <v>1637</v>
          </cell>
          <cell r="D77" t="str">
            <v>MOHAMAD RIFAI</v>
          </cell>
        </row>
        <row r="78">
          <cell r="C78" t="str">
            <v>1638</v>
          </cell>
          <cell r="D78" t="str">
            <v>ACHMAD ROFIQ FIRMANSYAH</v>
          </cell>
        </row>
        <row r="79">
          <cell r="C79" t="str">
            <v>1641</v>
          </cell>
          <cell r="D79" t="str">
            <v xml:space="preserve">KUSLAN </v>
          </cell>
        </row>
        <row r="80">
          <cell r="C80" t="str">
            <v>1642</v>
          </cell>
          <cell r="D80" t="str">
            <v>NANANG SUTRISNO</v>
          </cell>
        </row>
        <row r="81">
          <cell r="C81" t="str">
            <v>1736</v>
          </cell>
          <cell r="D81" t="str">
            <v>MOKH RIDUWAN</v>
          </cell>
        </row>
        <row r="82">
          <cell r="C82" t="str">
            <v>1780</v>
          </cell>
          <cell r="D82" t="str">
            <v>INDRA JUNIARTO</v>
          </cell>
        </row>
        <row r="83">
          <cell r="C83" t="str">
            <v>1782</v>
          </cell>
          <cell r="D83" t="str">
            <v>TAUFIK HUSEN</v>
          </cell>
        </row>
        <row r="84">
          <cell r="C84" t="str">
            <v>1783</v>
          </cell>
          <cell r="D84" t="str">
            <v>M SABILIN HUDAH</v>
          </cell>
        </row>
        <row r="85">
          <cell r="C85" t="str">
            <v>1784</v>
          </cell>
          <cell r="D85" t="str">
            <v>OKZADEA ARGANATA</v>
          </cell>
        </row>
        <row r="86">
          <cell r="C86" t="str">
            <v>1800</v>
          </cell>
          <cell r="D86" t="str">
            <v>BAYU DIAN ARISANDI</v>
          </cell>
        </row>
        <row r="87">
          <cell r="C87" t="str">
            <v>1801</v>
          </cell>
          <cell r="D87" t="str">
            <v>AHMAD SAMSUDIN</v>
          </cell>
        </row>
        <row r="88">
          <cell r="C88" t="str">
            <v>1802</v>
          </cell>
          <cell r="D88" t="str">
            <v>ACHMAD HARIS SUTRISNO</v>
          </cell>
        </row>
        <row r="89">
          <cell r="C89" t="str">
            <v>1826</v>
          </cell>
          <cell r="D89" t="str">
            <v>REZA FARRIAN ANGGA</v>
          </cell>
        </row>
        <row r="90">
          <cell r="C90" t="str">
            <v>1827</v>
          </cell>
          <cell r="D90" t="str">
            <v>MOCHAMAD SUSANTO</v>
          </cell>
        </row>
        <row r="91">
          <cell r="C91" t="str">
            <v>1828</v>
          </cell>
          <cell r="D91" t="str">
            <v xml:space="preserve">ISMAN HADI </v>
          </cell>
        </row>
        <row r="92">
          <cell r="C92" t="str">
            <v>1829</v>
          </cell>
          <cell r="D92" t="str">
            <v>ARIF SULISTIO</v>
          </cell>
        </row>
        <row r="93">
          <cell r="C93" t="str">
            <v>1831</v>
          </cell>
          <cell r="D93" t="str">
            <v>WAHYU HIDAYAT</v>
          </cell>
        </row>
        <row r="94">
          <cell r="C94" t="str">
            <v>1833</v>
          </cell>
          <cell r="D94" t="str">
            <v>SULIS SETYAWAN</v>
          </cell>
        </row>
        <row r="95">
          <cell r="C95" t="str">
            <v>1834</v>
          </cell>
          <cell r="D95" t="str">
            <v xml:space="preserve">NANANG YUDO ASMORO </v>
          </cell>
        </row>
        <row r="96">
          <cell r="C96" t="str">
            <v>1835</v>
          </cell>
          <cell r="D96" t="str">
            <v>HARI SETIYAWAN</v>
          </cell>
        </row>
        <row r="97">
          <cell r="C97" t="str">
            <v>1888</v>
          </cell>
          <cell r="D97" t="str">
            <v>MOCHAMAD ABDUL SHOMAD HAROMAN</v>
          </cell>
        </row>
        <row r="98">
          <cell r="C98" t="str">
            <v>1874</v>
          </cell>
          <cell r="D98" t="str">
            <v>ARI BEGWANTO</v>
          </cell>
        </row>
        <row r="99">
          <cell r="C99" t="str">
            <v>1875</v>
          </cell>
          <cell r="D99" t="str">
            <v xml:space="preserve">SUDORI </v>
          </cell>
        </row>
        <row r="100">
          <cell r="C100" t="str">
            <v>1876</v>
          </cell>
          <cell r="D100" t="str">
            <v xml:space="preserve">MUHAMMAD SUBANDI </v>
          </cell>
        </row>
        <row r="101">
          <cell r="C101" t="str">
            <v>1877</v>
          </cell>
          <cell r="D101" t="str">
            <v xml:space="preserve">EFENDI SUPIKIR </v>
          </cell>
        </row>
        <row r="102">
          <cell r="C102" t="str">
            <v>1950</v>
          </cell>
          <cell r="D102" t="str">
            <v xml:space="preserve">SATUWI </v>
          </cell>
        </row>
        <row r="103">
          <cell r="C103" t="str">
            <v>1951</v>
          </cell>
          <cell r="D103" t="str">
            <v>FAHMI HIDAYATULLAH</v>
          </cell>
        </row>
        <row r="104">
          <cell r="C104" t="str">
            <v>1952</v>
          </cell>
          <cell r="D104" t="str">
            <v>MIFTACHUL IHSAN</v>
          </cell>
        </row>
        <row r="105">
          <cell r="C105" t="str">
            <v>1953</v>
          </cell>
          <cell r="D105" t="str">
            <v>JOKO WIYONO</v>
          </cell>
        </row>
        <row r="106">
          <cell r="C106" t="str">
            <v>1954</v>
          </cell>
          <cell r="D106" t="str">
            <v>ACHMAD INDRA CAHYADI</v>
          </cell>
        </row>
        <row r="107">
          <cell r="C107" t="str">
            <v>1955</v>
          </cell>
          <cell r="D107" t="str">
            <v>HELA PRASETYAYUDA HUSADA</v>
          </cell>
        </row>
        <row r="108">
          <cell r="C108" t="str">
            <v>1956</v>
          </cell>
          <cell r="D108" t="str">
            <v xml:space="preserve">DJOHAN IRAWAN </v>
          </cell>
        </row>
        <row r="109">
          <cell r="C109" t="str">
            <v>1957</v>
          </cell>
          <cell r="D109" t="str">
            <v>DIAN AGUS SUSANTO</v>
          </cell>
        </row>
        <row r="110">
          <cell r="C110" t="str">
            <v>1958</v>
          </cell>
          <cell r="D110" t="str">
            <v>MARTHA DIANSWARA</v>
          </cell>
        </row>
        <row r="111">
          <cell r="C111" t="str">
            <v>1959</v>
          </cell>
          <cell r="D111" t="str">
            <v>MIFTACHUR ROZZAQ</v>
          </cell>
        </row>
        <row r="112">
          <cell r="C112" t="str">
            <v>1960</v>
          </cell>
          <cell r="D112" t="str">
            <v>BUDI MARDIANTO</v>
          </cell>
        </row>
        <row r="113">
          <cell r="C113" t="str">
            <v>1961</v>
          </cell>
          <cell r="D113" t="str">
            <v>FAIZAL AKBARI</v>
          </cell>
        </row>
        <row r="114">
          <cell r="C114" t="str">
            <v>1963</v>
          </cell>
          <cell r="D114" t="str">
            <v>DODY HARTONO</v>
          </cell>
        </row>
        <row r="115">
          <cell r="C115" t="str">
            <v>1980</v>
          </cell>
          <cell r="D115" t="str">
            <v>AYUB GALEH BINTARIANTO</v>
          </cell>
        </row>
        <row r="116">
          <cell r="C116" t="str">
            <v>1981</v>
          </cell>
          <cell r="D116" t="str">
            <v>EKO KUSDIANTORO</v>
          </cell>
        </row>
        <row r="117">
          <cell r="C117" t="str">
            <v>1982</v>
          </cell>
          <cell r="D117" t="str">
            <v>FARHAN  ARHIMSYAH</v>
          </cell>
        </row>
        <row r="118">
          <cell r="C118" t="str">
            <v>1983</v>
          </cell>
          <cell r="D118" t="str">
            <v>SURATNO</v>
          </cell>
        </row>
        <row r="119">
          <cell r="C119" t="str">
            <v>1985</v>
          </cell>
          <cell r="D119" t="str">
            <v>ANWAR FARID</v>
          </cell>
        </row>
        <row r="120">
          <cell r="C120" t="str">
            <v>1986</v>
          </cell>
          <cell r="D120" t="str">
            <v>IVAN VERDIANTO</v>
          </cell>
        </row>
        <row r="121">
          <cell r="C121" t="str">
            <v>1987</v>
          </cell>
          <cell r="D121" t="str">
            <v>FARIZ ZULFIKAR</v>
          </cell>
        </row>
        <row r="122">
          <cell r="C122" t="str">
            <v>1989</v>
          </cell>
          <cell r="D122" t="str">
            <v>MOCH ANDREANSYAH</v>
          </cell>
        </row>
        <row r="123">
          <cell r="C123" t="str">
            <v>2002</v>
          </cell>
          <cell r="D123" t="str">
            <v>STEVANUS KRISTIAN</v>
          </cell>
        </row>
        <row r="124">
          <cell r="C124" t="str">
            <v>2003</v>
          </cell>
          <cell r="D124" t="str">
            <v xml:space="preserve">MOHAMMAD GHUFRON </v>
          </cell>
        </row>
        <row r="125">
          <cell r="C125" t="str">
            <v>2004</v>
          </cell>
          <cell r="D125" t="str">
            <v>MOCHAMMAD RIFAI</v>
          </cell>
        </row>
        <row r="126">
          <cell r="C126" t="str">
            <v>2005</v>
          </cell>
          <cell r="D126" t="str">
            <v>MOCHAMAD NUR BAHARSYAH</v>
          </cell>
        </row>
        <row r="127">
          <cell r="C127" t="str">
            <v>2006</v>
          </cell>
          <cell r="D127" t="str">
            <v>YUSA EKA MULIASIDI</v>
          </cell>
        </row>
        <row r="128">
          <cell r="C128" t="str">
            <v>2007</v>
          </cell>
          <cell r="D128" t="str">
            <v>ZEZAR PRIHANTORO</v>
          </cell>
        </row>
        <row r="129">
          <cell r="C129" t="str">
            <v>2009</v>
          </cell>
          <cell r="D129" t="str">
            <v>GLORI SELLA</v>
          </cell>
        </row>
        <row r="130">
          <cell r="C130" t="str">
            <v>2010</v>
          </cell>
          <cell r="D130" t="str">
            <v>ERIK OKTAIL</v>
          </cell>
        </row>
        <row r="131">
          <cell r="C131" t="str">
            <v>2012</v>
          </cell>
          <cell r="D131" t="str">
            <v>MASRIP</v>
          </cell>
        </row>
        <row r="132">
          <cell r="C132" t="str">
            <v>2039</v>
          </cell>
          <cell r="D132" t="str">
            <v>SUDJARWOKO</v>
          </cell>
        </row>
        <row r="133">
          <cell r="C133" t="str">
            <v>2040</v>
          </cell>
          <cell r="D133" t="str">
            <v>DENI KURNIAWAN</v>
          </cell>
        </row>
        <row r="134">
          <cell r="C134" t="str">
            <v>2041</v>
          </cell>
          <cell r="D134" t="str">
            <v>ALVIN AINUR ROISYI</v>
          </cell>
        </row>
        <row r="135">
          <cell r="C135" t="str">
            <v>2042</v>
          </cell>
          <cell r="D135" t="str">
            <v>MOCH ZAINI</v>
          </cell>
        </row>
        <row r="136">
          <cell r="C136" t="str">
            <v>2044</v>
          </cell>
          <cell r="D136" t="str">
            <v>AGAM RACHMAN</v>
          </cell>
        </row>
        <row r="137">
          <cell r="C137" t="str">
            <v>2061</v>
          </cell>
          <cell r="D137" t="str">
            <v>NURKHOLIS</v>
          </cell>
        </row>
        <row r="138">
          <cell r="C138" t="str">
            <v>2079</v>
          </cell>
          <cell r="D138" t="str">
            <v>RACHMAD ARIANTO</v>
          </cell>
        </row>
        <row r="139">
          <cell r="C139" t="str">
            <v>2080</v>
          </cell>
          <cell r="D139" t="str">
            <v>RUDI UTOMO PUTRO</v>
          </cell>
        </row>
        <row r="140">
          <cell r="C140" t="str">
            <v>2081</v>
          </cell>
          <cell r="D140" t="str">
            <v>ANDI SUSANTO</v>
          </cell>
        </row>
        <row r="141">
          <cell r="C141" t="str">
            <v>2082</v>
          </cell>
          <cell r="D141" t="str">
            <v>DAVID DARMAWAN</v>
          </cell>
        </row>
        <row r="142">
          <cell r="C142" t="str">
            <v>2083</v>
          </cell>
          <cell r="D142" t="str">
            <v>ROCMAD JUNIARTO</v>
          </cell>
        </row>
        <row r="143">
          <cell r="C143" t="str">
            <v>2085</v>
          </cell>
          <cell r="D143" t="str">
            <v>WAHYU ROY RACHMAN</v>
          </cell>
        </row>
        <row r="144">
          <cell r="C144" t="str">
            <v>2086</v>
          </cell>
          <cell r="D144" t="str">
            <v>IRAWAN SUNASTYO</v>
          </cell>
        </row>
        <row r="145">
          <cell r="C145" t="str">
            <v>2087</v>
          </cell>
          <cell r="D145" t="str">
            <v>M, JUNAIDI A</v>
          </cell>
        </row>
        <row r="146">
          <cell r="C146" t="str">
            <v>2088</v>
          </cell>
          <cell r="D146" t="str">
            <v>MOH. HARIS</v>
          </cell>
        </row>
        <row r="147">
          <cell r="C147" t="str">
            <v>2090</v>
          </cell>
          <cell r="D147" t="str">
            <v>ERIK FIRMANSYAH</v>
          </cell>
        </row>
        <row r="148">
          <cell r="C148" t="str">
            <v>2091</v>
          </cell>
          <cell r="D148" t="str">
            <v>EKO WAHYU PRAKOSO</v>
          </cell>
        </row>
        <row r="149">
          <cell r="C149" t="str">
            <v>2092</v>
          </cell>
          <cell r="D149" t="str">
            <v>UUN PRASTIANTORO</v>
          </cell>
        </row>
        <row r="150">
          <cell r="C150" t="str">
            <v>2094</v>
          </cell>
          <cell r="D150" t="str">
            <v>BARI ISKANDAR</v>
          </cell>
        </row>
        <row r="151">
          <cell r="C151" t="str">
            <v>2097</v>
          </cell>
          <cell r="D151" t="str">
            <v>WIWIT SUGIANTO</v>
          </cell>
        </row>
        <row r="152">
          <cell r="C152" t="str">
            <v>2177</v>
          </cell>
          <cell r="D152" t="str">
            <v>SHOLEH</v>
          </cell>
        </row>
        <row r="153">
          <cell r="C153">
            <v>2205</v>
          </cell>
          <cell r="D153" t="str">
            <v>BENI SETIAWAN</v>
          </cell>
        </row>
        <row r="154">
          <cell r="C154">
            <v>2206</v>
          </cell>
          <cell r="D154" t="str">
            <v>EDY SUSANTO</v>
          </cell>
        </row>
        <row r="155">
          <cell r="C155">
            <v>2207</v>
          </cell>
          <cell r="D155" t="str">
            <v>ACHMAD EFENDI</v>
          </cell>
        </row>
        <row r="156">
          <cell r="C156">
            <v>2209</v>
          </cell>
          <cell r="D156" t="str">
            <v>SOEKARNO</v>
          </cell>
        </row>
        <row r="157">
          <cell r="C157">
            <v>2211</v>
          </cell>
          <cell r="D157" t="str">
            <v>ARYO BRAMASTA</v>
          </cell>
        </row>
        <row r="158">
          <cell r="C158" t="str">
            <v>2272</v>
          </cell>
          <cell r="D158" t="str">
            <v>CAHYO ADJI SAPUTRO</v>
          </cell>
        </row>
        <row r="159">
          <cell r="C159" t="str">
            <v>2273</v>
          </cell>
          <cell r="D159" t="str">
            <v>HARY HARYADI</v>
          </cell>
        </row>
        <row r="160">
          <cell r="C160" t="str">
            <v>2274</v>
          </cell>
          <cell r="D160" t="str">
            <v>DERI ARVIANTO</v>
          </cell>
        </row>
        <row r="161">
          <cell r="C161" t="str">
            <v>2275</v>
          </cell>
          <cell r="D161" t="str">
            <v>AHMAD RIZAL HANAFI</v>
          </cell>
        </row>
        <row r="162">
          <cell r="C162" t="str">
            <v>2276</v>
          </cell>
          <cell r="D162" t="str">
            <v>AGUS KHOIRUL ANWAR</v>
          </cell>
        </row>
        <row r="163">
          <cell r="C163" t="str">
            <v>2277</v>
          </cell>
          <cell r="D163" t="str">
            <v>RIZAL ANANDHITA</v>
          </cell>
        </row>
        <row r="164">
          <cell r="C164" t="str">
            <v>2325</v>
          </cell>
          <cell r="D164" t="str">
            <v>ERWIN SULISTIOWARNO</v>
          </cell>
        </row>
        <row r="165">
          <cell r="C165" t="str">
            <v>2326</v>
          </cell>
          <cell r="D165" t="str">
            <v>ADE GUSTIAWAN</v>
          </cell>
        </row>
        <row r="166">
          <cell r="C166" t="str">
            <v>2328</v>
          </cell>
          <cell r="D166" t="str">
            <v>KUFWANI</v>
          </cell>
        </row>
        <row r="167">
          <cell r="C167" t="str">
            <v>2329</v>
          </cell>
          <cell r="D167" t="str">
            <v>HARIS SETIAWAN</v>
          </cell>
        </row>
        <row r="168">
          <cell r="C168" t="str">
            <v>2332</v>
          </cell>
          <cell r="D168" t="str">
            <v>DANI EKA PRASETYO</v>
          </cell>
        </row>
        <row r="169">
          <cell r="C169" t="str">
            <v>2333</v>
          </cell>
          <cell r="D169" t="str">
            <v>EDI PUTRA RAHARJO</v>
          </cell>
        </row>
        <row r="170">
          <cell r="C170" t="str">
            <v>2339</v>
          </cell>
          <cell r="D170" t="str">
            <v>ACHMAD FERRY.A</v>
          </cell>
        </row>
        <row r="171">
          <cell r="C171" t="str">
            <v>2341</v>
          </cell>
          <cell r="D171" t="str">
            <v>MUNANDAR</v>
          </cell>
        </row>
        <row r="172">
          <cell r="C172" t="str">
            <v>2343</v>
          </cell>
          <cell r="D172" t="str">
            <v>ARI GUNAWAN</v>
          </cell>
        </row>
        <row r="173">
          <cell r="C173" t="str">
            <v>2345</v>
          </cell>
          <cell r="D173" t="str">
            <v>SUNARYO</v>
          </cell>
        </row>
        <row r="174">
          <cell r="C174" t="str">
            <v>2346</v>
          </cell>
          <cell r="D174" t="str">
            <v>ANDRIAS BASKORO .F</v>
          </cell>
        </row>
        <row r="175">
          <cell r="C175" t="str">
            <v>2347</v>
          </cell>
          <cell r="D175" t="str">
            <v>THOMAS SANTOSO</v>
          </cell>
        </row>
        <row r="176">
          <cell r="C176" t="str">
            <v>2348</v>
          </cell>
          <cell r="D176" t="str">
            <v>ROBBY RACHMAT ISMAIL</v>
          </cell>
        </row>
        <row r="177">
          <cell r="C177">
            <v>2349</v>
          </cell>
          <cell r="D177" t="str">
            <v>M. ABDUL MUSTOFA</v>
          </cell>
        </row>
        <row r="178">
          <cell r="C178" t="str">
            <v>2389</v>
          </cell>
          <cell r="D178" t="str">
            <v>KEVIN DWI CAHYO</v>
          </cell>
        </row>
        <row r="179">
          <cell r="C179" t="str">
            <v>2390</v>
          </cell>
          <cell r="D179" t="str">
            <v>NOVEL TAUFAN</v>
          </cell>
        </row>
        <row r="180">
          <cell r="C180" t="str">
            <v>2391</v>
          </cell>
          <cell r="D180" t="str">
            <v>EKO SUSILO</v>
          </cell>
        </row>
        <row r="181">
          <cell r="C181" t="str">
            <v>2392</v>
          </cell>
          <cell r="D181" t="str">
            <v>DANANG SETIAWAN</v>
          </cell>
        </row>
        <row r="182">
          <cell r="C182" t="str">
            <v>2422</v>
          </cell>
          <cell r="D182" t="str">
            <v>REZA BOBY SUSANTO</v>
          </cell>
        </row>
        <row r="183">
          <cell r="C183" t="str">
            <v>2423</v>
          </cell>
          <cell r="D183" t="str">
            <v>EDO BAYU HARI SAPUTRA</v>
          </cell>
        </row>
        <row r="184">
          <cell r="C184" t="str">
            <v>2424</v>
          </cell>
          <cell r="D184" t="str">
            <v>M. IKHWANUL KHAQMI</v>
          </cell>
        </row>
        <row r="185">
          <cell r="C185" t="str">
            <v>2426</v>
          </cell>
          <cell r="D185" t="str">
            <v>BAMBANG ADI MERDEKA</v>
          </cell>
        </row>
        <row r="186">
          <cell r="C186" t="str">
            <v>2428</v>
          </cell>
          <cell r="D186" t="str">
            <v>SUYANTO</v>
          </cell>
        </row>
        <row r="187">
          <cell r="C187" t="str">
            <v>2495</v>
          </cell>
          <cell r="D187" t="str">
            <v>ABD. WACHID</v>
          </cell>
        </row>
        <row r="188">
          <cell r="C188" t="str">
            <v>2496</v>
          </cell>
          <cell r="D188" t="str">
            <v>ARI WIBOWO</v>
          </cell>
        </row>
        <row r="189">
          <cell r="C189" t="str">
            <v>2497</v>
          </cell>
          <cell r="D189" t="str">
            <v>TAUFIK TAUFANI</v>
          </cell>
        </row>
        <row r="190">
          <cell r="C190" t="str">
            <v>2501</v>
          </cell>
          <cell r="D190" t="str">
            <v>DIMAS PRAMANA SUHARDI</v>
          </cell>
        </row>
        <row r="191">
          <cell r="C191" t="str">
            <v>2502</v>
          </cell>
          <cell r="D191" t="str">
            <v>MEDY CAHYONO</v>
          </cell>
        </row>
        <row r="192">
          <cell r="C192" t="str">
            <v>2503</v>
          </cell>
          <cell r="D192" t="str">
            <v>GAGAH TRIJULIANTO PUTRA.S</v>
          </cell>
        </row>
        <row r="193">
          <cell r="C193" t="str">
            <v>2504</v>
          </cell>
          <cell r="D193" t="str">
            <v>RIZAL ARISYANTO</v>
          </cell>
        </row>
        <row r="194">
          <cell r="C194" t="str">
            <v>2505</v>
          </cell>
          <cell r="D194" t="str">
            <v>JUMAT</v>
          </cell>
        </row>
        <row r="195">
          <cell r="C195" t="str">
            <v>2521</v>
          </cell>
          <cell r="D195" t="str">
            <v>DWI SETIAWAN</v>
          </cell>
        </row>
        <row r="196">
          <cell r="C196" t="str">
            <v>2522</v>
          </cell>
          <cell r="D196" t="str">
            <v>SUPRIYONO</v>
          </cell>
        </row>
        <row r="197">
          <cell r="C197" t="str">
            <v>2523</v>
          </cell>
          <cell r="D197" t="str">
            <v>JUNI DWI RIADI</v>
          </cell>
        </row>
        <row r="198">
          <cell r="C198" t="str">
            <v>2543</v>
          </cell>
          <cell r="D198" t="str">
            <v>AGUS TRIYONO</v>
          </cell>
        </row>
        <row r="199">
          <cell r="C199" t="str">
            <v>2585</v>
          </cell>
          <cell r="D199" t="str">
            <v>HOIRI</v>
          </cell>
        </row>
        <row r="200">
          <cell r="C200" t="str">
            <v>2586</v>
          </cell>
          <cell r="D200" t="str">
            <v>DIAN RAHMAT HERMANSYAH</v>
          </cell>
        </row>
        <row r="201">
          <cell r="C201" t="str">
            <v>2659</v>
          </cell>
          <cell r="D201" t="str">
            <v>SAMSUL</v>
          </cell>
        </row>
        <row r="202">
          <cell r="C202" t="str">
            <v>2660</v>
          </cell>
          <cell r="D202" t="str">
            <v>DEDI SUCAHYONO</v>
          </cell>
        </row>
        <row r="203">
          <cell r="C203" t="str">
            <v>2661</v>
          </cell>
          <cell r="D203" t="str">
            <v>TRI LAKSONO</v>
          </cell>
        </row>
        <row r="204">
          <cell r="C204" t="str">
            <v>2662</v>
          </cell>
          <cell r="D204" t="str">
            <v>SUPENDIK</v>
          </cell>
        </row>
        <row r="205">
          <cell r="C205" t="str">
            <v>2663</v>
          </cell>
          <cell r="D205" t="str">
            <v xml:space="preserve">HENDRIX ANDOKO </v>
          </cell>
        </row>
        <row r="206">
          <cell r="C206" t="str">
            <v>2665</v>
          </cell>
          <cell r="D206" t="str">
            <v>NYOTO PURWANTO</v>
          </cell>
        </row>
        <row r="207">
          <cell r="C207" t="str">
            <v>2666</v>
          </cell>
          <cell r="D207" t="str">
            <v>MISBAHUDDIN</v>
          </cell>
        </row>
        <row r="208">
          <cell r="C208" t="str">
            <v>2669</v>
          </cell>
          <cell r="D208" t="str">
            <v>CATUR SEBASTIAN</v>
          </cell>
        </row>
        <row r="209">
          <cell r="C209" t="str">
            <v>0464</v>
          </cell>
          <cell r="D209" t="str">
            <v>NOVAN HARDIYANTO</v>
          </cell>
        </row>
        <row r="210">
          <cell r="C210" t="str">
            <v>2695</v>
          </cell>
          <cell r="D210" t="str">
            <v>IVAN BRAMASTO</v>
          </cell>
        </row>
        <row r="211">
          <cell r="C211" t="str">
            <v>2719</v>
          </cell>
          <cell r="D211" t="str">
            <v>FARHAN DHIKA HAMAZ YONANDA</v>
          </cell>
        </row>
        <row r="212">
          <cell r="C212" t="str">
            <v>2720</v>
          </cell>
          <cell r="D212" t="str">
            <v>SUNARDI</v>
          </cell>
        </row>
        <row r="213">
          <cell r="C213">
            <v>2809</v>
          </cell>
          <cell r="D213" t="str">
            <v>CAHYO FEBRI WIBOWO</v>
          </cell>
        </row>
        <row r="214">
          <cell r="C214">
            <v>2875</v>
          </cell>
          <cell r="D214" t="str">
            <v>ANDRIAN SUAWA</v>
          </cell>
        </row>
        <row r="215">
          <cell r="C215">
            <v>2876</v>
          </cell>
          <cell r="D215" t="str">
            <v xml:space="preserve">AL MUHAIMIN ANANDA SONY </v>
          </cell>
        </row>
        <row r="216">
          <cell r="C216">
            <v>2883</v>
          </cell>
          <cell r="D216" t="str">
            <v>JUWANDI</v>
          </cell>
        </row>
        <row r="218">
          <cell r="C218" t="str">
            <v>NIK</v>
          </cell>
          <cell r="D218" t="str">
            <v>NAMA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Y"/>
      <sheetName val="JBG"/>
      <sheetName val="MADURA"/>
      <sheetName val="LMG"/>
      <sheetName val="PBL"/>
      <sheetName val="MLG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C8" t="str">
            <v>ABDUL KHOLIQ JUNAIDI</v>
          </cell>
          <cell r="D8" t="str">
            <v>SURABAYA</v>
          </cell>
          <cell r="E8">
            <v>810000</v>
          </cell>
        </row>
        <row r="9">
          <cell r="C9" t="str">
            <v>ABDUL WACHID</v>
          </cell>
          <cell r="D9" t="str">
            <v>SURABAYA</v>
          </cell>
          <cell r="E9">
            <v>1030000</v>
          </cell>
        </row>
        <row r="10">
          <cell r="C10" t="str">
            <v>ACHMAD EFENDI</v>
          </cell>
          <cell r="D10" t="str">
            <v>SURABAYA</v>
          </cell>
          <cell r="E10">
            <v>495000</v>
          </cell>
        </row>
        <row r="11">
          <cell r="C11" t="str">
            <v>ACHMAD FERRY ARDIANSYAH</v>
          </cell>
          <cell r="D11" t="str">
            <v>SURABAYA</v>
          </cell>
          <cell r="E11">
            <v>740000</v>
          </cell>
        </row>
        <row r="12">
          <cell r="C12" t="str">
            <v>ACHMAD HARIS SUTRISNO</v>
          </cell>
          <cell r="D12" t="str">
            <v>SURABAYA</v>
          </cell>
          <cell r="E12">
            <v>940000</v>
          </cell>
        </row>
        <row r="13">
          <cell r="C13" t="str">
            <v>ACHMAD INDRA CAYADI</v>
          </cell>
          <cell r="D13" t="str">
            <v>SURABAYA</v>
          </cell>
          <cell r="E13">
            <v>757500</v>
          </cell>
        </row>
        <row r="14">
          <cell r="C14" t="str">
            <v>ACHMAD ROFIQ FIRMANSYAH</v>
          </cell>
          <cell r="D14" t="str">
            <v>SURABAYA</v>
          </cell>
          <cell r="E14">
            <v>520000</v>
          </cell>
        </row>
        <row r="15">
          <cell r="C15" t="str">
            <v>ADE GUSTIAWAN</v>
          </cell>
          <cell r="D15" t="str">
            <v>SURABAYA</v>
          </cell>
          <cell r="E15">
            <v>750000</v>
          </cell>
        </row>
        <row r="16">
          <cell r="C16" t="str">
            <v>ADE IRAWAN</v>
          </cell>
          <cell r="D16" t="str">
            <v>SURABAYA</v>
          </cell>
          <cell r="E16">
            <v>298000</v>
          </cell>
        </row>
        <row r="17">
          <cell r="C17" t="str">
            <v>ADE OKY DWI CHRISTANTO</v>
          </cell>
          <cell r="D17" t="str">
            <v>SURABAYA</v>
          </cell>
          <cell r="E17">
            <v>697500</v>
          </cell>
        </row>
        <row r="18">
          <cell r="C18" t="str">
            <v>AGAM RACHMAN</v>
          </cell>
          <cell r="D18" t="str">
            <v>SURABAYA</v>
          </cell>
          <cell r="E18">
            <v>840000</v>
          </cell>
        </row>
        <row r="19">
          <cell r="C19" t="str">
            <v>AGUNG PRASETYO</v>
          </cell>
          <cell r="D19" t="str">
            <v>SURABAYA</v>
          </cell>
          <cell r="E19">
            <v>450000</v>
          </cell>
        </row>
        <row r="20">
          <cell r="C20" t="str">
            <v>AGUS KHOIRUL ANWAR</v>
          </cell>
          <cell r="D20" t="str">
            <v>SURABAYA</v>
          </cell>
          <cell r="E20">
            <v>395000</v>
          </cell>
        </row>
        <row r="21">
          <cell r="C21" t="str">
            <v>AGUS TRIYONO</v>
          </cell>
          <cell r="D21" t="str">
            <v>SURABAYA</v>
          </cell>
          <cell r="E21">
            <v>700000</v>
          </cell>
        </row>
        <row r="22">
          <cell r="C22" t="str">
            <v>AHMAD ARFANDI</v>
          </cell>
          <cell r="D22" t="str">
            <v>SURABAYA</v>
          </cell>
          <cell r="E22">
            <v>630000</v>
          </cell>
        </row>
        <row r="23">
          <cell r="C23" t="str">
            <v>AHMAD HAFIDON</v>
          </cell>
          <cell r="D23" t="str">
            <v>SURABAYA</v>
          </cell>
          <cell r="E23">
            <v>720000</v>
          </cell>
        </row>
        <row r="24">
          <cell r="C24" t="str">
            <v>AHMAD RIZAL HANAFI</v>
          </cell>
          <cell r="D24" t="str">
            <v>SURABAYA</v>
          </cell>
          <cell r="E24">
            <v>375000</v>
          </cell>
        </row>
        <row r="25">
          <cell r="C25" t="str">
            <v>AHMAD SAMSUDIN</v>
          </cell>
          <cell r="D25" t="str">
            <v>SURABAYA</v>
          </cell>
          <cell r="E25">
            <v>545000</v>
          </cell>
        </row>
        <row r="26">
          <cell r="C26" t="str">
            <v>AHMAD WAHID</v>
          </cell>
          <cell r="D26" t="str">
            <v>SURABAYA</v>
          </cell>
          <cell r="E26">
            <v>762500</v>
          </cell>
        </row>
        <row r="27">
          <cell r="C27" t="str">
            <v>ALVIN AINUR ROISYI</v>
          </cell>
          <cell r="D27" t="str">
            <v>SURABAYA</v>
          </cell>
          <cell r="E27">
            <v>277000</v>
          </cell>
        </row>
        <row r="28">
          <cell r="C28" t="str">
            <v>ANDI SUSANTO</v>
          </cell>
          <cell r="D28" t="str">
            <v>SURABAYA</v>
          </cell>
          <cell r="E28">
            <v>525000</v>
          </cell>
        </row>
        <row r="29">
          <cell r="C29" t="str">
            <v>ANDREAS BASKORO FEBRIANTO</v>
          </cell>
          <cell r="D29" t="str">
            <v>SURABAYA</v>
          </cell>
          <cell r="E29">
            <v>47000</v>
          </cell>
        </row>
        <row r="30">
          <cell r="C30" t="str">
            <v>ANWAR FARID</v>
          </cell>
          <cell r="D30" t="str">
            <v>SURABAYA</v>
          </cell>
          <cell r="E30">
            <v>200000</v>
          </cell>
        </row>
        <row r="31">
          <cell r="C31" t="str">
            <v>ARI BIGWANTO</v>
          </cell>
          <cell r="D31" t="str">
            <v>SURABAYA</v>
          </cell>
          <cell r="E31">
            <v>1740000</v>
          </cell>
        </row>
        <row r="32">
          <cell r="C32" t="str">
            <v>ARI GUNAWAN</v>
          </cell>
          <cell r="D32" t="str">
            <v>SURABAYA</v>
          </cell>
          <cell r="E32">
            <v>570000</v>
          </cell>
        </row>
        <row r="33">
          <cell r="C33" t="str">
            <v>ARI WIBOWO</v>
          </cell>
          <cell r="D33" t="str">
            <v>SURABAYA</v>
          </cell>
          <cell r="E33">
            <v>305000</v>
          </cell>
        </row>
        <row r="34">
          <cell r="C34" t="str">
            <v>ARIEF SULISTYO</v>
          </cell>
          <cell r="D34" t="str">
            <v>SURABAYA</v>
          </cell>
          <cell r="E34">
            <v>680000</v>
          </cell>
        </row>
        <row r="35">
          <cell r="C35" t="str">
            <v>ARIS SETIAWAN</v>
          </cell>
          <cell r="D35" t="str">
            <v>SURABAYA</v>
          </cell>
          <cell r="E35">
            <v>314000</v>
          </cell>
        </row>
        <row r="36">
          <cell r="C36" t="str">
            <v>ARYO BRAMASTA</v>
          </cell>
          <cell r="D36" t="str">
            <v>SURABAYA</v>
          </cell>
          <cell r="E36">
            <v>350000</v>
          </cell>
        </row>
        <row r="37">
          <cell r="C37" t="str">
            <v>AYUB GALEH BINTARIANTO</v>
          </cell>
          <cell r="D37" t="str">
            <v>SURABAYA</v>
          </cell>
          <cell r="E37">
            <v>291000</v>
          </cell>
        </row>
        <row r="38">
          <cell r="C38" t="str">
            <v>BAGAS ADITYA PUTRA PRATAMA</v>
          </cell>
          <cell r="D38" t="str">
            <v>SURABAYA</v>
          </cell>
          <cell r="E38">
            <v>390000</v>
          </cell>
        </row>
        <row r="39">
          <cell r="C39" t="str">
            <v>BAMBAN SATRIAWAN</v>
          </cell>
          <cell r="D39" t="str">
            <v>SURABAYA</v>
          </cell>
          <cell r="E39">
            <v>315000</v>
          </cell>
        </row>
        <row r="40">
          <cell r="C40" t="str">
            <v>BAMBANG ANDY MERDEKA</v>
          </cell>
          <cell r="D40" t="str">
            <v>SURABAYA</v>
          </cell>
          <cell r="E40">
            <v>286000</v>
          </cell>
        </row>
        <row r="41">
          <cell r="C41" t="str">
            <v>BARI ISKANDAR</v>
          </cell>
          <cell r="D41" t="str">
            <v>SURABAYA</v>
          </cell>
          <cell r="E41">
            <v>464000</v>
          </cell>
        </row>
        <row r="42">
          <cell r="C42" t="str">
            <v>BAYU DIAN ARISANDI</v>
          </cell>
          <cell r="D42" t="str">
            <v>SURABAYA</v>
          </cell>
          <cell r="E42">
            <v>525000</v>
          </cell>
        </row>
        <row r="43">
          <cell r="C43" t="str">
            <v>BENI SETIAWAN</v>
          </cell>
          <cell r="D43" t="str">
            <v>SURABAYA</v>
          </cell>
          <cell r="E43">
            <v>975000</v>
          </cell>
        </row>
        <row r="44">
          <cell r="C44" t="str">
            <v>BILLY DIMAS DANU BARATA</v>
          </cell>
          <cell r="D44" t="str">
            <v>SURABAYA</v>
          </cell>
          <cell r="E44">
            <v>407000</v>
          </cell>
        </row>
        <row r="45">
          <cell r="C45" t="str">
            <v>BOY CAROLIN</v>
          </cell>
          <cell r="D45" t="str">
            <v>SURABAYA</v>
          </cell>
          <cell r="E45">
            <v>720000</v>
          </cell>
        </row>
        <row r="46">
          <cell r="C46" t="str">
            <v>BUDI MARDIANTO</v>
          </cell>
          <cell r="D46" t="str">
            <v>SURABAYA</v>
          </cell>
          <cell r="E46">
            <v>49000</v>
          </cell>
        </row>
        <row r="47">
          <cell r="C47" t="str">
            <v>CAHYO ADJI SAPUTRO</v>
          </cell>
          <cell r="D47" t="str">
            <v>SURABAYA</v>
          </cell>
          <cell r="E47">
            <v>360000</v>
          </cell>
        </row>
        <row r="48">
          <cell r="C48" t="str">
            <v>CATUR LANGGENG WIBISONO</v>
          </cell>
          <cell r="D48" t="str">
            <v>SURABAYA</v>
          </cell>
          <cell r="E48">
            <v>170000</v>
          </cell>
        </row>
        <row r="49">
          <cell r="C49" t="str">
            <v>CATUR SEBASTIAN</v>
          </cell>
          <cell r="D49" t="str">
            <v>SURABAYA</v>
          </cell>
          <cell r="E49">
            <v>120000</v>
          </cell>
        </row>
        <row r="50">
          <cell r="C50" t="str">
            <v>DANANG SETIAWAN</v>
          </cell>
          <cell r="D50" t="str">
            <v>SURABAYA</v>
          </cell>
          <cell r="E50">
            <v>610000</v>
          </cell>
        </row>
        <row r="51">
          <cell r="C51" t="str">
            <v>DANI EKA PRASETYO</v>
          </cell>
          <cell r="D51" t="str">
            <v>SURABAYA</v>
          </cell>
          <cell r="E51">
            <v>425000</v>
          </cell>
        </row>
        <row r="52">
          <cell r="C52" t="str">
            <v>DAVID DARMAWAN</v>
          </cell>
          <cell r="D52" t="str">
            <v>SURABAYA</v>
          </cell>
          <cell r="E52">
            <v>445000</v>
          </cell>
        </row>
        <row r="53">
          <cell r="C53" t="str">
            <v>DEDE ADAM NUGIE NUGRAHA</v>
          </cell>
          <cell r="D53" t="str">
            <v>SURABAYA</v>
          </cell>
          <cell r="E53">
            <v>930000</v>
          </cell>
        </row>
        <row r="54">
          <cell r="C54" t="str">
            <v>DEDI SUCAHYONO</v>
          </cell>
          <cell r="D54" t="str">
            <v>SURABAYA</v>
          </cell>
          <cell r="E54">
            <v>485000</v>
          </cell>
        </row>
        <row r="55">
          <cell r="C55" t="str">
            <v>DEDY PERMADI</v>
          </cell>
          <cell r="D55" t="str">
            <v>SURABAYA</v>
          </cell>
          <cell r="E55">
            <v>700000</v>
          </cell>
        </row>
        <row r="56">
          <cell r="C56" t="str">
            <v>DENI KURNIAWAN</v>
          </cell>
          <cell r="D56" t="str">
            <v>SURABAYA</v>
          </cell>
          <cell r="E56">
            <v>700000</v>
          </cell>
        </row>
        <row r="57">
          <cell r="C57" t="str">
            <v>DERI ARVIANTO</v>
          </cell>
          <cell r="D57" t="str">
            <v>SURABAYA</v>
          </cell>
          <cell r="E57">
            <v>845000</v>
          </cell>
        </row>
        <row r="58">
          <cell r="C58" t="str">
            <v>DIAN AGUS SUSANTO</v>
          </cell>
          <cell r="D58" t="str">
            <v>SURABAYA</v>
          </cell>
          <cell r="E58">
            <v>570000</v>
          </cell>
        </row>
        <row r="59">
          <cell r="C59" t="str">
            <v>DIAN RAHMAT</v>
          </cell>
          <cell r="D59" t="str">
            <v>SURABAYA</v>
          </cell>
          <cell r="E59">
            <v>365000</v>
          </cell>
        </row>
        <row r="60">
          <cell r="C60" t="str">
            <v>DIKA SUSANTO</v>
          </cell>
          <cell r="D60" t="str">
            <v>SURABAYA</v>
          </cell>
          <cell r="E60">
            <v>1102500</v>
          </cell>
        </row>
        <row r="61">
          <cell r="C61" t="str">
            <v>DIMAS PRAMANA S.</v>
          </cell>
          <cell r="D61" t="str">
            <v>SURABAYA</v>
          </cell>
          <cell r="E61">
            <v>670000</v>
          </cell>
        </row>
        <row r="62">
          <cell r="C62" t="str">
            <v>DJOHAN IRAWAN</v>
          </cell>
          <cell r="D62" t="str">
            <v>SURABAYA</v>
          </cell>
          <cell r="E62">
            <v>567500</v>
          </cell>
        </row>
        <row r="63">
          <cell r="C63" t="str">
            <v>DODI HARTONO</v>
          </cell>
          <cell r="D63" t="str">
            <v>SURABAYA</v>
          </cell>
          <cell r="E63">
            <v>316000</v>
          </cell>
        </row>
        <row r="64">
          <cell r="C64" t="str">
            <v>DODIK FAJARIANTO</v>
          </cell>
          <cell r="D64" t="str">
            <v>SURABAYA</v>
          </cell>
          <cell r="E64">
            <v>1000000</v>
          </cell>
        </row>
        <row r="65">
          <cell r="C65" t="str">
            <v>DWI SETIAWAN</v>
          </cell>
          <cell r="D65" t="str">
            <v>SURABAYA</v>
          </cell>
          <cell r="E65">
            <v>455000</v>
          </cell>
        </row>
        <row r="66">
          <cell r="C66" t="str">
            <v>EDI PUTRO RAHARJO</v>
          </cell>
          <cell r="D66" t="str">
            <v>SURABAYA</v>
          </cell>
          <cell r="E66">
            <v>404500</v>
          </cell>
        </row>
        <row r="67">
          <cell r="C67" t="str">
            <v>EDO BAYU HARI SAPUTRA</v>
          </cell>
          <cell r="D67" t="str">
            <v>SURABAYA</v>
          </cell>
          <cell r="E67">
            <v>610000</v>
          </cell>
        </row>
        <row r="68">
          <cell r="C68" t="str">
            <v>EDWIN WIDYANTO</v>
          </cell>
          <cell r="D68" t="str">
            <v>SURABAYA</v>
          </cell>
          <cell r="E68">
            <v>900000</v>
          </cell>
        </row>
        <row r="69">
          <cell r="C69" t="str">
            <v>EDY SUSANTO</v>
          </cell>
          <cell r="D69" t="str">
            <v>SURABAYA</v>
          </cell>
          <cell r="E69">
            <v>920000</v>
          </cell>
        </row>
        <row r="70">
          <cell r="C70" t="str">
            <v>EFENDI SUPIKIR</v>
          </cell>
          <cell r="D70" t="str">
            <v>SURABAYA</v>
          </cell>
          <cell r="E70">
            <v>975000</v>
          </cell>
        </row>
        <row r="71">
          <cell r="C71" t="str">
            <v>EKO KUSDIANTORO</v>
          </cell>
          <cell r="D71" t="str">
            <v>SURABAYA</v>
          </cell>
          <cell r="E71">
            <v>173000</v>
          </cell>
        </row>
        <row r="72">
          <cell r="C72" t="str">
            <v>EKO RAHMAT FITRI DIONO</v>
          </cell>
          <cell r="D72" t="str">
            <v>SURABAYA</v>
          </cell>
          <cell r="E72">
            <v>425000</v>
          </cell>
        </row>
        <row r="73">
          <cell r="C73" t="str">
            <v>EKO SUSILO</v>
          </cell>
          <cell r="D73" t="str">
            <v>SURABAYA</v>
          </cell>
          <cell r="E73">
            <v>1075000</v>
          </cell>
        </row>
        <row r="74">
          <cell r="C74" t="str">
            <v>EKO WAHYU PRAKOSO</v>
          </cell>
          <cell r="D74" t="str">
            <v>SURABAYA</v>
          </cell>
          <cell r="E74">
            <v>470000</v>
          </cell>
        </row>
        <row r="75">
          <cell r="C75" t="str">
            <v>ERIK FIRMANSYAH</v>
          </cell>
          <cell r="D75" t="str">
            <v>SURABAYA</v>
          </cell>
          <cell r="E75">
            <v>515000</v>
          </cell>
        </row>
        <row r="76">
          <cell r="C76" t="str">
            <v>ERIK OKTIAL</v>
          </cell>
          <cell r="D76" t="str">
            <v>SURABAYA</v>
          </cell>
          <cell r="E76">
            <v>1890000</v>
          </cell>
        </row>
        <row r="77">
          <cell r="C77" t="str">
            <v>FAHMI HIDAYATULLAH</v>
          </cell>
          <cell r="D77" t="str">
            <v>SURABAYA</v>
          </cell>
          <cell r="E77">
            <v>620000</v>
          </cell>
        </row>
        <row r="78">
          <cell r="C78" t="str">
            <v>FAIZAL AKBARI</v>
          </cell>
          <cell r="D78" t="str">
            <v>SURABAYA</v>
          </cell>
          <cell r="E78">
            <v>430000</v>
          </cell>
        </row>
        <row r="79">
          <cell r="C79" t="str">
            <v>FALDI FIRMAN IRZA</v>
          </cell>
          <cell r="D79" t="str">
            <v>SURABAYA</v>
          </cell>
          <cell r="E79">
            <v>335000</v>
          </cell>
        </row>
        <row r="80">
          <cell r="C80" t="str">
            <v>FARHAN ARHIMSYAH</v>
          </cell>
          <cell r="D80" t="str">
            <v>SURABAYA</v>
          </cell>
          <cell r="E80">
            <v>241000</v>
          </cell>
        </row>
        <row r="81">
          <cell r="C81" t="str">
            <v>FARHAN DIKA HAMAZ YONANDA</v>
          </cell>
          <cell r="D81" t="str">
            <v>SURABAYA</v>
          </cell>
          <cell r="E81">
            <v>170000</v>
          </cell>
        </row>
        <row r="82">
          <cell r="C82" t="str">
            <v>FARIZ ZULFIKAR</v>
          </cell>
          <cell r="D82" t="str">
            <v>SURABAYA</v>
          </cell>
          <cell r="E82">
            <v>542500</v>
          </cell>
        </row>
        <row r="83">
          <cell r="C83" t="str">
            <v>FRASTIAN WIRATMAN</v>
          </cell>
          <cell r="D83" t="str">
            <v>SURABAYA</v>
          </cell>
          <cell r="E83">
            <v>1500000</v>
          </cell>
        </row>
        <row r="84">
          <cell r="C84" t="str">
            <v>FUAD FAJRI SOBA</v>
          </cell>
          <cell r="D84" t="str">
            <v>SURABAYA</v>
          </cell>
          <cell r="E84">
            <v>204000</v>
          </cell>
        </row>
        <row r="85">
          <cell r="C85" t="str">
            <v>GAGAH TRI JULIANTO PUTRA</v>
          </cell>
          <cell r="D85" t="str">
            <v>SURABAYA</v>
          </cell>
          <cell r="E85">
            <v>495000</v>
          </cell>
        </row>
        <row r="86">
          <cell r="C86" t="str">
            <v>GLORI SELLA</v>
          </cell>
          <cell r="D86" t="str">
            <v>SURABAYA</v>
          </cell>
          <cell r="E86">
            <v>600000</v>
          </cell>
        </row>
        <row r="87">
          <cell r="C87" t="str">
            <v>HARI HARYADI</v>
          </cell>
          <cell r="D87" t="str">
            <v>SURABAYA</v>
          </cell>
          <cell r="E87">
            <v>1530000</v>
          </cell>
        </row>
        <row r="88">
          <cell r="C88" t="str">
            <v>HARI SETYAWAN</v>
          </cell>
          <cell r="D88" t="str">
            <v>SURABAYA</v>
          </cell>
          <cell r="E88">
            <v>350000</v>
          </cell>
        </row>
        <row r="89">
          <cell r="C89" t="str">
            <v>HARIS SETIAWAN</v>
          </cell>
          <cell r="D89" t="str">
            <v>SURABAYA</v>
          </cell>
          <cell r="E89">
            <v>665000</v>
          </cell>
        </row>
        <row r="90">
          <cell r="C90" t="str">
            <v>HELA PRASETYA</v>
          </cell>
          <cell r="D90" t="str">
            <v>SURABAYA</v>
          </cell>
          <cell r="E90">
            <v>703500</v>
          </cell>
        </row>
        <row r="91">
          <cell r="C91" t="str">
            <v>HENDRIX ANDOKO</v>
          </cell>
          <cell r="D91" t="str">
            <v>SURABAYA</v>
          </cell>
          <cell r="E91">
            <v>250000</v>
          </cell>
        </row>
        <row r="92">
          <cell r="C92" t="str">
            <v>HENDRO WAHYUDI</v>
          </cell>
          <cell r="D92" t="str">
            <v>SURABAYA</v>
          </cell>
          <cell r="E92">
            <v>595000</v>
          </cell>
        </row>
        <row r="93">
          <cell r="C93" t="str">
            <v>HERU LAKSONO PUTRO</v>
          </cell>
          <cell r="D93" t="str">
            <v>SURABAYA</v>
          </cell>
          <cell r="E93">
            <v>900000</v>
          </cell>
        </row>
        <row r="94">
          <cell r="C94" t="str">
            <v>HERU USWINDA</v>
          </cell>
          <cell r="D94" t="str">
            <v>SURABAYA</v>
          </cell>
          <cell r="E94">
            <v>318000</v>
          </cell>
        </row>
        <row r="95">
          <cell r="C95" t="str">
            <v>HOIRI</v>
          </cell>
          <cell r="D95" t="str">
            <v>SURABAYA</v>
          </cell>
          <cell r="E95">
            <v>825000</v>
          </cell>
        </row>
        <row r="96">
          <cell r="C96" t="str">
            <v>INDRA JUNIARTO</v>
          </cell>
          <cell r="D96" t="str">
            <v>SURABAYA</v>
          </cell>
          <cell r="E96">
            <v>495000</v>
          </cell>
        </row>
        <row r="97">
          <cell r="C97" t="str">
            <v>IRAWAN SUNASTYO</v>
          </cell>
          <cell r="D97" t="str">
            <v>SURABAYA</v>
          </cell>
          <cell r="E97">
            <v>550000</v>
          </cell>
        </row>
        <row r="98">
          <cell r="C98" t="str">
            <v>IRFAN ARIF HIDAYAT</v>
          </cell>
          <cell r="D98" t="str">
            <v>SURABAYA</v>
          </cell>
          <cell r="E98">
            <v>630000</v>
          </cell>
        </row>
        <row r="99">
          <cell r="C99" t="str">
            <v>IRVAN KHOERI</v>
          </cell>
          <cell r="D99" t="str">
            <v>SURABAYA</v>
          </cell>
          <cell r="E99">
            <v>852500</v>
          </cell>
        </row>
        <row r="100">
          <cell r="C100" t="str">
            <v>ISMAN HADI</v>
          </cell>
          <cell r="D100" t="str">
            <v>SURABAYA</v>
          </cell>
          <cell r="E100">
            <v>645000</v>
          </cell>
        </row>
        <row r="101">
          <cell r="C101" t="str">
            <v>IVAN VERDIANTO</v>
          </cell>
          <cell r="D101" t="str">
            <v>SURABAYA</v>
          </cell>
          <cell r="E101">
            <v>640000</v>
          </cell>
        </row>
        <row r="102">
          <cell r="C102" t="str">
            <v>JANUAR CATUR WAHYU RASTIYO</v>
          </cell>
          <cell r="D102" t="str">
            <v>SURABAYA</v>
          </cell>
          <cell r="E102">
            <v>352500</v>
          </cell>
        </row>
        <row r="103">
          <cell r="C103" t="str">
            <v>JASMANIYAH RAHARJO</v>
          </cell>
          <cell r="D103" t="str">
            <v>SURABAYA</v>
          </cell>
          <cell r="E103">
            <v>900000</v>
          </cell>
        </row>
        <row r="104">
          <cell r="C104" t="str">
            <v>JOHAN KURNIAWAN</v>
          </cell>
          <cell r="D104" t="str">
            <v>SURABAYA</v>
          </cell>
          <cell r="E104">
            <v>202000</v>
          </cell>
        </row>
        <row r="105">
          <cell r="C105" t="str">
            <v>JOKO WIYONO</v>
          </cell>
          <cell r="D105" t="str">
            <v>SURABAYA</v>
          </cell>
          <cell r="E105">
            <v>225000</v>
          </cell>
        </row>
        <row r="106">
          <cell r="C106" t="str">
            <v>JUMAT</v>
          </cell>
          <cell r="D106" t="str">
            <v>SURABAYA</v>
          </cell>
          <cell r="E106">
            <v>455000</v>
          </cell>
        </row>
        <row r="107">
          <cell r="C107" t="str">
            <v>JUNAIDIN</v>
          </cell>
          <cell r="D107" t="str">
            <v>SURABAYA</v>
          </cell>
          <cell r="E107">
            <v>790000</v>
          </cell>
        </row>
        <row r="108">
          <cell r="C108" t="str">
            <v>JUNI DWI RIYADI</v>
          </cell>
          <cell r="D108" t="str">
            <v>SURABAYA</v>
          </cell>
          <cell r="E108">
            <v>845000</v>
          </cell>
        </row>
        <row r="109">
          <cell r="C109" t="str">
            <v>KAMILUDDIN</v>
          </cell>
          <cell r="D109" t="str">
            <v>SURABAYA</v>
          </cell>
          <cell r="E109">
            <v>620000</v>
          </cell>
        </row>
        <row r="110">
          <cell r="C110" t="str">
            <v>KEVIN DWI CAHYO</v>
          </cell>
          <cell r="D110" t="str">
            <v>SURABAYA</v>
          </cell>
          <cell r="E110">
            <v>620000</v>
          </cell>
        </row>
        <row r="111">
          <cell r="C111" t="str">
            <v>KOMANG BUDI DHARMA MARIIADINATA</v>
          </cell>
          <cell r="D111" t="str">
            <v>SURABAYA</v>
          </cell>
          <cell r="E111">
            <v>1740000</v>
          </cell>
        </row>
        <row r="112">
          <cell r="C112" t="str">
            <v>KRISTIAN PRASETYA INDRA PUTRA</v>
          </cell>
          <cell r="D112" t="str">
            <v>SURABAYA</v>
          </cell>
          <cell r="E112">
            <v>1465000</v>
          </cell>
        </row>
        <row r="113">
          <cell r="C113" t="str">
            <v>KUFWANI</v>
          </cell>
          <cell r="D113" t="str">
            <v>SURABAYA</v>
          </cell>
          <cell r="E113">
            <v>745000</v>
          </cell>
        </row>
        <row r="114">
          <cell r="C114" t="str">
            <v>KUSLAN</v>
          </cell>
          <cell r="D114" t="str">
            <v>SURABAYA</v>
          </cell>
          <cell r="E114">
            <v>450000</v>
          </cell>
        </row>
        <row r="115">
          <cell r="C115" t="str">
            <v>M SABILIN HUDA</v>
          </cell>
          <cell r="D115" t="str">
            <v>SURABAYA</v>
          </cell>
          <cell r="E115">
            <v>525000</v>
          </cell>
        </row>
        <row r="116">
          <cell r="C116" t="str">
            <v>M. GHUFRON</v>
          </cell>
          <cell r="D116" t="str">
            <v>SURABAYA</v>
          </cell>
          <cell r="E116">
            <v>402500</v>
          </cell>
        </row>
        <row r="117">
          <cell r="C117" t="str">
            <v>M. IKHWANUL KHAQMI</v>
          </cell>
          <cell r="D117" t="str">
            <v>SURABAYA</v>
          </cell>
          <cell r="E117">
            <v>117000</v>
          </cell>
        </row>
        <row r="118">
          <cell r="C118" t="str">
            <v>MARTHA DIANSWARA</v>
          </cell>
          <cell r="D118" t="str">
            <v>SURABAYA</v>
          </cell>
          <cell r="E118">
            <v>490000</v>
          </cell>
        </row>
        <row r="119">
          <cell r="C119" t="str">
            <v>MASRIP</v>
          </cell>
          <cell r="D119" t="str">
            <v>SURABAYA</v>
          </cell>
          <cell r="E119">
            <v>495000</v>
          </cell>
        </row>
        <row r="120">
          <cell r="C120" t="str">
            <v>MEDY CAHYONO</v>
          </cell>
          <cell r="D120" t="str">
            <v>SURABAYA</v>
          </cell>
          <cell r="E120">
            <v>680000</v>
          </cell>
        </row>
        <row r="121">
          <cell r="C121" t="str">
            <v>MIFTACHUR ROZZAQ</v>
          </cell>
          <cell r="D121" t="str">
            <v>SURABAYA</v>
          </cell>
          <cell r="E121">
            <v>433000</v>
          </cell>
        </row>
        <row r="122">
          <cell r="C122" t="str">
            <v>MIFTAKHUL IHSAN</v>
          </cell>
          <cell r="D122" t="str">
            <v>SURABAYA</v>
          </cell>
          <cell r="E122">
            <v>380000</v>
          </cell>
        </row>
        <row r="123">
          <cell r="C123" t="str">
            <v>MIFTAKUL ARIS MUSTOFA</v>
          </cell>
          <cell r="D123" t="str">
            <v>SURABAYA</v>
          </cell>
          <cell r="E123">
            <v>550000</v>
          </cell>
        </row>
        <row r="124">
          <cell r="C124" t="str">
            <v>MISBAHUDDIN</v>
          </cell>
          <cell r="D124" t="str">
            <v>SURABAYA</v>
          </cell>
          <cell r="E124">
            <v>175000</v>
          </cell>
        </row>
        <row r="125">
          <cell r="C125" t="str">
            <v>MOCH ABDUL MUSTOFA</v>
          </cell>
          <cell r="D125" t="str">
            <v>SURABAYA</v>
          </cell>
          <cell r="E125">
            <v>672500</v>
          </cell>
        </row>
        <row r="126">
          <cell r="C126" t="str">
            <v>MOCH ANDREANSYAH</v>
          </cell>
          <cell r="D126" t="str">
            <v>SURABAYA</v>
          </cell>
          <cell r="E126">
            <v>465000</v>
          </cell>
        </row>
        <row r="127">
          <cell r="C127" t="str">
            <v>MOCH SYAHKUR ROHMAN</v>
          </cell>
          <cell r="D127" t="str">
            <v>SURABAYA</v>
          </cell>
          <cell r="E127">
            <v>490000</v>
          </cell>
        </row>
        <row r="128">
          <cell r="C128" t="str">
            <v>MOCH ZAINI</v>
          </cell>
          <cell r="D128" t="str">
            <v>SURABAYA</v>
          </cell>
          <cell r="E128">
            <v>525000</v>
          </cell>
        </row>
        <row r="129">
          <cell r="C129" t="str">
            <v>MOCH. MAULVY AZIZ</v>
          </cell>
          <cell r="D129" t="str">
            <v>SURABAYA</v>
          </cell>
          <cell r="E129">
            <v>367500</v>
          </cell>
        </row>
        <row r="130">
          <cell r="C130" t="str">
            <v>MOCHAMAD SUSANTO</v>
          </cell>
          <cell r="D130" t="str">
            <v>SURABAYA</v>
          </cell>
          <cell r="E130">
            <v>340000</v>
          </cell>
        </row>
        <row r="131">
          <cell r="C131" t="str">
            <v>MOCHAMMAD ABDUL SHOMAD HAROMAIN</v>
          </cell>
          <cell r="D131" t="str">
            <v>SURABAYA</v>
          </cell>
          <cell r="E131">
            <v>730000</v>
          </cell>
        </row>
        <row r="132">
          <cell r="C132" t="str">
            <v>MOCHAMMAD AZWAR RIZAL ROMADLON</v>
          </cell>
          <cell r="D132" t="str">
            <v>SURABAYA</v>
          </cell>
          <cell r="E132">
            <v>75000</v>
          </cell>
        </row>
        <row r="133">
          <cell r="C133" t="str">
            <v>MOCHAMMAD NORCHOLIK</v>
          </cell>
          <cell r="D133" t="str">
            <v>SURABAYA</v>
          </cell>
          <cell r="E133">
            <v>770000</v>
          </cell>
        </row>
        <row r="134">
          <cell r="C134" t="str">
            <v>MOH HARIS</v>
          </cell>
          <cell r="D134" t="str">
            <v>SURABAYA</v>
          </cell>
          <cell r="E134">
            <v>445000</v>
          </cell>
        </row>
        <row r="135">
          <cell r="C135" t="str">
            <v>MOH NUR BAHARSYAH</v>
          </cell>
          <cell r="D135" t="str">
            <v>SURABAYA</v>
          </cell>
          <cell r="E135">
            <v>445000</v>
          </cell>
        </row>
        <row r="136">
          <cell r="C136" t="str">
            <v>MOHAMAD RIFAI - JUNIOR</v>
          </cell>
          <cell r="D136" t="str">
            <v>SURABAYA</v>
          </cell>
          <cell r="E136">
            <v>475000</v>
          </cell>
        </row>
        <row r="137">
          <cell r="C137" t="str">
            <v>MOHAMAD RIFAI - SURABAYA</v>
          </cell>
          <cell r="D137" t="str">
            <v>SURABAYA</v>
          </cell>
          <cell r="E137">
            <v>600000</v>
          </cell>
        </row>
        <row r="138">
          <cell r="C138" t="str">
            <v>MOHAMMAD MYZAN ABDUL F</v>
          </cell>
          <cell r="D138" t="str">
            <v>SURABAYA</v>
          </cell>
          <cell r="E138">
            <v>630000</v>
          </cell>
        </row>
        <row r="139">
          <cell r="C139" t="str">
            <v>MOKH RIDUWAN</v>
          </cell>
          <cell r="D139" t="str">
            <v>SURABAYA</v>
          </cell>
          <cell r="E139">
            <v>525000</v>
          </cell>
        </row>
        <row r="140">
          <cell r="C140" t="str">
            <v>MUHAMMAD AJI SANTOSO</v>
          </cell>
          <cell r="D140" t="str">
            <v>SURABAYA</v>
          </cell>
          <cell r="E140">
            <v>907500</v>
          </cell>
        </row>
        <row r="141">
          <cell r="C141" t="str">
            <v>MUHAMMAD DIKI BAGUS NUR CAHYONO</v>
          </cell>
          <cell r="D141" t="str">
            <v>SURABAYA</v>
          </cell>
          <cell r="E141">
            <v>1435000</v>
          </cell>
        </row>
        <row r="142">
          <cell r="C142" t="str">
            <v>MUHAMMAD HARIS</v>
          </cell>
          <cell r="D142" t="str">
            <v>SURABAYA</v>
          </cell>
          <cell r="E142">
            <v>730000</v>
          </cell>
        </row>
        <row r="143">
          <cell r="C143" t="str">
            <v>MUHAMMAD JUNAIDI ABDILLAH</v>
          </cell>
          <cell r="D143" t="str">
            <v>SURABAYA</v>
          </cell>
          <cell r="E143">
            <v>380000</v>
          </cell>
        </row>
        <row r="144">
          <cell r="C144" t="str">
            <v>MUHAMMAD SUBANDI</v>
          </cell>
          <cell r="D144" t="str">
            <v>SURABAYA</v>
          </cell>
          <cell r="E144">
            <v>515000</v>
          </cell>
        </row>
        <row r="145">
          <cell r="C145" t="str">
            <v>MUNANDAR</v>
          </cell>
          <cell r="D145" t="str">
            <v>SURABAYA</v>
          </cell>
          <cell r="E145">
            <v>1740000</v>
          </cell>
        </row>
        <row r="146">
          <cell r="C146" t="str">
            <v>NANANG SUTRISNO</v>
          </cell>
          <cell r="D146" t="str">
            <v>SURABAYA</v>
          </cell>
          <cell r="E146">
            <v>500000</v>
          </cell>
        </row>
        <row r="147">
          <cell r="C147" t="str">
            <v>NANANG YUDO ASMORO</v>
          </cell>
          <cell r="D147" t="str">
            <v>SURABAYA</v>
          </cell>
          <cell r="E147">
            <v>570000</v>
          </cell>
        </row>
        <row r="148">
          <cell r="C148" t="str">
            <v>NOUVAL ADJI KRAMA RIZQI R</v>
          </cell>
          <cell r="D148" t="str">
            <v>SURABAYA</v>
          </cell>
          <cell r="E148">
            <v>104000</v>
          </cell>
        </row>
        <row r="149">
          <cell r="C149" t="str">
            <v>NOVEL TAUFANI</v>
          </cell>
          <cell r="D149" t="str">
            <v>SURABAYA</v>
          </cell>
          <cell r="E149">
            <v>815000</v>
          </cell>
        </row>
        <row r="150">
          <cell r="C150" t="str">
            <v>NUR KHOLIQ</v>
          </cell>
          <cell r="D150" t="str">
            <v>SURABAYA</v>
          </cell>
          <cell r="E150">
            <v>942500</v>
          </cell>
        </row>
        <row r="151">
          <cell r="C151" t="str">
            <v>NUR KHOLIS</v>
          </cell>
          <cell r="D151" t="str">
            <v>SURABAYA</v>
          </cell>
          <cell r="E151">
            <v>550000</v>
          </cell>
        </row>
        <row r="152">
          <cell r="C152" t="str">
            <v>NYOTO PURWANTO</v>
          </cell>
          <cell r="D152" t="str">
            <v>SURABAYA</v>
          </cell>
          <cell r="E152">
            <v>202000</v>
          </cell>
        </row>
        <row r="153">
          <cell r="C153" t="str">
            <v>OKZADEA ARGANANTA</v>
          </cell>
          <cell r="D153" t="str">
            <v>SURABAYA</v>
          </cell>
          <cell r="E153">
            <v>617500</v>
          </cell>
        </row>
        <row r="154">
          <cell r="C154" t="str">
            <v>PAPUT ARIF JUNAIDI</v>
          </cell>
          <cell r="D154" t="str">
            <v>SURABAYA</v>
          </cell>
          <cell r="E154">
            <v>290000</v>
          </cell>
        </row>
        <row r="155">
          <cell r="C155" t="str">
            <v>PARDAM KHOLIK</v>
          </cell>
          <cell r="D155" t="str">
            <v>SURABAYA</v>
          </cell>
          <cell r="E155">
            <v>722500</v>
          </cell>
        </row>
        <row r="156">
          <cell r="C156" t="str">
            <v>PRAYOGO</v>
          </cell>
          <cell r="D156" t="str">
            <v>SURABAYA</v>
          </cell>
          <cell r="E156">
            <v>810000</v>
          </cell>
        </row>
        <row r="157">
          <cell r="C157" t="str">
            <v>RACHMAD ARIANTO</v>
          </cell>
          <cell r="D157" t="str">
            <v>SURABAYA</v>
          </cell>
          <cell r="E157">
            <v>642500</v>
          </cell>
        </row>
        <row r="158">
          <cell r="C158" t="str">
            <v>RACHMAD JUNIARTO</v>
          </cell>
          <cell r="D158" t="str">
            <v>SURABAYA</v>
          </cell>
          <cell r="E158">
            <v>550000</v>
          </cell>
        </row>
        <row r="159">
          <cell r="C159" t="str">
            <v>REZA BOBY SUSANTO</v>
          </cell>
          <cell r="D159" t="str">
            <v>SURABAYA</v>
          </cell>
          <cell r="E159">
            <v>770000</v>
          </cell>
        </row>
        <row r="160">
          <cell r="C160" t="str">
            <v>REZA FARRIAN ANGGA</v>
          </cell>
          <cell r="D160" t="str">
            <v>SURABAYA</v>
          </cell>
          <cell r="E160">
            <v>542500</v>
          </cell>
        </row>
        <row r="161">
          <cell r="C161" t="str">
            <v>RIFANTONO</v>
          </cell>
          <cell r="D161" t="str">
            <v>SURABAYA</v>
          </cell>
          <cell r="E161">
            <v>690000</v>
          </cell>
        </row>
        <row r="162">
          <cell r="C162" t="str">
            <v>RIKY SETYO WIBOWO</v>
          </cell>
          <cell r="D162" t="str">
            <v>SURABAYA</v>
          </cell>
          <cell r="E162">
            <v>517500</v>
          </cell>
        </row>
        <row r="163">
          <cell r="C163" t="str">
            <v>RISZA WAHYU PERMADANI</v>
          </cell>
          <cell r="D163" t="str">
            <v>SURABAYA</v>
          </cell>
          <cell r="E163">
            <v>630000</v>
          </cell>
        </row>
        <row r="164">
          <cell r="C164" t="str">
            <v>RIZAL ANANDHITA</v>
          </cell>
          <cell r="D164" t="str">
            <v>SURABAYA</v>
          </cell>
          <cell r="E164">
            <v>867500</v>
          </cell>
        </row>
        <row r="165">
          <cell r="C165" t="str">
            <v>RIZAL ARISYANTO</v>
          </cell>
          <cell r="D165" t="str">
            <v>SURABAYA</v>
          </cell>
          <cell r="E165">
            <v>655000</v>
          </cell>
        </row>
        <row r="166">
          <cell r="C166" t="str">
            <v>RIZAL SYAHPUTRA</v>
          </cell>
          <cell r="D166" t="str">
            <v>SURABAYA</v>
          </cell>
          <cell r="E166">
            <v>1110000</v>
          </cell>
        </row>
        <row r="167">
          <cell r="C167" t="str">
            <v>ROBBY RACHMAT ISMAIL</v>
          </cell>
          <cell r="D167" t="str">
            <v>SURABAYA</v>
          </cell>
          <cell r="E167">
            <v>605000</v>
          </cell>
        </row>
        <row r="168">
          <cell r="C168" t="str">
            <v>ROFID HERIVANDI</v>
          </cell>
          <cell r="D168" t="str">
            <v>SURABAYA</v>
          </cell>
          <cell r="E168">
            <v>25000</v>
          </cell>
        </row>
        <row r="169">
          <cell r="C169" t="str">
            <v>ROHIM</v>
          </cell>
          <cell r="D169" t="str">
            <v>SURABAYA</v>
          </cell>
          <cell r="E169">
            <v>360000</v>
          </cell>
        </row>
        <row r="170">
          <cell r="C170" t="str">
            <v>RUDI UTOMO PUTRO</v>
          </cell>
          <cell r="D170" t="str">
            <v>SURABAYA</v>
          </cell>
          <cell r="E170">
            <v>520000</v>
          </cell>
        </row>
        <row r="171">
          <cell r="C171" t="str">
            <v>SAMSUL</v>
          </cell>
          <cell r="D171" t="str">
            <v>SURABAYA</v>
          </cell>
          <cell r="E171">
            <v>370000</v>
          </cell>
        </row>
        <row r="172">
          <cell r="C172" t="str">
            <v>SAMSUL MA'ARIF</v>
          </cell>
          <cell r="D172" t="str">
            <v>SURABAYA</v>
          </cell>
          <cell r="E172">
            <v>525000</v>
          </cell>
        </row>
        <row r="173">
          <cell r="C173" t="str">
            <v>SATUWI</v>
          </cell>
          <cell r="D173" t="str">
            <v>SURABAYA</v>
          </cell>
          <cell r="E173">
            <v>272000</v>
          </cell>
        </row>
        <row r="174">
          <cell r="C174" t="str">
            <v>SHOLEH</v>
          </cell>
          <cell r="D174" t="str">
            <v>SURABAYA</v>
          </cell>
          <cell r="E174">
            <v>1425000</v>
          </cell>
        </row>
        <row r="175">
          <cell r="C175" t="str">
            <v>SHOLIHIN</v>
          </cell>
          <cell r="D175" t="str">
            <v>SURABAYA</v>
          </cell>
          <cell r="E175">
            <v>450000</v>
          </cell>
        </row>
        <row r="176">
          <cell r="C176" t="str">
            <v>SOEKARNO</v>
          </cell>
          <cell r="D176" t="str">
            <v>SURABAYA</v>
          </cell>
          <cell r="E176">
            <v>420000</v>
          </cell>
        </row>
        <row r="177">
          <cell r="C177" t="str">
            <v>SOLIHIN</v>
          </cell>
          <cell r="D177" t="str">
            <v>SURABAYA</v>
          </cell>
          <cell r="E177">
            <v>90000</v>
          </cell>
        </row>
        <row r="178">
          <cell r="C178" t="str">
            <v>SONI RAKHMAT</v>
          </cell>
          <cell r="D178" t="str">
            <v>SURABAYA</v>
          </cell>
          <cell r="E178">
            <v>495000</v>
          </cell>
        </row>
        <row r="179">
          <cell r="C179" t="str">
            <v>SUDJARWOKO</v>
          </cell>
          <cell r="D179" t="str">
            <v>SURABAYA</v>
          </cell>
          <cell r="E179">
            <v>252000</v>
          </cell>
        </row>
        <row r="180">
          <cell r="C180" t="str">
            <v>SUDORI</v>
          </cell>
          <cell r="D180" t="str">
            <v>SURABAYA</v>
          </cell>
          <cell r="E180">
            <v>970000</v>
          </cell>
        </row>
        <row r="181">
          <cell r="C181" t="str">
            <v>SUJOKO</v>
          </cell>
          <cell r="D181" t="str">
            <v>SURABAYA</v>
          </cell>
          <cell r="E181">
            <v>500000</v>
          </cell>
        </row>
        <row r="182">
          <cell r="C182" t="str">
            <v>SULIS SETYAWAN</v>
          </cell>
          <cell r="D182" t="str">
            <v>SURABAYA</v>
          </cell>
          <cell r="E182">
            <v>545000</v>
          </cell>
        </row>
        <row r="183">
          <cell r="C183" t="str">
            <v>SUNARDI</v>
          </cell>
          <cell r="D183" t="str">
            <v>SURABAYA</v>
          </cell>
          <cell r="E183">
            <v>165000</v>
          </cell>
        </row>
        <row r="184">
          <cell r="C184" t="str">
            <v>SUNARYO</v>
          </cell>
          <cell r="D184" t="str">
            <v>SURABAYA</v>
          </cell>
          <cell r="E184">
            <v>530000</v>
          </cell>
        </row>
        <row r="185">
          <cell r="C185" t="str">
            <v>SUPENDIK</v>
          </cell>
          <cell r="D185" t="str">
            <v>SURABAYA</v>
          </cell>
          <cell r="E185">
            <v>130000</v>
          </cell>
        </row>
        <row r="186">
          <cell r="C186" t="str">
            <v>SUPRIYONO</v>
          </cell>
          <cell r="D186" t="str">
            <v>SURABAYA</v>
          </cell>
          <cell r="E186">
            <v>95000</v>
          </cell>
        </row>
        <row r="187">
          <cell r="C187" t="str">
            <v>SUYANTO</v>
          </cell>
          <cell r="D187" t="str">
            <v>SURABAYA</v>
          </cell>
          <cell r="E187">
            <v>600000</v>
          </cell>
        </row>
        <row r="188">
          <cell r="C188" t="str">
            <v>SYAIFUL BAHRI</v>
          </cell>
          <cell r="D188" t="str">
            <v>SURABAYA</v>
          </cell>
          <cell r="E188">
            <v>300000</v>
          </cell>
        </row>
        <row r="189">
          <cell r="C189" t="str">
            <v>TAUFIK HUSEN</v>
          </cell>
          <cell r="D189" t="str">
            <v>SURABAYA</v>
          </cell>
          <cell r="E189">
            <v>450000</v>
          </cell>
        </row>
        <row r="190">
          <cell r="C190" t="str">
            <v>TAUFIK TAUFANI</v>
          </cell>
          <cell r="D190" t="str">
            <v>SURABAYA</v>
          </cell>
          <cell r="E190">
            <v>600000</v>
          </cell>
        </row>
        <row r="191">
          <cell r="C191" t="str">
            <v>THOMAS SANTOSO</v>
          </cell>
          <cell r="D191" t="str">
            <v>SURABAYA</v>
          </cell>
          <cell r="E191">
            <v>485000</v>
          </cell>
        </row>
        <row r="192">
          <cell r="C192" t="str">
            <v>TRI LAKSONO</v>
          </cell>
          <cell r="D192" t="str">
            <v>SURABAYA</v>
          </cell>
          <cell r="E192">
            <v>257500</v>
          </cell>
        </row>
        <row r="193">
          <cell r="C193" t="str">
            <v>TRI WIDODO</v>
          </cell>
          <cell r="D193" t="str">
            <v>SURABAYA</v>
          </cell>
          <cell r="E193">
            <v>690000</v>
          </cell>
        </row>
        <row r="194">
          <cell r="C194" t="str">
            <v>TRI WISNU WIJAYANTO</v>
          </cell>
          <cell r="D194" t="str">
            <v>SURABAYA</v>
          </cell>
          <cell r="E194">
            <v>887500</v>
          </cell>
        </row>
        <row r="195">
          <cell r="C195" t="str">
            <v>UUN PRASTIANTORO</v>
          </cell>
          <cell r="D195" t="str">
            <v>SURABAYA</v>
          </cell>
          <cell r="E195">
            <v>445000</v>
          </cell>
        </row>
        <row r="196">
          <cell r="C196" t="str">
            <v>WAHYU BUDI SANTOSO</v>
          </cell>
          <cell r="D196" t="str">
            <v>SURABAYA</v>
          </cell>
          <cell r="E196">
            <v>762500</v>
          </cell>
        </row>
        <row r="197">
          <cell r="C197" t="str">
            <v>WAHYU HIDAYAT</v>
          </cell>
          <cell r="D197" t="str">
            <v>SURABAYA</v>
          </cell>
          <cell r="E197">
            <v>275000</v>
          </cell>
        </row>
        <row r="198">
          <cell r="C198" t="str">
            <v>WAHYU ROY RACHMAN</v>
          </cell>
          <cell r="D198" t="str">
            <v>SURABAYA</v>
          </cell>
          <cell r="E198">
            <v>400000</v>
          </cell>
        </row>
        <row r="199">
          <cell r="C199" t="str">
            <v>WIWIT SUGIANTO</v>
          </cell>
          <cell r="D199" t="str">
            <v>SURABAYA</v>
          </cell>
          <cell r="E199">
            <v>545000</v>
          </cell>
        </row>
        <row r="200">
          <cell r="C200" t="str">
            <v>YULIUS JOKO GIDEON</v>
          </cell>
          <cell r="D200" t="str">
            <v>SURABAYA</v>
          </cell>
          <cell r="E200">
            <v>557500</v>
          </cell>
        </row>
        <row r="201">
          <cell r="C201" t="str">
            <v>YUSA EKA MULIA</v>
          </cell>
          <cell r="D201" t="str">
            <v>SURABAYA</v>
          </cell>
          <cell r="E201">
            <v>550000</v>
          </cell>
        </row>
        <row r="202">
          <cell r="C202" t="str">
            <v>YUSUF RSA LIFERE</v>
          </cell>
          <cell r="D202" t="str">
            <v>SURABAYA</v>
          </cell>
          <cell r="E202">
            <v>525000</v>
          </cell>
        </row>
        <row r="203">
          <cell r="C203" t="str">
            <v>ZEZAR PRIHANTORO</v>
          </cell>
          <cell r="D203" t="str">
            <v>SURABAYA</v>
          </cell>
          <cell r="E203">
            <v>545000</v>
          </cell>
        </row>
        <row r="204">
          <cell r="C204" t="str">
            <v>ZULFADRI</v>
          </cell>
          <cell r="D204" t="str">
            <v>SURABAYA</v>
          </cell>
          <cell r="E204">
            <v>1092500</v>
          </cell>
        </row>
        <row r="205">
          <cell r="C205" t="str">
            <v>SURATNO</v>
          </cell>
          <cell r="D205" t="str">
            <v>SURABAYA</v>
          </cell>
          <cell r="E205">
            <v>25000</v>
          </cell>
        </row>
        <row r="207">
          <cell r="C207" t="str">
            <v>ABDUL JABBAR</v>
          </cell>
          <cell r="D207" t="str">
            <v>JOMBANG</v>
          </cell>
          <cell r="E207">
            <v>457500</v>
          </cell>
        </row>
        <row r="208">
          <cell r="C208" t="str">
            <v>AGUNG WIJAYA</v>
          </cell>
          <cell r="D208" t="str">
            <v>JOMBANG</v>
          </cell>
          <cell r="E208">
            <v>425000</v>
          </cell>
        </row>
        <row r="209">
          <cell r="C209" t="str">
            <v>AGUS SURONO</v>
          </cell>
          <cell r="D209" t="str">
            <v>JOMBANG</v>
          </cell>
          <cell r="E209">
            <v>420000</v>
          </cell>
        </row>
        <row r="210">
          <cell r="C210" t="str">
            <v>AJI SUKMAWAN PUTRA</v>
          </cell>
          <cell r="D210" t="str">
            <v>JOMBANG</v>
          </cell>
          <cell r="E210">
            <v>445000</v>
          </cell>
        </row>
        <row r="211">
          <cell r="C211" t="str">
            <v>ALDO MUHAMMAD ISMAWAN</v>
          </cell>
          <cell r="D211" t="str">
            <v>JOMBANG</v>
          </cell>
          <cell r="E211">
            <v>460000</v>
          </cell>
        </row>
        <row r="212">
          <cell r="C212" t="str">
            <v>ALVIAN NUR ROFIQ</v>
          </cell>
          <cell r="D212" t="str">
            <v>JOMBANG</v>
          </cell>
          <cell r="E212">
            <v>635000</v>
          </cell>
        </row>
        <row r="213">
          <cell r="C213" t="str">
            <v>ANANG ZUBAIDI</v>
          </cell>
          <cell r="D213" t="str">
            <v>JOMBANG</v>
          </cell>
          <cell r="E213">
            <v>607500</v>
          </cell>
        </row>
        <row r="214">
          <cell r="C214" t="str">
            <v>ARDI</v>
          </cell>
          <cell r="D214" t="str">
            <v>JOMBANG</v>
          </cell>
          <cell r="E214">
            <v>415000</v>
          </cell>
        </row>
        <row r="215">
          <cell r="C215" t="str">
            <v>ARIF YULIONO</v>
          </cell>
          <cell r="D215" t="str">
            <v>JOMBANG</v>
          </cell>
          <cell r="E215">
            <v>75000</v>
          </cell>
        </row>
        <row r="216">
          <cell r="C216" t="str">
            <v>BAGAS ARDIANSYAH</v>
          </cell>
          <cell r="D216" t="str">
            <v>JOMBANG</v>
          </cell>
          <cell r="E216">
            <v>430000</v>
          </cell>
        </row>
        <row r="217">
          <cell r="C217" t="str">
            <v>BIMA ARIEF WIBOWO</v>
          </cell>
          <cell r="D217" t="str">
            <v>JOMBANG</v>
          </cell>
          <cell r="E217">
            <v>495000</v>
          </cell>
        </row>
        <row r="218">
          <cell r="C218" t="str">
            <v>CANDRA PRASETYO</v>
          </cell>
          <cell r="D218" t="str">
            <v>JOMBANG</v>
          </cell>
          <cell r="E218">
            <v>722500</v>
          </cell>
        </row>
        <row r="219">
          <cell r="C219" t="str">
            <v>DANAR SINATRIA</v>
          </cell>
          <cell r="D219" t="str">
            <v>JOMBANG</v>
          </cell>
          <cell r="E219">
            <v>467500</v>
          </cell>
        </row>
        <row r="220">
          <cell r="C220" t="str">
            <v>DENDY SETIYONO</v>
          </cell>
          <cell r="D220" t="str">
            <v>JOMBANG</v>
          </cell>
          <cell r="E220">
            <v>575000</v>
          </cell>
        </row>
        <row r="221">
          <cell r="C221" t="str">
            <v>DWI JUNE DEA PANGESTU</v>
          </cell>
          <cell r="D221" t="str">
            <v>JOMBANG</v>
          </cell>
          <cell r="E221">
            <v>495000</v>
          </cell>
        </row>
        <row r="222">
          <cell r="C222" t="str">
            <v>DWI LUKMAN MANGGARA</v>
          </cell>
          <cell r="D222" t="str">
            <v>JOMBANG</v>
          </cell>
          <cell r="E222">
            <v>277500</v>
          </cell>
        </row>
        <row r="223">
          <cell r="C223" t="str">
            <v>EDI PRASETYO</v>
          </cell>
          <cell r="D223" t="str">
            <v>JOMBANG</v>
          </cell>
          <cell r="E223">
            <v>375000</v>
          </cell>
        </row>
        <row r="224">
          <cell r="C224" t="str">
            <v>EKO SULISTYAWAN</v>
          </cell>
          <cell r="D224" t="str">
            <v>JOMBANG</v>
          </cell>
          <cell r="E224">
            <v>387500</v>
          </cell>
        </row>
        <row r="225">
          <cell r="C225" t="str">
            <v>FAKHUL QORIB</v>
          </cell>
          <cell r="D225" t="str">
            <v>JOMBANG</v>
          </cell>
          <cell r="E225">
            <v>647500</v>
          </cell>
        </row>
        <row r="226">
          <cell r="C226" t="str">
            <v>FEBRIANTO RIZKY ANANDA</v>
          </cell>
          <cell r="D226" t="str">
            <v>JOMBANG</v>
          </cell>
          <cell r="E226">
            <v>395000</v>
          </cell>
        </row>
        <row r="227">
          <cell r="C227" t="str">
            <v>GALIH SETIAWAN</v>
          </cell>
          <cell r="D227" t="str">
            <v>JOMBANG</v>
          </cell>
          <cell r="E227">
            <v>355000</v>
          </cell>
        </row>
        <row r="228">
          <cell r="C228" t="str">
            <v>HARRY FAJAR KUSUMA YUDHIYANTO</v>
          </cell>
          <cell r="D228" t="str">
            <v>JOMBANG</v>
          </cell>
          <cell r="E228">
            <v>720000</v>
          </cell>
        </row>
        <row r="229">
          <cell r="C229" t="str">
            <v>HERI PURNOMO</v>
          </cell>
          <cell r="D229" t="str">
            <v>JOMBANG</v>
          </cell>
          <cell r="E229">
            <v>825000</v>
          </cell>
        </row>
        <row r="230">
          <cell r="C230" t="str">
            <v>IRDIANTO SETIAWAN</v>
          </cell>
          <cell r="D230" t="str">
            <v>JOMBANG</v>
          </cell>
          <cell r="E230">
            <v>472500</v>
          </cell>
        </row>
        <row r="231">
          <cell r="C231" t="str">
            <v>JOKO WIDODO</v>
          </cell>
          <cell r="D231" t="str">
            <v>JOMBANG</v>
          </cell>
          <cell r="E231">
            <v>840000</v>
          </cell>
        </row>
        <row r="232">
          <cell r="C232" t="str">
            <v>M ALI RIDHO</v>
          </cell>
          <cell r="D232" t="str">
            <v>JOMBANG</v>
          </cell>
          <cell r="E232">
            <v>517500</v>
          </cell>
        </row>
        <row r="233">
          <cell r="C233" t="str">
            <v>M LUTFI</v>
          </cell>
          <cell r="D233" t="str">
            <v>JOMBANG</v>
          </cell>
          <cell r="E233">
            <v>285000</v>
          </cell>
        </row>
        <row r="234">
          <cell r="C234" t="str">
            <v>M SAIFUL ARIF</v>
          </cell>
          <cell r="D234" t="str">
            <v>JOMBANG</v>
          </cell>
          <cell r="E234">
            <v>512500</v>
          </cell>
        </row>
        <row r="235">
          <cell r="C235" t="str">
            <v>M TAHRIR</v>
          </cell>
          <cell r="D235" t="str">
            <v>JOMBANG</v>
          </cell>
          <cell r="E235">
            <v>877500</v>
          </cell>
        </row>
        <row r="236">
          <cell r="C236" t="str">
            <v>MOHAMAD RIFAI - JOMBANG</v>
          </cell>
          <cell r="D236" t="str">
            <v>JOMBANG</v>
          </cell>
          <cell r="E236">
            <v>480000</v>
          </cell>
        </row>
        <row r="237">
          <cell r="C237" t="str">
            <v>MUCHAMAT ROMADON</v>
          </cell>
          <cell r="D237" t="str">
            <v>JOMBANG</v>
          </cell>
          <cell r="E237">
            <v>577500</v>
          </cell>
        </row>
        <row r="238">
          <cell r="C238" t="str">
            <v>RAIS EFENDI</v>
          </cell>
          <cell r="D238" t="str">
            <v>JOMBANG</v>
          </cell>
          <cell r="E238">
            <v>582500</v>
          </cell>
        </row>
        <row r="239">
          <cell r="C239" t="str">
            <v>RIDA PRAHASTA</v>
          </cell>
          <cell r="D239" t="str">
            <v>JOMBANG</v>
          </cell>
          <cell r="E239">
            <v>480000</v>
          </cell>
        </row>
        <row r="240">
          <cell r="C240" t="str">
            <v>RONNY HARYANTO</v>
          </cell>
          <cell r="D240" t="str">
            <v>JOMBANG</v>
          </cell>
          <cell r="E240">
            <v>445000</v>
          </cell>
        </row>
        <row r="241">
          <cell r="C241" t="str">
            <v>SEPTIYAN ROMADHON</v>
          </cell>
          <cell r="D241" t="str">
            <v>JOMBANG</v>
          </cell>
          <cell r="E241">
            <v>470000</v>
          </cell>
        </row>
        <row r="242">
          <cell r="C242" t="str">
            <v>SUHERMAN</v>
          </cell>
          <cell r="D242" t="str">
            <v>JOMBANG</v>
          </cell>
          <cell r="E242">
            <v>705000</v>
          </cell>
        </row>
        <row r="243">
          <cell r="C243" t="str">
            <v>TIO SUTANTO</v>
          </cell>
          <cell r="D243" t="str">
            <v>JOMBANG</v>
          </cell>
          <cell r="E243">
            <v>230000</v>
          </cell>
        </row>
        <row r="244">
          <cell r="C244" t="str">
            <v>TITIS BAYU PRIANJANI</v>
          </cell>
          <cell r="D244" t="str">
            <v>JOMBANG</v>
          </cell>
          <cell r="E244">
            <v>555000</v>
          </cell>
        </row>
        <row r="245">
          <cell r="C245" t="str">
            <v>UNTUNG JOHAN RUSDIANTO</v>
          </cell>
          <cell r="D245" t="str">
            <v>JOMBANG</v>
          </cell>
          <cell r="E245">
            <v>772500</v>
          </cell>
        </row>
        <row r="246">
          <cell r="C246" t="str">
            <v>WAHYU ZAKARIA</v>
          </cell>
          <cell r="D246" t="str">
            <v>JOMBANG</v>
          </cell>
          <cell r="E246">
            <v>765000</v>
          </cell>
        </row>
        <row r="247">
          <cell r="C247" t="str">
            <v>YUDI ARIS SUSANTO</v>
          </cell>
          <cell r="D247" t="str">
            <v>JOMBANG</v>
          </cell>
          <cell r="E247">
            <v>510000</v>
          </cell>
        </row>
        <row r="248">
          <cell r="C248" t="str">
            <v>ZAKARIA TARMIZI M</v>
          </cell>
          <cell r="D248" t="str">
            <v>JOMBANG</v>
          </cell>
          <cell r="E248">
            <v>627500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4.xml.rels><?xml version="1.0" encoding="UTF-8" standalone="yes"?>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7.xml.rels><?xml version="1.0" encoding="UTF-8" standalone="yes"?>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8.xml.rels><?xml version="1.0" encoding="UTF-8" standalone="yes"?>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9.xml.rels><?xml version="1.0" encoding="UTF-8" standalone="yes"?>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1.xml.rels><?xml version="1.0" encoding="UTF-8" standalone="yes"?>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5.xml.rels><?xml version="1.0" encoding="UTF-8" standalone="yes"?>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/Relationships>
</file>

<file path=xl/worksheets/_rels/sheet37.xml.rels><?xml version="1.0" encoding="UTF-8" standalone="yes"?>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9.xml.rels><?xml version="1.0" encoding="UTF-8" standalone="yes"?>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.xml"/></Relationships>
</file>

<file path=xl/worksheets/_rels/sheet4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4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4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8"/>
    <pageSetUpPr fitToPage="1"/>
  </sheetPr>
  <dimension ref="A1:Z35"/>
  <sheetViews>
    <sheetView zoomScale="70" zoomScaleNormal="70" workbookViewId="0">
      <pane xSplit="7" ySplit="6" topLeftCell="H7" activePane="bottomRight" state="frozen"/>
      <selection pane="topRight"/>
      <selection pane="bottomLeft"/>
      <selection pane="bottomRight" activeCell="M15" sqref="M15"/>
    </sheetView>
  </sheetViews>
  <sheetFormatPr defaultColWidth="9.140625" defaultRowHeight="15"/>
  <cols>
    <col min="1" max="2" width="4.5703125" customWidth="1"/>
    <col min="3" max="3" width="23.140625" customWidth="1"/>
    <col min="4" max="4" width="17.5703125" customWidth="1"/>
    <col min="5" max="5" width="8.140625" customWidth="1"/>
    <col min="6" max="6" width="9.85546875" customWidth="1"/>
    <col min="7" max="7" width="11.5703125" customWidth="1"/>
    <col min="8" max="8" width="12.140625" customWidth="1"/>
    <col min="9" max="12" width="10.42578125" customWidth="1"/>
    <col min="13" max="13" width="13.28515625" customWidth="1"/>
    <col min="14" max="14" width="11" customWidth="1"/>
    <col min="15" max="17" width="10.42578125" customWidth="1"/>
    <col min="18" max="18" width="12" customWidth="1"/>
    <col min="19" max="19" width="10.42578125" customWidth="1"/>
    <col min="20" max="20" width="14" customWidth="1"/>
    <col min="21" max="22" width="8.7109375" customWidth="1"/>
  </cols>
  <sheetData>
    <row r="1">
      <c r="A1" s="1469" t="s">
        <v>0</v>
      </c>
      <c r="B1" s="1470"/>
      <c r="C1" s="1471"/>
      <c r="D1" s="1470"/>
      <c r="E1" s="1470"/>
      <c r="F1" s="1470"/>
      <c r="G1" s="1472"/>
      <c r="H1" s="1472"/>
      <c r="M1" s="1472"/>
      <c r="U1" s="1500"/>
      <c r="V1" s="1501"/>
    </row>
    <row r="2">
      <c r="A2" s="1469" t="s">
        <v>50</v>
      </c>
      <c r="B2" s="1473"/>
      <c r="C2" s="1474"/>
      <c r="D2" s="1473"/>
      <c r="E2" s="1473"/>
      <c r="F2" s="1473"/>
      <c r="G2" s="1475"/>
      <c r="H2" s="1475"/>
      <c r="I2" s="1493"/>
      <c r="J2" s="1493"/>
      <c r="K2" s="1493"/>
      <c r="L2" s="1493"/>
      <c r="M2" s="1475"/>
      <c r="N2" s="1475"/>
      <c r="O2" s="1475"/>
      <c r="P2" s="1475"/>
      <c r="Q2" s="1475"/>
      <c r="R2" s="1493"/>
      <c r="S2" s="1493"/>
      <c r="T2" s="1493"/>
      <c r="U2" s="1502"/>
      <c r="V2" s="1502"/>
    </row>
    <row r="3">
      <c r="A3" s="207" t="s">
        <v>51</v>
      </c>
      <c r="B3" s="1470"/>
      <c r="C3" s="1471"/>
      <c r="D3" s="1470"/>
      <c r="E3" s="1470"/>
      <c r="F3" s="1470"/>
      <c r="G3" s="1475"/>
      <c r="H3" s="1475"/>
      <c r="I3" s="1494"/>
      <c r="M3" s="1472"/>
      <c r="U3" s="1500"/>
      <c r="V3" s="1501"/>
    </row>
    <row r="4">
      <c r="A4" s="1476"/>
      <c r="B4" s="1470"/>
      <c r="C4" s="1471"/>
      <c r="D4" s="1470"/>
      <c r="E4" s="1470"/>
      <c r="F4" s="1470"/>
      <c r="G4" s="1477">
        <v>2970502</v>
      </c>
      <c r="H4" s="1477"/>
      <c r="I4" s="1494"/>
      <c r="M4" s="1472"/>
      <c r="U4" s="1500"/>
      <c r="V4" s="1501"/>
    </row>
    <row r="5">
      <c r="A5" s="1476"/>
      <c r="B5" s="1470"/>
      <c r="C5" s="1471"/>
      <c r="D5" s="1470"/>
      <c r="E5" s="1470"/>
      <c r="F5" s="1470"/>
      <c r="G5" s="1477"/>
      <c r="H5" s="1477"/>
      <c r="I5" s="1494"/>
      <c r="M5" s="1472"/>
      <c r="U5" s="1500"/>
      <c r="V5" s="1501"/>
    </row>
    <row r="6" ht="22.5" customHeight="1">
      <c r="A6" s="1397" t="s">
        <v>2</v>
      </c>
      <c r="B6" s="1398" t="s">
        <v>3</v>
      </c>
      <c r="C6" s="1398" t="s">
        <v>4</v>
      </c>
      <c r="D6" s="1398" t="s">
        <v>5</v>
      </c>
      <c r="E6" s="1398" t="s">
        <v>6</v>
      </c>
      <c r="F6" s="1399" t="s">
        <v>7</v>
      </c>
      <c r="G6" s="219" t="s">
        <v>8</v>
      </c>
      <c r="H6" s="219" t="s">
        <v>9</v>
      </c>
      <c r="I6" s="1403" t="s">
        <v>10</v>
      </c>
      <c r="J6" s="1404" t="s">
        <v>11</v>
      </c>
      <c r="K6" s="1404" t="s">
        <v>12</v>
      </c>
      <c r="L6" s="1405" t="s">
        <v>13</v>
      </c>
      <c r="M6" s="1405" t="s">
        <v>14</v>
      </c>
      <c r="N6" s="1406" t="s">
        <v>15</v>
      </c>
      <c r="O6" s="1406" t="s">
        <v>16</v>
      </c>
      <c r="P6" s="1406" t="s">
        <v>17</v>
      </c>
      <c r="Q6" s="1406" t="s">
        <v>18</v>
      </c>
      <c r="R6" s="1407" t="s">
        <v>19</v>
      </c>
      <c r="S6" s="1408" t="s">
        <v>20</v>
      </c>
      <c r="T6" s="1408" t="s">
        <v>21</v>
      </c>
      <c r="U6" s="1409" t="s">
        <v>22</v>
      </c>
      <c r="V6" s="1410" t="s">
        <v>23</v>
      </c>
    </row>
    <row r="7" ht="18" customHeight="1">
      <c r="A7" s="1478" t="s">
        <v>24</v>
      </c>
      <c r="B7" s="946" t="s">
        <v>52</v>
      </c>
      <c r="C7" s="925" t="s">
        <v>53</v>
      </c>
      <c r="D7" s="1247" t="s">
        <v>54</v>
      </c>
      <c r="E7" s="1479" t="s">
        <v>47</v>
      </c>
      <c r="F7" s="1479" t="s">
        <v>48</v>
      </c>
      <c r="G7" s="1480">
        <v>2970502</v>
      </c>
      <c r="H7" s="1480"/>
      <c r="I7" s="958">
        <f>+$G$4*4.89%</f>
        <v>145257.5478</v>
      </c>
      <c r="J7" s="958">
        <f>+$G$4*4%</f>
        <v>118820.08</v>
      </c>
      <c r="K7" s="958">
        <f>+$G$4*2%</f>
        <v>59410.04</v>
      </c>
      <c r="L7" s="958">
        <v>1667</v>
      </c>
      <c r="M7" s="295">
        <f>SUM(G7:L7)</f>
        <v>3295656.6678</v>
      </c>
      <c r="N7" s="295">
        <f>+M7*8%</f>
        <v>263652.533424</v>
      </c>
      <c r="O7" s="295">
        <v>500000</v>
      </c>
      <c r="P7" s="295">
        <v>100000</v>
      </c>
      <c r="Q7" s="295">
        <f>15*10000</f>
        <v>150000</v>
      </c>
      <c r="R7" s="976">
        <f>SUM(M7:Q7)</f>
        <v>4309309.201224</v>
      </c>
      <c r="S7" s="976">
        <f>N7*0.1</f>
        <v>26365.2533424</v>
      </c>
      <c r="T7" s="977">
        <f>R7+S7</f>
        <v>4335674.4545664</v>
      </c>
      <c r="U7" s="1273">
        <v>44348</v>
      </c>
      <c r="V7" s="1274">
        <v>44439</v>
      </c>
    </row>
    <row r="8" ht="18" customHeight="1">
      <c r="A8" s="1478" t="s">
        <v>24</v>
      </c>
      <c r="B8" s="946" t="s">
        <v>60</v>
      </c>
      <c r="C8" s="925" t="s">
        <v>61</v>
      </c>
      <c r="D8" s="1481" t="s">
        <v>62</v>
      </c>
      <c r="E8" s="1481" t="s">
        <v>47</v>
      </c>
      <c r="F8" s="1481" t="s">
        <v>48</v>
      </c>
      <c r="G8" s="1480">
        <v>2970502</v>
      </c>
      <c r="H8" s="1480"/>
      <c r="I8" s="958">
        <f>+$G$4*4.89%</f>
        <v>145257.5478</v>
      </c>
      <c r="J8" s="958">
        <f>+$G$4*4%</f>
        <v>118820.08</v>
      </c>
      <c r="K8" s="958">
        <f>+$G$4*2%</f>
        <v>59410.04</v>
      </c>
      <c r="L8" s="958">
        <v>1667</v>
      </c>
      <c r="M8" s="295">
        <f>SUM(G8:L8)</f>
        <v>3295656.6678</v>
      </c>
      <c r="N8" s="295">
        <f>+M8*8%</f>
        <v>263652.533424</v>
      </c>
      <c r="O8" s="295">
        <v>300000</v>
      </c>
      <c r="P8" s="295"/>
      <c r="Q8" s="295">
        <f>26*10000</f>
        <v>260000</v>
      </c>
      <c r="R8" s="976">
        <f>SUM(M8:Q8)</f>
        <v>4119309.201224</v>
      </c>
      <c r="S8" s="976">
        <f>N8*0.1</f>
        <v>26365.2533424</v>
      </c>
      <c r="T8" s="977">
        <f>R8+S8</f>
        <v>4145674.4545664</v>
      </c>
      <c r="U8" s="1273">
        <v>44378</v>
      </c>
      <c r="V8" s="1274">
        <v>44469</v>
      </c>
      <c r="W8" s="963"/>
      <c r="X8" s="1504"/>
      <c r="Y8" s="1504"/>
      <c r="Z8" s="1504"/>
    </row>
    <row r="9" ht="18" customHeight="1">
      <c r="A9" s="1736" t="s">
        <v>30</v>
      </c>
      <c r="B9" s="1856"/>
      <c r="C9" s="1738"/>
      <c r="D9" s="1738"/>
      <c r="E9" s="1738"/>
      <c r="F9" s="1739"/>
      <c r="G9" s="1425">
        <f ref="G9:T9" t="shared" si="0">SUM(G7:G8)</f>
        <v>5941004</v>
      </c>
      <c r="H9" s="1425">
        <f t="shared" si="0"/>
        <v>0</v>
      </c>
      <c r="I9" s="1425">
        <f t="shared" si="0"/>
        <v>290515.0956</v>
      </c>
      <c r="J9" s="1425">
        <f t="shared" si="0"/>
        <v>237640.16</v>
      </c>
      <c r="K9" s="1425">
        <f t="shared" si="0"/>
        <v>118820.08</v>
      </c>
      <c r="L9" s="1425">
        <f t="shared" si="0"/>
        <v>3334</v>
      </c>
      <c r="M9" s="1425">
        <f t="shared" si="0"/>
        <v>6591313.3356</v>
      </c>
      <c r="N9" s="1425">
        <f t="shared" si="0"/>
        <v>527305.066848</v>
      </c>
      <c r="O9" s="1425">
        <f t="shared" si="0"/>
        <v>800000</v>
      </c>
      <c r="P9" s="1425">
        <f t="shared" si="0"/>
        <v>100000</v>
      </c>
      <c r="Q9" s="1425">
        <f t="shared" si="0"/>
        <v>410000</v>
      </c>
      <c r="R9" s="1425">
        <f t="shared" si="0"/>
        <v>8428618.402448</v>
      </c>
      <c r="S9" s="1425">
        <f t="shared" si="0"/>
        <v>52730.5066848</v>
      </c>
      <c r="T9" s="1425">
        <f t="shared" si="0"/>
        <v>8481348.9091328</v>
      </c>
      <c r="U9" s="1425"/>
      <c r="V9" s="1438"/>
      <c r="W9" s="1504"/>
    </row>
    <row r="10" ht="23.25" customHeight="1">
      <c r="A10" s="1129" t="s">
        <v>30</v>
      </c>
      <c r="B10" s="1857"/>
      <c r="C10" s="1129"/>
      <c r="D10" s="1129"/>
      <c r="E10" s="1129"/>
      <c r="F10" s="1129"/>
      <c r="G10" s="1402"/>
      <c r="H10" s="1402"/>
      <c r="I10" s="1402"/>
      <c r="J10" s="1402"/>
      <c r="K10" s="1402"/>
      <c r="L10" s="1402"/>
      <c r="M10" s="1402"/>
      <c r="N10" s="1402"/>
      <c r="O10" s="1402"/>
      <c r="P10" s="1402"/>
      <c r="Q10" s="1402"/>
      <c r="R10" s="1402"/>
      <c r="S10" s="1402"/>
      <c r="T10" s="1402"/>
      <c r="U10" s="1502"/>
      <c r="V10" s="1502"/>
    </row>
    <row r="11" ht="20.25" customHeight="1">
      <c r="A11" s="1397" t="s">
        <v>31</v>
      </c>
      <c r="B11" s="1858" t="s">
        <v>3</v>
      </c>
      <c r="C11" s="1398" t="s">
        <v>4</v>
      </c>
      <c r="D11" s="1398" t="s">
        <v>5</v>
      </c>
      <c r="E11" s="1398" t="s">
        <v>6</v>
      </c>
      <c r="F11" s="1399" t="s">
        <v>7</v>
      </c>
      <c r="G11" s="219" t="s">
        <v>8</v>
      </c>
      <c r="H11" s="219" t="s">
        <v>9</v>
      </c>
      <c r="I11" s="1403" t="s">
        <v>10</v>
      </c>
      <c r="J11" s="1404" t="s">
        <v>11</v>
      </c>
      <c r="K11" s="1404" t="s">
        <v>12</v>
      </c>
      <c r="L11" s="1405" t="s">
        <v>13</v>
      </c>
      <c r="M11" s="1520" t="s">
        <v>14</v>
      </c>
      <c r="N11" s="1406" t="s">
        <v>15</v>
      </c>
      <c r="O11" s="1406" t="s">
        <v>16</v>
      </c>
      <c r="P11" s="1406" t="s">
        <v>17</v>
      </c>
      <c r="Q11" s="1406" t="s">
        <v>18</v>
      </c>
      <c r="R11" s="1407" t="s">
        <v>19</v>
      </c>
      <c r="S11" s="1408" t="s">
        <v>20</v>
      </c>
      <c r="T11" s="1408" t="s">
        <v>21</v>
      </c>
      <c r="U11" s="1409" t="s">
        <v>22</v>
      </c>
      <c r="V11" s="1410" t="s">
        <v>23</v>
      </c>
    </row>
    <row r="12" ht="18.75" customHeight="1">
      <c r="A12" s="1478" t="s">
        <v>24</v>
      </c>
      <c r="B12" s="1526" t="s">
        <v>63</v>
      </c>
      <c r="C12" s="1509" t="s">
        <v>64</v>
      </c>
      <c r="D12" s="1510" t="s">
        <v>34</v>
      </c>
      <c r="E12" s="1511" t="s">
        <v>47</v>
      </c>
      <c r="F12" s="1510" t="s">
        <v>48</v>
      </c>
      <c r="G12" s="1512">
        <v>2970502</v>
      </c>
      <c r="H12" s="1512"/>
      <c r="I12" s="958">
        <f ref="I12:I20" t="shared" si="1">+$G$4*4.89%</f>
        <v>145257.5478</v>
      </c>
      <c r="J12" s="958">
        <f ref="J12:J20" t="shared" si="2">+$G$4*4%</f>
        <v>118820.08</v>
      </c>
      <c r="K12" s="958">
        <f ref="K12:K20" t="shared" si="3">+$G$4*2%</f>
        <v>59410.04</v>
      </c>
      <c r="L12" s="1313">
        <v>15000</v>
      </c>
      <c r="M12" s="295">
        <f ref="M12:M21" t="shared" si="4">SUM(G12:L12)</f>
        <v>3308989.6678</v>
      </c>
      <c r="N12" s="295">
        <f ref="N12:N21" t="shared" si="5">+M12*8%</f>
        <v>264719.173424</v>
      </c>
      <c r="O12" s="295"/>
      <c r="P12" s="295"/>
      <c r="Q12" s="295"/>
      <c r="R12" s="976">
        <f ref="R12:R21" t="shared" si="6">SUM(M12:Q12)</f>
        <v>3573708.841224</v>
      </c>
      <c r="S12" s="1521">
        <f ref="S12:S21" t="shared" si="7">N12*0.1</f>
        <v>26471.9173424</v>
      </c>
      <c r="T12" s="977">
        <f ref="T12:T21" t="shared" si="8">R12+S12</f>
        <v>3600180.7585664</v>
      </c>
      <c r="U12" s="1273">
        <v>44348</v>
      </c>
      <c r="V12" s="1274">
        <v>44439</v>
      </c>
    </row>
    <row r="13" ht="18.75" customHeight="1">
      <c r="A13" s="1478" t="s">
        <v>24</v>
      </c>
      <c r="B13" s="1526" t="s">
        <v>65</v>
      </c>
      <c r="C13" s="1509" t="s">
        <v>66</v>
      </c>
      <c r="D13" s="1510" t="s">
        <v>34</v>
      </c>
      <c r="E13" s="1511" t="s">
        <v>47</v>
      </c>
      <c r="F13" s="1510" t="s">
        <v>48</v>
      </c>
      <c r="G13" s="1512">
        <v>2970502</v>
      </c>
      <c r="H13" s="1512"/>
      <c r="I13" s="958">
        <f t="shared" si="1"/>
        <v>145257.5478</v>
      </c>
      <c r="J13" s="958">
        <f t="shared" si="2"/>
        <v>118820.08</v>
      </c>
      <c r="K13" s="958">
        <f t="shared" si="3"/>
        <v>59410.04</v>
      </c>
      <c r="L13" s="1313">
        <v>15000</v>
      </c>
      <c r="M13" s="295">
        <f t="shared" si="4"/>
        <v>3308989.6678</v>
      </c>
      <c r="N13" s="295">
        <f t="shared" si="5"/>
        <v>264719.173424</v>
      </c>
      <c r="O13" s="295"/>
      <c r="P13" s="295"/>
      <c r="Q13" s="295"/>
      <c r="R13" s="976">
        <f t="shared" si="6"/>
        <v>3573708.841224</v>
      </c>
      <c r="S13" s="1521">
        <f t="shared" si="7"/>
        <v>26471.9173424</v>
      </c>
      <c r="T13" s="977">
        <f t="shared" si="8"/>
        <v>3600180.7585664</v>
      </c>
      <c r="U13" s="1273">
        <v>44348</v>
      </c>
      <c r="V13" s="1274">
        <v>44439</v>
      </c>
    </row>
    <row r="14" ht="18.75" customHeight="1">
      <c r="A14" s="1478" t="s">
        <v>24</v>
      </c>
      <c r="B14" s="1526" t="s">
        <v>67</v>
      </c>
      <c r="C14" s="1509" t="s">
        <v>68</v>
      </c>
      <c r="D14" s="1510" t="s">
        <v>34</v>
      </c>
      <c r="E14" s="1511" t="s">
        <v>47</v>
      </c>
      <c r="F14" s="1510" t="s">
        <v>48</v>
      </c>
      <c r="G14" s="1512">
        <v>2970502</v>
      </c>
      <c r="H14" s="1512"/>
      <c r="I14" s="958">
        <f t="shared" si="1"/>
        <v>145257.5478</v>
      </c>
      <c r="J14" s="958">
        <f t="shared" si="2"/>
        <v>118820.08</v>
      </c>
      <c r="K14" s="958">
        <f t="shared" si="3"/>
        <v>59410.04</v>
      </c>
      <c r="L14" s="1313">
        <v>15000</v>
      </c>
      <c r="M14" s="295">
        <f t="shared" si="4"/>
        <v>3308989.6678</v>
      </c>
      <c r="N14" s="295">
        <f t="shared" si="5"/>
        <v>264719.173424</v>
      </c>
      <c r="O14" s="295"/>
      <c r="P14" s="295"/>
      <c r="Q14" s="295"/>
      <c r="R14" s="976">
        <f t="shared" si="6"/>
        <v>3573708.841224</v>
      </c>
      <c r="S14" s="1521">
        <f t="shared" si="7"/>
        <v>26471.9173424</v>
      </c>
      <c r="T14" s="977">
        <f t="shared" si="8"/>
        <v>3600180.7585664</v>
      </c>
      <c r="U14" s="1273">
        <v>44348</v>
      </c>
      <c r="V14" s="1274">
        <v>44439</v>
      </c>
    </row>
    <row r="15" ht="18.75" customHeight="1">
      <c r="A15" s="1478" t="s">
        <v>24</v>
      </c>
      <c r="B15" s="1526" t="s">
        <v>69</v>
      </c>
      <c r="C15" s="1509" t="s">
        <v>70</v>
      </c>
      <c r="D15" s="1510" t="s">
        <v>34</v>
      </c>
      <c r="E15" s="1510" t="s">
        <v>47</v>
      </c>
      <c r="F15" s="1510" t="s">
        <v>48</v>
      </c>
      <c r="G15" s="1512">
        <v>2970502</v>
      </c>
      <c r="H15" s="1512"/>
      <c r="I15" s="958">
        <f t="shared" si="1"/>
        <v>145257.5478</v>
      </c>
      <c r="J15" s="958">
        <f t="shared" si="2"/>
        <v>118820.08</v>
      </c>
      <c r="K15" s="958">
        <f t="shared" si="3"/>
        <v>59410.04</v>
      </c>
      <c r="L15" s="1313">
        <v>15000</v>
      </c>
      <c r="M15" s="295">
        <f t="shared" si="4"/>
        <v>3308989.6678</v>
      </c>
      <c r="N15" s="295">
        <f t="shared" si="5"/>
        <v>264719.173424</v>
      </c>
      <c r="O15" s="295"/>
      <c r="P15" s="295"/>
      <c r="Q15" s="295"/>
      <c r="R15" s="976">
        <f t="shared" si="6"/>
        <v>3573708.841224</v>
      </c>
      <c r="S15" s="1521">
        <f t="shared" si="7"/>
        <v>26471.9173424</v>
      </c>
      <c r="T15" s="977">
        <f t="shared" si="8"/>
        <v>3600180.7585664</v>
      </c>
      <c r="U15" s="1273">
        <v>44348</v>
      </c>
      <c r="V15" s="1274">
        <v>44439</v>
      </c>
    </row>
    <row r="16" ht="18.75" customHeight="1">
      <c r="A16" s="1478" t="s">
        <v>24</v>
      </c>
      <c r="B16" s="1508" t="s">
        <v>71</v>
      </c>
      <c r="C16" s="1513" t="s">
        <v>72</v>
      </c>
      <c r="D16" s="1510" t="s">
        <v>34</v>
      </c>
      <c r="E16" s="1510" t="s">
        <v>47</v>
      </c>
      <c r="F16" s="1510" t="s">
        <v>48</v>
      </c>
      <c r="G16" s="1512">
        <v>2970502</v>
      </c>
      <c r="H16" s="1512"/>
      <c r="I16" s="958">
        <f t="shared" si="1"/>
        <v>145257.5478</v>
      </c>
      <c r="J16" s="958">
        <f t="shared" si="2"/>
        <v>118820.08</v>
      </c>
      <c r="K16" s="958">
        <f t="shared" si="3"/>
        <v>59410.04</v>
      </c>
      <c r="L16" s="1313">
        <v>15000</v>
      </c>
      <c r="M16" s="295">
        <f t="shared" si="4"/>
        <v>3308989.6678</v>
      </c>
      <c r="N16" s="295">
        <f t="shared" si="5"/>
        <v>264719.173424</v>
      </c>
      <c r="O16" s="295"/>
      <c r="P16" s="295"/>
      <c r="Q16" s="295"/>
      <c r="R16" s="976">
        <f t="shared" si="6"/>
        <v>3573708.841224</v>
      </c>
      <c r="S16" s="1521">
        <f t="shared" si="7"/>
        <v>26471.9173424</v>
      </c>
      <c r="T16" s="977">
        <f t="shared" si="8"/>
        <v>3600180.7585664</v>
      </c>
      <c r="U16" s="1273">
        <v>44409</v>
      </c>
      <c r="V16" s="1274">
        <v>44439</v>
      </c>
    </row>
    <row r="17" ht="18.75" customHeight="1">
      <c r="A17" s="1478" t="s">
        <v>24</v>
      </c>
      <c r="B17" s="1508" t="s">
        <v>73</v>
      </c>
      <c r="C17" s="1513" t="s">
        <v>74</v>
      </c>
      <c r="D17" s="1510" t="s">
        <v>34</v>
      </c>
      <c r="E17" s="1510" t="s">
        <v>47</v>
      </c>
      <c r="F17" s="1510" t="s">
        <v>48</v>
      </c>
      <c r="G17" s="1512">
        <v>2970502</v>
      </c>
      <c r="H17" s="1512"/>
      <c r="I17" s="958">
        <f t="shared" si="1"/>
        <v>145257.5478</v>
      </c>
      <c r="J17" s="958">
        <f t="shared" si="2"/>
        <v>118820.08</v>
      </c>
      <c r="K17" s="958">
        <f t="shared" si="3"/>
        <v>59410.04</v>
      </c>
      <c r="L17" s="1313">
        <v>15000</v>
      </c>
      <c r="M17" s="295">
        <f t="shared" si="4"/>
        <v>3308989.6678</v>
      </c>
      <c r="N17" s="295">
        <f t="shared" si="5"/>
        <v>264719.173424</v>
      </c>
      <c r="O17" s="295"/>
      <c r="P17" s="295"/>
      <c r="Q17" s="295"/>
      <c r="R17" s="976">
        <f t="shared" si="6"/>
        <v>3573708.841224</v>
      </c>
      <c r="S17" s="1521">
        <f t="shared" si="7"/>
        <v>26471.9173424</v>
      </c>
      <c r="T17" s="977">
        <f t="shared" si="8"/>
        <v>3600180.7585664</v>
      </c>
      <c r="U17" s="1273">
        <v>44409</v>
      </c>
      <c r="V17" s="1274">
        <v>44439</v>
      </c>
    </row>
    <row r="18" ht="18.75" customHeight="1">
      <c r="A18" s="1478" t="s">
        <v>24</v>
      </c>
      <c r="B18" s="1508" t="s">
        <v>75</v>
      </c>
      <c r="C18" s="1513" t="s">
        <v>76</v>
      </c>
      <c r="D18" s="1510" t="s">
        <v>34</v>
      </c>
      <c r="E18" s="1510" t="s">
        <v>47</v>
      </c>
      <c r="F18" s="1510" t="s">
        <v>48</v>
      </c>
      <c r="G18" s="1512">
        <v>2970502</v>
      </c>
      <c r="H18" s="1512"/>
      <c r="I18" s="958">
        <f t="shared" si="1"/>
        <v>145257.5478</v>
      </c>
      <c r="J18" s="958">
        <f t="shared" si="2"/>
        <v>118820.08</v>
      </c>
      <c r="K18" s="958">
        <f t="shared" si="3"/>
        <v>59410.04</v>
      </c>
      <c r="L18" s="1313">
        <v>15000</v>
      </c>
      <c r="M18" s="295">
        <f t="shared" si="4"/>
        <v>3308989.6678</v>
      </c>
      <c r="N18" s="295">
        <f t="shared" si="5"/>
        <v>264719.173424</v>
      </c>
      <c r="O18" s="295"/>
      <c r="P18" s="295"/>
      <c r="Q18" s="295"/>
      <c r="R18" s="976">
        <f t="shared" si="6"/>
        <v>3573708.841224</v>
      </c>
      <c r="S18" s="1521">
        <f t="shared" si="7"/>
        <v>26471.9173424</v>
      </c>
      <c r="T18" s="977">
        <f t="shared" si="8"/>
        <v>3600180.7585664</v>
      </c>
      <c r="U18" s="1273">
        <v>44409</v>
      </c>
      <c r="V18" s="1274">
        <v>44439</v>
      </c>
    </row>
    <row r="19" ht="18.75" customHeight="1">
      <c r="A19" s="1478" t="s">
        <v>24</v>
      </c>
      <c r="B19" s="928" t="s">
        <v>77</v>
      </c>
      <c r="C19" s="1514" t="s">
        <v>78</v>
      </c>
      <c r="D19" s="1312" t="s">
        <v>34</v>
      </c>
      <c r="E19" s="1312" t="s">
        <v>47</v>
      </c>
      <c r="F19" s="1312" t="s">
        <v>48</v>
      </c>
      <c r="G19" s="1512">
        <v>2970502</v>
      </c>
      <c r="H19" s="1512"/>
      <c r="I19" s="954">
        <f t="shared" si="1"/>
        <v>145257.5478</v>
      </c>
      <c r="J19" s="954">
        <f t="shared" si="2"/>
        <v>118820.08</v>
      </c>
      <c r="K19" s="954">
        <f t="shared" si="3"/>
        <v>59410.04</v>
      </c>
      <c r="L19" s="1313">
        <v>15000</v>
      </c>
      <c r="M19" s="295">
        <f t="shared" si="4"/>
        <v>3308989.6678</v>
      </c>
      <c r="N19" s="916">
        <f t="shared" si="5"/>
        <v>264719.173424</v>
      </c>
      <c r="O19" s="295"/>
      <c r="P19" s="916"/>
      <c r="Q19" s="916"/>
      <c r="R19" s="976">
        <f t="shared" si="6"/>
        <v>3573708.841224</v>
      </c>
      <c r="S19" s="959">
        <f t="shared" si="7"/>
        <v>26471.9173424</v>
      </c>
      <c r="T19" s="960">
        <f t="shared" si="8"/>
        <v>3600180.7585664</v>
      </c>
      <c r="U19" s="961">
        <v>44378</v>
      </c>
      <c r="V19" s="962">
        <v>44469</v>
      </c>
      <c r="X19" s="1504"/>
      <c r="Y19" s="1504"/>
      <c r="Z19" s="1504"/>
    </row>
    <row r="20" ht="18.75" customHeight="1">
      <c r="A20" s="1478" t="s">
        <v>30</v>
      </c>
      <c r="B20" s="1859"/>
      <c r="C20" s="1515" t="s">
        <v>79</v>
      </c>
      <c r="D20" s="1481" t="s">
        <v>34</v>
      </c>
      <c r="E20" s="1481" t="s">
        <v>47</v>
      </c>
      <c r="F20" s="1481" t="s">
        <v>48</v>
      </c>
      <c r="G20" s="1480">
        <f>2970502/31*12</f>
        <v>1149871.74193548</v>
      </c>
      <c r="H20" s="1480"/>
      <c r="I20" s="958">
        <f t="shared" si="1"/>
        <v>145257.5478</v>
      </c>
      <c r="J20" s="958">
        <f t="shared" si="2"/>
        <v>118820.08</v>
      </c>
      <c r="K20" s="958">
        <f t="shared" si="3"/>
        <v>59410.04</v>
      </c>
      <c r="L20" s="1480">
        <v>15000</v>
      </c>
      <c r="M20" s="295">
        <f t="shared" si="4"/>
        <v>1488359.40973548</v>
      </c>
      <c r="N20" s="295">
        <f t="shared" si="5"/>
        <v>119068.752778839</v>
      </c>
      <c r="O20" s="295"/>
      <c r="P20" s="295"/>
      <c r="Q20" s="295"/>
      <c r="R20" s="976">
        <f t="shared" si="6"/>
        <v>1607428.16251432</v>
      </c>
      <c r="S20" s="976">
        <f t="shared" si="7"/>
        <v>11906.8752778839</v>
      </c>
      <c r="T20" s="1522">
        <f t="shared" si="8"/>
        <v>1619335.0377922</v>
      </c>
      <c r="U20" s="978">
        <v>44412</v>
      </c>
      <c r="V20" s="979"/>
      <c r="W20" s="351" t="s">
        <v>80</v>
      </c>
      <c r="X20" s="963"/>
      <c r="Y20" s="963"/>
      <c r="Z20" s="963"/>
    </row>
    <row r="21" ht="18.75" customHeight="1">
      <c r="A21" s="1478" t="s">
        <v>31</v>
      </c>
      <c r="B21" s="1859" t="s">
        <v>81</v>
      </c>
      <c r="C21" s="1515" t="s">
        <v>82</v>
      </c>
      <c r="D21" s="1481" t="s">
        <v>34</v>
      </c>
      <c r="E21" s="1481" t="s">
        <v>47</v>
      </c>
      <c r="F21" s="1481" t="s">
        <v>48</v>
      </c>
      <c r="G21" s="1480">
        <f>2970502/31*19</f>
        <v>1820630.25806452</v>
      </c>
      <c r="H21" s="1480"/>
      <c r="I21" s="958"/>
      <c r="J21" s="958"/>
      <c r="K21" s="958"/>
      <c r="L21" s="1480"/>
      <c r="M21" s="295">
        <f t="shared" si="4"/>
        <v>1820630.25806452</v>
      </c>
      <c r="N21" s="295">
        <f t="shared" si="5"/>
        <v>145650.420645161</v>
      </c>
      <c r="O21" s="295"/>
      <c r="P21" s="295"/>
      <c r="Q21" s="295"/>
      <c r="R21" s="976">
        <f t="shared" si="6"/>
        <v>1966280.67870968</v>
      </c>
      <c r="S21" s="976">
        <f t="shared" si="7"/>
        <v>14565.0420645161</v>
      </c>
      <c r="T21" s="977">
        <f t="shared" si="8"/>
        <v>1980845.72077419</v>
      </c>
      <c r="U21" s="1523">
        <v>44409</v>
      </c>
      <c r="V21" s="1274">
        <v>44411</v>
      </c>
      <c r="W21" s="351" t="s">
        <v>83</v>
      </c>
      <c r="X21" s="963"/>
      <c r="Y21" s="963"/>
      <c r="Z21" s="963"/>
    </row>
    <row r="22" ht="18" customHeight="1">
      <c r="A22" s="1740" t="s">
        <v>30</v>
      </c>
      <c r="B22" s="1860"/>
      <c r="C22" s="1741"/>
      <c r="D22" s="1741"/>
      <c r="E22" s="1741"/>
      <c r="F22" s="1741"/>
      <c r="G22" s="1516">
        <f ref="G22:T22" t="shared" si="10">SUM(G12:G21)</f>
        <v>26734518</v>
      </c>
      <c r="H22" s="1516">
        <f t="shared" si="10"/>
        <v>0</v>
      </c>
      <c r="I22" s="1516">
        <f t="shared" si="10"/>
        <v>1307317.9302</v>
      </c>
      <c r="J22" s="1516">
        <f t="shared" si="10"/>
        <v>1069380.72</v>
      </c>
      <c r="K22" s="1516">
        <f t="shared" si="10"/>
        <v>534690.36</v>
      </c>
      <c r="L22" s="1516">
        <f t="shared" si="10"/>
        <v>135000</v>
      </c>
      <c r="M22" s="1516">
        <f t="shared" si="10"/>
        <v>29780907.0102</v>
      </c>
      <c r="N22" s="1516">
        <f t="shared" si="10"/>
        <v>2382472.560816</v>
      </c>
      <c r="O22" s="1516">
        <f t="shared" si="10"/>
        <v>0</v>
      </c>
      <c r="P22" s="1516">
        <f t="shared" si="10"/>
        <v>0</v>
      </c>
      <c r="Q22" s="1516">
        <f t="shared" si="10"/>
        <v>0</v>
      </c>
      <c r="R22" s="1516">
        <f t="shared" si="10"/>
        <v>32163379.571016</v>
      </c>
      <c r="S22" s="1516">
        <f t="shared" si="10"/>
        <v>238247.2560816</v>
      </c>
      <c r="T22" s="1516">
        <f t="shared" si="10"/>
        <v>32401626.8270976</v>
      </c>
      <c r="U22" s="1516"/>
      <c r="V22" s="1524"/>
    </row>
    <row r="23" ht="18" customHeight="1">
      <c r="A23" s="0" t="s">
        <v>30</v>
      </c>
      <c r="B23" s="1861"/>
      <c r="D23" s="1517"/>
      <c r="E23" s="1517"/>
      <c r="F23" s="1517"/>
      <c r="G23" s="1518"/>
      <c r="H23" s="1518"/>
      <c r="I23" s="1518"/>
      <c r="J23" s="1518"/>
      <c r="K23" s="1518"/>
      <c r="L23" s="1518"/>
      <c r="M23" s="1518"/>
      <c r="N23" s="1518"/>
      <c r="O23" s="1518"/>
      <c r="P23" s="1518"/>
      <c r="Q23" s="1518"/>
      <c r="R23" s="1518"/>
      <c r="S23" s="1518"/>
      <c r="T23" s="1518"/>
      <c r="V23" s="1501"/>
    </row>
    <row r="24" ht="18" customHeight="1">
      <c r="A24" s="1742" t="s">
        <v>30</v>
      </c>
      <c r="B24" s="1862"/>
      <c r="C24" s="1743"/>
      <c r="D24" s="1743"/>
      <c r="E24" s="1743"/>
      <c r="F24" s="1743"/>
      <c r="G24" s="1519">
        <f ref="G24:T24" t="shared" si="11">+G22+G9</f>
        <v>32675522</v>
      </c>
      <c r="H24" s="1519">
        <f t="shared" si="11"/>
        <v>0</v>
      </c>
      <c r="I24" s="1519">
        <f t="shared" si="11"/>
        <v>1597833.0258</v>
      </c>
      <c r="J24" s="1519">
        <f t="shared" si="11"/>
        <v>1307020.88</v>
      </c>
      <c r="K24" s="1519">
        <f t="shared" si="11"/>
        <v>653510.44</v>
      </c>
      <c r="L24" s="1519">
        <f t="shared" si="11"/>
        <v>138334</v>
      </c>
      <c r="M24" s="1519">
        <f t="shared" si="11"/>
        <v>36372220.3458</v>
      </c>
      <c r="N24" s="1519">
        <f t="shared" si="11"/>
        <v>2909777.627664</v>
      </c>
      <c r="O24" s="1519">
        <f t="shared" si="11"/>
        <v>800000</v>
      </c>
      <c r="P24" s="1519">
        <f t="shared" si="11"/>
        <v>100000</v>
      </c>
      <c r="Q24" s="1519">
        <f t="shared" si="11"/>
        <v>410000</v>
      </c>
      <c r="R24" s="1519">
        <f t="shared" si="11"/>
        <v>40591997.973464</v>
      </c>
      <c r="S24" s="1519">
        <f t="shared" si="11"/>
        <v>290977.7627664</v>
      </c>
      <c r="T24" s="1519">
        <f t="shared" si="11"/>
        <v>40882975.7362304</v>
      </c>
      <c r="U24" s="1519"/>
      <c r="V24" s="1525"/>
    </row>
    <row r="25" ht="15.75" customHeight="1">
      <c r="A25" s="1482" t="s">
        <v>30</v>
      </c>
      <c r="B25" s="1863"/>
      <c r="C25" s="1482"/>
      <c r="D25" s="1482"/>
      <c r="E25" s="1482"/>
      <c r="F25" s="1482"/>
      <c r="G25" s="1483"/>
      <c r="H25" s="1483"/>
      <c r="I25" s="1489"/>
      <c r="J25" s="1489"/>
      <c r="K25" s="1489"/>
      <c r="L25" s="1489"/>
      <c r="M25" s="1489"/>
      <c r="N25" s="1489"/>
      <c r="O25" s="1489"/>
      <c r="P25" s="1489"/>
      <c r="Q25" s="1489"/>
      <c r="R25" s="1489"/>
      <c r="S25" s="1489"/>
      <c r="T25" s="1489"/>
      <c r="U25" s="1489"/>
      <c r="V25" s="1489"/>
    </row>
    <row r="26">
      <c r="A26" s="0" t="s">
        <v>30</v>
      </c>
      <c r="B26" s="1864"/>
      <c r="C26" s="1482" t="s">
        <v>59</v>
      </c>
      <c r="D26" s="1485"/>
      <c r="E26" s="1485"/>
      <c r="F26" s="1485"/>
      <c r="G26" s="1486"/>
      <c r="H26" s="1486"/>
      <c r="I26" s="1495"/>
      <c r="J26" s="1495"/>
      <c r="K26" s="1495"/>
      <c r="L26" s="1495"/>
      <c r="M26" s="1495"/>
      <c r="N26" s="1495"/>
      <c r="O26" s="1495"/>
      <c r="P26" s="1495"/>
      <c r="Q26" s="1495"/>
      <c r="R26" s="1495"/>
      <c r="S26" s="1495"/>
      <c r="T26" s="1495"/>
      <c r="U26" s="1505"/>
      <c r="V26" s="1501"/>
    </row>
    <row r="27" ht="7.5" customHeight="1">
      <c r="A27" s="0" t="s">
        <v>30</v>
      </c>
      <c r="B27" s="1865"/>
      <c r="D27" s="1487"/>
      <c r="E27" s="1482"/>
      <c r="F27" s="1482"/>
      <c r="G27" s="1472"/>
      <c r="H27" s="1472"/>
      <c r="I27" s="1485"/>
      <c r="J27" s="1485"/>
      <c r="K27" s="1485"/>
      <c r="L27" s="1485"/>
      <c r="M27" s="1485"/>
      <c r="N27" s="1495"/>
      <c r="O27" s="1495"/>
      <c r="P27" s="1495"/>
      <c r="Q27" s="1495"/>
      <c r="R27" s="1485"/>
      <c r="S27" s="1485"/>
      <c r="T27" s="1506"/>
      <c r="U27" s="1505"/>
      <c r="V27" s="1501"/>
    </row>
    <row r="28">
      <c r="A28" s="0" t="s">
        <v>30</v>
      </c>
      <c r="B28" s="1864"/>
      <c r="C28" s="1482" t="s">
        <v>38</v>
      </c>
      <c r="D28" s="1488"/>
      <c r="E28" s="1482"/>
      <c r="F28" s="1482"/>
      <c r="G28" s="1489"/>
      <c r="H28" s="1489"/>
      <c r="I28" s="1496"/>
      <c r="J28" s="1496"/>
      <c r="K28" s="1496"/>
      <c r="L28" s="1497"/>
      <c r="M28" s="1487" t="s">
        <v>39</v>
      </c>
      <c r="N28" s="1498"/>
      <c r="O28" s="1498"/>
      <c r="R28" s="1507"/>
      <c r="S28" s="1485"/>
      <c r="T28" s="1498"/>
      <c r="U28" s="1505"/>
      <c r="V28" s="1505"/>
    </row>
    <row r="29">
      <c r="A29" s="0" t="s">
        <v>30</v>
      </c>
      <c r="B29" s="1866"/>
      <c r="C29" s="1490"/>
      <c r="D29" s="1471"/>
      <c r="E29" s="1470"/>
      <c r="F29" s="1470"/>
      <c r="G29" s="1489"/>
      <c r="H29" s="1489"/>
      <c r="I29" s="1496"/>
      <c r="J29" s="1499"/>
      <c r="K29" s="1496"/>
      <c r="L29" s="1497"/>
      <c r="M29" s="1496"/>
      <c r="N29" s="1485"/>
      <c r="O29" s="1485"/>
      <c r="P29" s="1485"/>
      <c r="Q29" s="1485"/>
      <c r="R29" s="1507"/>
      <c r="S29" s="1485"/>
      <c r="T29" s="1485"/>
      <c r="U29" s="1505"/>
      <c r="V29" s="1505"/>
    </row>
    <row r="30">
      <c r="A30" s="0" t="s">
        <v>30</v>
      </c>
      <c r="B30" s="1866"/>
      <c r="C30" s="1490"/>
      <c r="D30" s="1471"/>
      <c r="E30" s="1470"/>
      <c r="F30" s="1470"/>
      <c r="G30" s="1472"/>
      <c r="H30" s="1472"/>
      <c r="I30" s="1472"/>
      <c r="J30" s="1485"/>
      <c r="K30" s="1485"/>
      <c r="L30" s="1495"/>
      <c r="M30" s="1485"/>
      <c r="N30" s="1485"/>
      <c r="O30" s="1485"/>
      <c r="P30" s="1485"/>
      <c r="Q30" s="1485"/>
      <c r="R30" s="1470"/>
      <c r="S30" s="1485"/>
      <c r="T30" s="1485"/>
      <c r="U30" s="1505"/>
      <c r="V30" s="1505"/>
    </row>
    <row r="31">
      <c r="A31" s="0" t="s">
        <v>30</v>
      </c>
      <c r="B31" s="1864"/>
      <c r="C31" s="1484"/>
      <c r="D31" s="1488"/>
      <c r="E31" s="1482"/>
      <c r="F31" s="1482"/>
      <c r="G31" s="1489"/>
      <c r="H31" s="1489"/>
      <c r="I31" s="1489"/>
      <c r="J31" s="1496"/>
      <c r="K31" s="1496"/>
      <c r="L31" s="1497"/>
      <c r="M31" s="1496"/>
      <c r="N31" s="1496"/>
      <c r="O31" s="1496"/>
      <c r="P31" s="1496"/>
      <c r="Q31" s="1496"/>
      <c r="R31" s="1482"/>
      <c r="S31" s="1485"/>
      <c r="T31" s="1485"/>
      <c r="U31" s="1505"/>
      <c r="V31" s="1505"/>
    </row>
    <row r="32">
      <c r="A32" s="0" t="s">
        <v>30</v>
      </c>
      <c r="B32" s="1865"/>
      <c r="C32" s="1482"/>
      <c r="D32" s="1482"/>
      <c r="E32" s="1482"/>
      <c r="F32" s="1482"/>
      <c r="G32" s="1489"/>
      <c r="H32" s="1489"/>
      <c r="I32" s="1489"/>
      <c r="J32" s="1496"/>
      <c r="K32" s="1496"/>
      <c r="L32" s="1497"/>
      <c r="M32" s="1496"/>
      <c r="N32" s="1496"/>
      <c r="O32" s="1496"/>
      <c r="P32" s="1496"/>
      <c r="Q32" s="1496"/>
      <c r="R32" s="1482"/>
      <c r="S32" s="1470"/>
      <c r="T32" s="1485"/>
      <c r="U32" s="1505"/>
      <c r="V32" s="1505"/>
    </row>
    <row r="33">
      <c r="A33" s="0" t="s">
        <v>30</v>
      </c>
      <c r="B33" s="1865"/>
      <c r="C33" s="1482"/>
      <c r="D33" s="1482"/>
      <c r="E33" s="1482"/>
      <c r="F33" s="1482"/>
      <c r="G33" s="1489"/>
      <c r="H33" s="1489"/>
      <c r="I33" s="1489"/>
      <c r="J33" s="1496"/>
      <c r="K33" s="1496"/>
      <c r="L33" s="1497"/>
      <c r="M33" s="1496"/>
      <c r="N33" s="1496"/>
      <c r="O33" s="1496"/>
      <c r="P33" s="1496"/>
      <c r="Q33" s="1496"/>
      <c r="R33" s="1482"/>
      <c r="S33" s="1485"/>
      <c r="U33" s="1505"/>
      <c r="V33" s="1505"/>
    </row>
    <row r="34">
      <c r="A34" s="0" t="s">
        <v>30</v>
      </c>
      <c r="B34" s="1865"/>
      <c r="C34" s="1482" t="s">
        <v>40</v>
      </c>
      <c r="D34" s="1491"/>
      <c r="E34" s="1482"/>
      <c r="F34" s="1482"/>
      <c r="G34" s="1489"/>
      <c r="H34" s="1489"/>
      <c r="I34" s="1489"/>
      <c r="J34" s="1497" t="s">
        <v>41</v>
      </c>
      <c r="K34" s="1487"/>
      <c r="L34" s="1487"/>
      <c r="M34" s="1487" t="s">
        <v>42</v>
      </c>
      <c r="P34" s="1482" t="s">
        <v>43</v>
      </c>
      <c r="Q34" s="1487"/>
      <c r="U34" s="963"/>
      <c r="V34" s="963"/>
    </row>
    <row r="35">
      <c r="A35" s="1487" t="s">
        <v>30</v>
      </c>
      <c r="B35" s="1863"/>
      <c r="C35" s="1488"/>
      <c r="D35" s="1482"/>
      <c r="E35" s="1482"/>
      <c r="F35" s="1492"/>
      <c r="G35" s="1489"/>
      <c r="H35" s="1489"/>
      <c r="I35" s="1487"/>
      <c r="J35" s="1487"/>
      <c r="K35" s="1487"/>
      <c r="L35" s="1487"/>
      <c r="M35" s="1489"/>
      <c r="N35" s="1487"/>
      <c r="O35" s="1487"/>
      <c r="P35" s="1487"/>
      <c r="Q35" s="1487"/>
      <c r="R35" s="1487"/>
      <c r="U35" s="963"/>
      <c r="V35" s="963"/>
    </row>
  </sheetData>
  <mergeCells>
    <mergeCell ref="A9:F9"/>
    <mergeCell ref="A22:F22"/>
    <mergeCell ref="A24:F24"/>
  </mergeCells>
  <printOptions horizontalCentered="1"/>
  <pageMargins left="0.25902777777777802" right="0" top="0.75" bottom="0.75" header="0.30902777777777801" footer="0.30902777777777801"/>
  <pageSetup paperSize="9" scale="64" fitToHeight="0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W27"/>
  <sheetViews>
    <sheetView workbookViewId="0">
      <pane xSplit="7" ySplit="6" topLeftCell="H7" activePane="bottomRight" state="frozen"/>
      <selection pane="topRight"/>
      <selection pane="bottomLeft"/>
      <selection pane="bottomRight" activeCell="M12" sqref="M12"/>
    </sheetView>
  </sheetViews>
  <sheetFormatPr defaultColWidth="9.140625" defaultRowHeight="12" customHeight="1"/>
  <cols>
    <col min="1" max="2" width="4.85546875" customWidth="1"/>
    <col min="3" max="3" width="23.28515625" customWidth="1"/>
    <col min="4" max="4" width="10.28515625" customWidth="1"/>
    <col min="5" max="5" width="10.140625" customWidth="1"/>
    <col min="6" max="6" width="7.42578125" customWidth="1"/>
    <col min="7" max="8" width="9.5703125" customWidth="1"/>
    <col min="9" max="9" width="7.7109375" customWidth="1"/>
    <col min="10" max="10" width="10.42578125" customWidth="1"/>
    <col min="11" max="11" width="9.28515625" customWidth="1"/>
    <col min="12" max="12" width="10.28515625" customWidth="1"/>
    <col min="13" max="15" width="10.42578125" customWidth="1"/>
    <col min="16" max="17" hidden="1" width="10.42578125" customWidth="1"/>
    <col min="18" max="19" width="10.42578125" customWidth="1"/>
    <col min="20" max="20" width="10.5703125" customWidth="1"/>
    <col min="21" max="21" width="8.42578125" customWidth="1"/>
    <col min="22" max="22" width="10.28515625" customWidth="1"/>
  </cols>
  <sheetData>
    <row r="1" ht="12" customHeight="1">
      <c r="A1" s="207" t="s">
        <v>0</v>
      </c>
      <c r="C1" s="209"/>
      <c r="G1" s="210"/>
      <c r="H1" s="210"/>
      <c r="M1" s="210"/>
      <c r="V1" s="317"/>
    </row>
    <row r="2" ht="12" customHeight="1">
      <c r="A2" s="207" t="s">
        <v>1786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 ht="15">
      <c r="A3" s="207" t="str">
        <f>+'JEMBER ANTERAJA AGUSTUS - OK'!A3</f>
        <v>Periode Bulan Agustus  2021</v>
      </c>
      <c r="C3" s="209"/>
      <c r="G3" s="213"/>
      <c r="H3" s="213"/>
      <c r="I3" s="281"/>
      <c r="M3" s="210"/>
      <c r="V3" s="317"/>
    </row>
    <row r="4" ht="15">
      <c r="A4" s="207"/>
      <c r="C4" s="209"/>
      <c r="G4" s="214">
        <v>2314278</v>
      </c>
      <c r="H4" s="214"/>
      <c r="I4" s="281"/>
      <c r="M4" s="210"/>
      <c r="V4" s="317"/>
    </row>
    <row r="5" ht="15">
      <c r="A5" s="207"/>
      <c r="C5" s="209"/>
      <c r="G5" s="214"/>
      <c r="H5" s="214"/>
      <c r="I5" s="281"/>
      <c r="M5" s="210"/>
      <c r="V5" s="317"/>
    </row>
    <row r="6" ht="22.5">
      <c r="A6" s="463" t="s">
        <v>2</v>
      </c>
      <c r="B6" s="464" t="s">
        <v>3</v>
      </c>
      <c r="C6" s="464" t="s">
        <v>4</v>
      </c>
      <c r="D6" s="464" t="s">
        <v>5</v>
      </c>
      <c r="E6" s="464" t="s">
        <v>6</v>
      </c>
      <c r="F6" s="465" t="s">
        <v>7</v>
      </c>
      <c r="G6" s="466" t="s">
        <v>8</v>
      </c>
      <c r="H6" s="219" t="s">
        <v>9</v>
      </c>
      <c r="I6" s="467" t="s">
        <v>10</v>
      </c>
      <c r="J6" s="477" t="s">
        <v>11</v>
      </c>
      <c r="K6" s="477" t="s">
        <v>12</v>
      </c>
      <c r="L6" s="478" t="s">
        <v>13</v>
      </c>
      <c r="M6" s="478" t="s">
        <v>14</v>
      </c>
      <c r="N6" s="286" t="s">
        <v>15</v>
      </c>
      <c r="O6" s="286" t="s">
        <v>882</v>
      </c>
      <c r="P6" s="286" t="s">
        <v>17</v>
      </c>
      <c r="Q6" s="286" t="s">
        <v>18</v>
      </c>
      <c r="R6" s="483" t="s">
        <v>19</v>
      </c>
      <c r="S6" s="484" t="s">
        <v>20</v>
      </c>
      <c r="T6" s="484" t="s">
        <v>21</v>
      </c>
      <c r="U6" s="485" t="s">
        <v>22</v>
      </c>
      <c r="V6" s="486" t="s">
        <v>23</v>
      </c>
    </row>
    <row r="7" ht="12" customHeight="1" s="351" customFormat="1">
      <c r="A7" s="227" t="s">
        <v>24</v>
      </c>
      <c r="B7" s="228" t="s">
        <v>1787</v>
      </c>
      <c r="C7" s="590" t="s">
        <v>1779</v>
      </c>
      <c r="D7" s="228" t="s">
        <v>34</v>
      </c>
      <c r="E7" s="228" t="s">
        <v>769</v>
      </c>
      <c r="F7" s="1659" t="s">
        <v>87</v>
      </c>
      <c r="G7" s="233">
        <f ref="G7:G10" t="shared" si="0">2314278/31*30</f>
        <v>2239623.870967742</v>
      </c>
      <c r="H7" s="1660"/>
      <c r="I7" s="1661">
        <f ref="I7:I12" t="shared" si="1">+$G$4*4.89%</f>
        <v>113168.1942</v>
      </c>
      <c r="J7" s="1661">
        <f ref="J7:J12" t="shared" si="2">+$G$4*4%</f>
        <v>92571.12</v>
      </c>
      <c r="K7" s="1661">
        <f ref="K7:K12" t="shared" si="3">+$G$4*2%</f>
        <v>46285.56</v>
      </c>
      <c r="L7" s="395">
        <v>15000</v>
      </c>
      <c r="M7" s="295">
        <f>SUM(G7:L7)</f>
        <v>2506648.745167742</v>
      </c>
      <c r="N7" s="1662">
        <f ref="N7:N12" t="shared" si="4">+M7*8%</f>
        <v>200531.89961341937</v>
      </c>
      <c r="O7" s="1104">
        <v>865000</v>
      </c>
      <c r="P7" s="1663"/>
      <c r="Q7" s="1662"/>
      <c r="R7" s="1664">
        <f ref="R7:R12" t="shared" si="5">SUM(M7:Q7)</f>
        <v>3572180.6447811616</v>
      </c>
      <c r="S7" s="1664">
        <f ref="S7:S12" t="shared" si="6">N7*0.1</f>
        <v>20053.189961341937</v>
      </c>
      <c r="T7" s="1665">
        <f ref="T7:T12" t="shared" si="7">R7+S7</f>
        <v>3592233.8347425037</v>
      </c>
      <c r="U7" s="1666">
        <v>44348</v>
      </c>
      <c r="V7" s="580">
        <v>44422</v>
      </c>
      <c r="W7" s="426"/>
    </row>
    <row r="8" ht="12" customHeight="1" s="351" customFormat="1">
      <c r="A8" s="227" t="s">
        <v>24</v>
      </c>
      <c r="B8" s="228" t="s">
        <v>1788</v>
      </c>
      <c r="C8" s="590" t="s">
        <v>1781</v>
      </c>
      <c r="D8" s="228" t="s">
        <v>34</v>
      </c>
      <c r="E8" s="228" t="s">
        <v>769</v>
      </c>
      <c r="F8" s="1659" t="s">
        <v>87</v>
      </c>
      <c r="G8" s="233">
        <f t="shared" si="0"/>
        <v>2239623.870967742</v>
      </c>
      <c r="H8" s="1660"/>
      <c r="I8" s="1661">
        <f t="shared" si="1"/>
        <v>113168.1942</v>
      </c>
      <c r="J8" s="1661">
        <f t="shared" si="2"/>
        <v>92571.12</v>
      </c>
      <c r="K8" s="1661">
        <f t="shared" si="3"/>
        <v>46285.56</v>
      </c>
      <c r="L8" s="395">
        <v>15000</v>
      </c>
      <c r="M8" s="295">
        <f ref="M8:M13" t="shared" si="9">SUM(G8:L8)</f>
        <v>2506648.745167742</v>
      </c>
      <c r="N8" s="1662">
        <f t="shared" si="4"/>
        <v>200531.89961341937</v>
      </c>
      <c r="O8" s="1104">
        <v>1055000</v>
      </c>
      <c r="P8" s="1663"/>
      <c r="Q8" s="1662"/>
      <c r="R8" s="1664">
        <f t="shared" si="5"/>
        <v>3762180.6447811616</v>
      </c>
      <c r="S8" s="1664">
        <f t="shared" si="6"/>
        <v>20053.189961341937</v>
      </c>
      <c r="T8" s="1665">
        <f t="shared" si="7"/>
        <v>3782233.8347425037</v>
      </c>
      <c r="U8" s="1666">
        <v>44378</v>
      </c>
      <c r="V8" s="580">
        <v>44422</v>
      </c>
      <c r="W8" s="426"/>
    </row>
    <row r="9" ht="12.75" customHeight="1" s="351" customFormat="1">
      <c r="A9" s="227" t="s">
        <v>24</v>
      </c>
      <c r="B9" s="228" t="s">
        <v>1789</v>
      </c>
      <c r="C9" s="590" t="s">
        <v>1782</v>
      </c>
      <c r="D9" s="228" t="s">
        <v>34</v>
      </c>
      <c r="E9" s="228" t="s">
        <v>769</v>
      </c>
      <c r="F9" s="228" t="s">
        <v>87</v>
      </c>
      <c r="G9" s="233">
        <f t="shared" si="0"/>
        <v>2239623.870967742</v>
      </c>
      <c r="H9" s="233"/>
      <c r="I9" s="293">
        <f t="shared" si="1"/>
        <v>113168.1942</v>
      </c>
      <c r="J9" s="293">
        <f t="shared" si="2"/>
        <v>92571.12</v>
      </c>
      <c r="K9" s="293">
        <f t="shared" si="3"/>
        <v>46285.56</v>
      </c>
      <c r="L9" s="395">
        <v>15000</v>
      </c>
      <c r="M9" s="295">
        <f t="shared" si="9"/>
        <v>2506648.745167742</v>
      </c>
      <c r="N9" s="296">
        <f t="shared" si="4"/>
        <v>200531.89961341937</v>
      </c>
      <c r="O9" s="1104">
        <v>1310000</v>
      </c>
      <c r="P9" s="1104"/>
      <c r="Q9" s="296"/>
      <c r="R9" s="328">
        <f t="shared" si="5"/>
        <v>4017180.6447811616</v>
      </c>
      <c r="S9" s="328">
        <f t="shared" si="6"/>
        <v>20053.189961341937</v>
      </c>
      <c r="T9" s="329">
        <f t="shared" si="7"/>
        <v>4037233.8347425037</v>
      </c>
      <c r="U9" s="579">
        <v>44378</v>
      </c>
      <c r="V9" s="580">
        <v>44422</v>
      </c>
      <c r="W9" s="426"/>
    </row>
    <row r="10" ht="12" customHeight="1" s="351" customFormat="1">
      <c r="A10" s="227" t="s">
        <v>24</v>
      </c>
      <c r="B10" s="1659" t="s">
        <v>1790</v>
      </c>
      <c r="C10" s="1556" t="s">
        <v>1783</v>
      </c>
      <c r="D10" s="1659" t="s">
        <v>34</v>
      </c>
      <c r="E10" s="1659" t="s">
        <v>769</v>
      </c>
      <c r="F10" s="1659" t="s">
        <v>87</v>
      </c>
      <c r="G10" s="233">
        <f t="shared" si="0"/>
        <v>2239623.870967742</v>
      </c>
      <c r="H10" s="233"/>
      <c r="I10" s="293">
        <f t="shared" si="1"/>
        <v>113168.1942</v>
      </c>
      <c r="J10" s="293">
        <f t="shared" si="2"/>
        <v>92571.12</v>
      </c>
      <c r="K10" s="293">
        <f t="shared" si="3"/>
        <v>46285.56</v>
      </c>
      <c r="L10" s="395">
        <v>15000</v>
      </c>
      <c r="M10" s="295">
        <f t="shared" si="9"/>
        <v>2506648.745167742</v>
      </c>
      <c r="N10" s="296">
        <f t="shared" si="4"/>
        <v>200531.89961341937</v>
      </c>
      <c r="O10" s="1104">
        <v>815000</v>
      </c>
      <c r="P10" s="1663"/>
      <c r="Q10" s="1662"/>
      <c r="R10" s="1664">
        <f t="shared" si="5"/>
        <v>3522180.6447811616</v>
      </c>
      <c r="S10" s="1664">
        <f t="shared" si="6"/>
        <v>20053.189961341937</v>
      </c>
      <c r="T10" s="1665">
        <f t="shared" si="7"/>
        <v>3542233.8347425037</v>
      </c>
      <c r="U10" s="1666">
        <v>44341</v>
      </c>
      <c r="V10" s="580">
        <v>44422</v>
      </c>
      <c r="W10" s="426"/>
    </row>
    <row r="11" ht="12" customHeight="1" s="1592" customFormat="1">
      <c r="A11" s="1576" t="s">
        <v>24</v>
      </c>
      <c r="B11" s="1721">
        <v>2808</v>
      </c>
      <c r="C11" s="1722" t="s">
        <v>1784</v>
      </c>
      <c r="D11" s="1721" t="s">
        <v>34</v>
      </c>
      <c r="E11" s="1721" t="s">
        <v>769</v>
      </c>
      <c r="F11" s="1721" t="s">
        <v>87</v>
      </c>
      <c r="G11" s="1615">
        <f>2314278/31*23</f>
        <v>1717044.9677419355</v>
      </c>
      <c r="H11" s="1615"/>
      <c r="I11" s="1582">
        <f t="shared" si="1"/>
        <v>113168.1942</v>
      </c>
      <c r="J11" s="1582">
        <f t="shared" si="2"/>
        <v>92571.12</v>
      </c>
      <c r="K11" s="1582">
        <f t="shared" si="3"/>
        <v>46285.56</v>
      </c>
      <c r="L11" s="1583">
        <v>15000</v>
      </c>
      <c r="M11" s="295">
        <f t="shared" si="9"/>
        <v>1984069.8419419355</v>
      </c>
      <c r="N11" s="1584">
        <f t="shared" si="4"/>
        <v>158725.58735535483</v>
      </c>
      <c r="O11" s="1723">
        <v>285000</v>
      </c>
      <c r="P11" s="1724"/>
      <c r="Q11" s="1725"/>
      <c r="R11" s="1726">
        <f t="shared" si="5"/>
        <v>2427795.4292972903</v>
      </c>
      <c r="S11" s="1726">
        <f t="shared" si="6"/>
        <v>15872.558735535484</v>
      </c>
      <c r="T11" s="1727">
        <f t="shared" si="7"/>
        <v>2443667.9880328258</v>
      </c>
      <c r="U11" s="1728">
        <v>44400</v>
      </c>
      <c r="V11" s="1654">
        <v>44422</v>
      </c>
      <c r="W11" s="1729"/>
    </row>
    <row r="12" ht="12" customHeight="1" s="1592" customFormat="1">
      <c r="A12" s="1576" t="s">
        <v>31</v>
      </c>
      <c r="B12" s="1879" t="s">
        <v>1791</v>
      </c>
      <c r="C12" s="1722" t="s">
        <v>1785</v>
      </c>
      <c r="D12" s="1721" t="s">
        <v>34</v>
      </c>
      <c r="E12" s="1721" t="s">
        <v>769</v>
      </c>
      <c r="F12" s="1721" t="s">
        <v>87</v>
      </c>
      <c r="G12" s="1615">
        <f>2314278/31*23</f>
        <v>1717044.9677419355</v>
      </c>
      <c r="H12" s="1615"/>
      <c r="I12" s="1582">
        <f t="shared" si="1"/>
        <v>113168.1942</v>
      </c>
      <c r="J12" s="1582">
        <f t="shared" si="2"/>
        <v>92571.12</v>
      </c>
      <c r="K12" s="1582">
        <f t="shared" si="3"/>
        <v>46285.56</v>
      </c>
      <c r="L12" s="1583">
        <v>15000</v>
      </c>
      <c r="M12" s="295">
        <f t="shared" si="9"/>
        <v>1984069.8419419355</v>
      </c>
      <c r="N12" s="1584">
        <f t="shared" si="4"/>
        <v>158725.58735535483</v>
      </c>
      <c r="O12" s="1723">
        <v>300000</v>
      </c>
      <c r="P12" s="1724"/>
      <c r="Q12" s="1725"/>
      <c r="R12" s="1726">
        <f t="shared" si="5"/>
        <v>2442795.4292972903</v>
      </c>
      <c r="S12" s="1726">
        <f t="shared" si="6"/>
        <v>15872.558735535484</v>
      </c>
      <c r="T12" s="1727">
        <f t="shared" si="7"/>
        <v>2458667.9880328258</v>
      </c>
      <c r="U12" s="1728">
        <v>44400</v>
      </c>
      <c r="V12" s="1654">
        <v>44422</v>
      </c>
      <c r="W12" s="1729"/>
    </row>
    <row r="13" ht="12" customHeight="1" s="1613" customFormat="1">
      <c r="A13" s="227" t="s">
        <v>31</v>
      </c>
      <c r="B13" s="1880" t="s">
        <v>1792</v>
      </c>
      <c r="C13" s="1668" t="s">
        <v>1793</v>
      </c>
      <c r="D13" s="1667" t="s">
        <v>34</v>
      </c>
      <c r="E13" s="1667" t="s">
        <v>769</v>
      </c>
      <c r="F13" s="1667" t="s">
        <v>87</v>
      </c>
      <c r="G13" s="1604">
        <f>2314278/31*15</f>
        <v>1119811.935483871</v>
      </c>
      <c r="H13" s="1604"/>
      <c r="I13" s="1605"/>
      <c r="J13" s="1605"/>
      <c r="K13" s="1605"/>
      <c r="L13" s="1606"/>
      <c r="M13" s="295">
        <f t="shared" si="9"/>
        <v>1119811.935483871</v>
      </c>
      <c r="N13" s="1608">
        <f>+M13*8%</f>
        <v>89584.95483870969</v>
      </c>
      <c r="O13" s="1669">
        <v>860000</v>
      </c>
      <c r="P13" s="1670"/>
      <c r="Q13" s="1671"/>
      <c r="R13" s="1672">
        <f>SUM(M13:Q13)</f>
        <v>2069396.8903225807</v>
      </c>
      <c r="S13" s="1672">
        <f>N13*0.1</f>
        <v>8958.49548387097</v>
      </c>
      <c r="T13" s="1673">
        <f>R13+S13</f>
        <v>2078355.3858064518</v>
      </c>
      <c r="U13" s="1674">
        <v>44305</v>
      </c>
      <c r="V13" s="1675">
        <v>44408</v>
      </c>
      <c r="W13" s="1655" t="s">
        <v>1794</v>
      </c>
    </row>
    <row r="14" ht="12" customHeight="1">
      <c r="A14" s="1744" t="s">
        <v>30</v>
      </c>
      <c r="B14" s="1867"/>
      <c r="C14" s="1745"/>
      <c r="D14" s="1745"/>
      <c r="E14" s="1745"/>
      <c r="F14" s="1745"/>
      <c r="G14" s="234">
        <f>SUM(G7:G13)</f>
        <v>13512397.354838712</v>
      </c>
      <c r="H14" s="234">
        <f ref="H14:T14" t="shared" si="10">SUM(H7:H13)</f>
        <v>0</v>
      </c>
      <c r="I14" s="234">
        <f t="shared" si="10"/>
        <v>679009.1652</v>
      </c>
      <c r="J14" s="234">
        <f t="shared" si="10"/>
        <v>555426.72</v>
      </c>
      <c r="K14" s="234">
        <f t="shared" si="10"/>
        <v>277713.36</v>
      </c>
      <c r="L14" s="234">
        <f t="shared" si="10"/>
        <v>90000</v>
      </c>
      <c r="M14" s="234">
        <f t="shared" si="10"/>
        <v>15114546.600038711</v>
      </c>
      <c r="N14" s="234">
        <f t="shared" si="10"/>
        <v>1209163.7280030968</v>
      </c>
      <c r="O14" s="234">
        <f t="shared" si="10"/>
        <v>5490000</v>
      </c>
      <c r="P14" s="234">
        <f t="shared" si="10"/>
        <v>0</v>
      </c>
      <c r="Q14" s="234">
        <f t="shared" si="10"/>
        <v>0</v>
      </c>
      <c r="R14" s="234">
        <f t="shared" si="10"/>
        <v>21813710.328041807</v>
      </c>
      <c r="S14" s="234">
        <f t="shared" si="10"/>
        <v>120916.37280030968</v>
      </c>
      <c r="T14" s="234">
        <f t="shared" si="10"/>
        <v>21934626.70084212</v>
      </c>
      <c r="U14" s="332"/>
      <c r="V14" s="333"/>
    </row>
    <row r="15" ht="12" customHeight="1">
      <c r="A15" s="0" t="s">
        <v>30</v>
      </c>
      <c r="B15" s="1861"/>
      <c r="C15" s="209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V15" s="317"/>
    </row>
    <row r="16" ht="12" customHeight="1">
      <c r="A16" s="0" t="s">
        <v>30</v>
      </c>
      <c r="B16" s="1861"/>
      <c r="C16" s="387"/>
      <c r="D16" s="262"/>
      <c r="E16" s="263"/>
      <c r="F16" s="264"/>
      <c r="G16" s="210"/>
      <c r="H16" s="2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48"/>
      <c r="V16" s="317"/>
    </row>
    <row r="17" ht="12" customHeight="1">
      <c r="A17" s="0" t="s">
        <v>30</v>
      </c>
      <c r="B17" s="1869"/>
      <c r="C17" s="264" t="str">
        <f>+'JEMBER ANTERAJA AGUSTUS - OK'!C45</f>
        <v>Karawang, 16 Agustus 2021</v>
      </c>
      <c r="D17" s="270"/>
      <c r="E17" s="270"/>
      <c r="F17" s="270"/>
      <c r="G17" s="271"/>
      <c r="H17" s="271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48"/>
      <c r="W17" s="317"/>
    </row>
    <row r="18" ht="12" customHeight="1">
      <c r="A18" s="0" t="s">
        <v>30</v>
      </c>
      <c r="B18" s="1870"/>
      <c r="C18" s="264" t="s">
        <v>38</v>
      </c>
      <c r="D18" s="263"/>
      <c r="E18" s="264"/>
      <c r="F18" s="264"/>
      <c r="G18" s="210"/>
      <c r="H18" s="210"/>
      <c r="I18" s="270"/>
      <c r="J18" s="270"/>
      <c r="K18" s="270"/>
      <c r="L18" s="270"/>
      <c r="M18" s="270"/>
      <c r="N18" s="310"/>
      <c r="O18" s="310"/>
      <c r="P18" s="310"/>
      <c r="Q18" s="310"/>
      <c r="R18" s="310"/>
      <c r="S18" s="270"/>
      <c r="T18" s="270"/>
      <c r="U18" s="310"/>
      <c r="V18" s="348"/>
      <c r="W18" s="317"/>
    </row>
    <row r="19" ht="12" customHeight="1">
      <c r="A19" s="0" t="s">
        <v>30</v>
      </c>
      <c r="B19" s="1869"/>
      <c r="C19" s="445"/>
      <c r="D19" s="274"/>
      <c r="E19" s="264"/>
      <c r="F19" s="264"/>
      <c r="G19" s="275"/>
      <c r="H19" s="275"/>
      <c r="I19" s="262"/>
      <c r="J19" s="262"/>
      <c r="K19" s="262"/>
      <c r="L19" s="312"/>
      <c r="M19" s="263" t="s">
        <v>39</v>
      </c>
      <c r="N19" s="313"/>
      <c r="O19" s="313"/>
      <c r="P19" s="313"/>
      <c r="S19" s="349"/>
      <c r="T19" s="270"/>
      <c r="U19" s="313"/>
      <c r="V19" s="348"/>
      <c r="W19" s="348"/>
    </row>
    <row r="20" ht="12" customHeight="1">
      <c r="A20" s="0" t="s">
        <v>30</v>
      </c>
      <c r="B20" s="1871"/>
      <c r="C20" s="446"/>
      <c r="D20" s="209"/>
      <c r="G20" s="275"/>
      <c r="H20" s="275"/>
      <c r="I20" s="262"/>
      <c r="J20" s="315"/>
      <c r="K20" s="262"/>
      <c r="L20" s="312"/>
      <c r="M20" s="262"/>
      <c r="N20" s="270"/>
      <c r="O20" s="270"/>
      <c r="P20" s="270"/>
      <c r="Q20" s="270"/>
      <c r="R20" s="270"/>
      <c r="S20" s="349"/>
      <c r="T20" s="270"/>
      <c r="U20" s="270"/>
      <c r="V20" s="348"/>
      <c r="W20" s="348"/>
    </row>
    <row r="21" ht="12" customHeight="1">
      <c r="A21" s="0" t="s">
        <v>30</v>
      </c>
      <c r="B21" s="1871"/>
      <c r="C21" s="446"/>
      <c r="D21" s="209"/>
      <c r="G21" s="210"/>
      <c r="H21" s="210"/>
      <c r="I21" s="210"/>
      <c r="J21" s="270"/>
      <c r="K21" s="270"/>
      <c r="L21" s="310"/>
      <c r="M21" s="270"/>
      <c r="N21" s="270"/>
      <c r="O21" s="270"/>
      <c r="P21" s="270"/>
      <c r="Q21" s="270"/>
      <c r="R21" s="270"/>
      <c r="S21" s="208"/>
      <c r="T21" s="270"/>
      <c r="U21" s="270"/>
      <c r="V21" s="348"/>
      <c r="W21" s="348"/>
    </row>
    <row r="22" ht="12" customHeight="1">
      <c r="A22" s="0" t="s">
        <v>30</v>
      </c>
      <c r="B22" s="1869"/>
      <c r="C22" s="445"/>
      <c r="D22" s="274"/>
      <c r="E22" s="264"/>
      <c r="F22" s="264"/>
      <c r="G22" s="275"/>
      <c r="H22" s="275"/>
      <c r="I22" s="275"/>
      <c r="J22" s="262"/>
      <c r="K22" s="262"/>
      <c r="L22" s="312"/>
      <c r="M22" s="262"/>
      <c r="N22" s="262"/>
      <c r="O22" s="262"/>
      <c r="P22" s="262"/>
      <c r="Q22" s="262"/>
      <c r="R22" s="262"/>
      <c r="S22" s="264"/>
      <c r="T22" s="270"/>
      <c r="U22" s="270"/>
      <c r="V22" s="348"/>
      <c r="W22" s="348"/>
    </row>
    <row r="23" ht="12" customHeight="1">
      <c r="A23" s="0" t="s">
        <v>30</v>
      </c>
      <c r="B23" s="1870"/>
      <c r="C23" s="264"/>
      <c r="D23" s="264"/>
      <c r="E23" s="264"/>
      <c r="F23" s="264"/>
      <c r="G23" s="275"/>
      <c r="H23" s="275"/>
      <c r="I23" s="275"/>
      <c r="J23" s="262"/>
      <c r="K23" s="262"/>
      <c r="L23" s="312"/>
      <c r="M23" s="262"/>
      <c r="N23" s="262"/>
      <c r="O23" s="262"/>
      <c r="P23" s="262"/>
      <c r="Q23" s="262"/>
      <c r="R23" s="262"/>
      <c r="S23" s="264"/>
      <c r="T23" s="208"/>
      <c r="U23" s="270"/>
      <c r="V23" s="348"/>
      <c r="W23" s="348"/>
    </row>
    <row r="24" ht="12" customHeight="1">
      <c r="A24" s="0" t="s">
        <v>30</v>
      </c>
      <c r="B24" s="1870"/>
      <c r="C24" s="264"/>
      <c r="D24" s="264"/>
      <c r="E24" s="264"/>
      <c r="F24" s="264"/>
      <c r="G24" s="275"/>
      <c r="H24" s="275"/>
      <c r="I24" s="275"/>
      <c r="J24" s="262"/>
      <c r="K24" s="262"/>
      <c r="L24" s="312"/>
      <c r="M24" s="262"/>
      <c r="N24" s="262"/>
      <c r="O24" s="262"/>
      <c r="P24" s="262"/>
      <c r="Q24" s="262"/>
      <c r="R24" s="262"/>
      <c r="S24" s="264"/>
      <c r="T24" s="270"/>
      <c r="U24" s="387"/>
      <c r="V24" s="348"/>
      <c r="W24" s="348"/>
    </row>
    <row r="25" ht="12" customHeight="1">
      <c r="A25" s="0" t="s">
        <v>30</v>
      </c>
      <c r="B25" s="1870"/>
      <c r="C25" s="264" t="s">
        <v>40</v>
      </c>
      <c r="D25" s="568"/>
      <c r="E25" s="264"/>
      <c r="F25" s="264"/>
      <c r="G25" s="275"/>
      <c r="H25" s="275"/>
      <c r="I25" s="275"/>
      <c r="J25" s="312" t="s">
        <v>41</v>
      </c>
      <c r="K25" s="263"/>
      <c r="L25" s="263"/>
      <c r="M25" s="263" t="s">
        <v>42</v>
      </c>
      <c r="O25" s="264" t="s">
        <v>43</v>
      </c>
      <c r="R25" s="263"/>
      <c r="U25" s="387"/>
      <c r="V25" s="350"/>
      <c r="W25" s="350"/>
    </row>
    <row r="26" ht="12" customHeight="1">
      <c r="A26" s="263" t="s">
        <v>30</v>
      </c>
      <c r="B26" s="1868"/>
      <c r="C26" s="274"/>
      <c r="D26" s="264"/>
      <c r="E26" s="264"/>
      <c r="F26" s="279"/>
      <c r="G26" s="275"/>
      <c r="H26" s="275"/>
      <c r="I26" s="263"/>
      <c r="J26" s="263"/>
      <c r="K26" s="263"/>
      <c r="L26" s="263"/>
      <c r="M26" s="275"/>
      <c r="N26" s="263"/>
      <c r="O26" s="263"/>
      <c r="P26" s="263"/>
      <c r="Q26" s="263"/>
      <c r="R26" s="263"/>
      <c r="U26" s="350"/>
      <c r="V26" s="350"/>
    </row>
    <row r="27" ht="12" customHeight="1">
      <c r="A27" s="263" t="s">
        <v>30</v>
      </c>
      <c r="B27" s="1868"/>
      <c r="C27" s="274"/>
      <c r="D27" s="264"/>
      <c r="E27" s="264"/>
      <c r="F27" s="279"/>
      <c r="G27" s="275"/>
      <c r="H27" s="275"/>
      <c r="I27" s="263"/>
      <c r="J27" s="263"/>
      <c r="K27" s="263"/>
      <c r="L27" s="263"/>
      <c r="M27" s="275"/>
      <c r="N27" s="263"/>
      <c r="O27" s="263"/>
      <c r="P27" s="263"/>
      <c r="Q27" s="263"/>
      <c r="R27" s="263"/>
      <c r="U27" s="350"/>
      <c r="V27" s="350"/>
    </row>
    <row r="28" ht="15"/>
    <row r="31" ht="12.75" customHeight="1"/>
  </sheetData>
  <mergeCells>
    <mergeCell ref="A14:F14"/>
  </mergeCells>
  <printOptions horizontalCentered="1"/>
  <pageMargins left="0" right="0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W28"/>
  <sheetViews>
    <sheetView zoomScale="85" zoomScaleNormal="85" workbookViewId="0">
      <pane xSplit="7" ySplit="6" topLeftCell="H7" activePane="bottomRight" state="frozen"/>
      <selection pane="topRight"/>
      <selection pane="bottomLeft"/>
      <selection pane="bottomRight" activeCell="M15" sqref="M15"/>
    </sheetView>
  </sheetViews>
  <sheetFormatPr defaultColWidth="9.140625" defaultRowHeight="15"/>
  <cols>
    <col min="1" max="2" width="4.5703125" customWidth="1"/>
    <col min="3" max="3" width="20.28515625" customWidth="1"/>
    <col min="4" max="4" width="8.140625" customWidth="1"/>
    <col min="5" max="5" hidden="1" width="11.5703125" customWidth="1"/>
    <col min="6" max="6" hidden="1" width="9.85546875" customWidth="1"/>
    <col min="7" max="7" width="11.5703125" customWidth="1"/>
    <col min="8" max="8" width="9.5703125" customWidth="1"/>
    <col min="9" max="9" width="10.85546875" customWidth="1"/>
    <col min="10" max="10" width="10" customWidth="1"/>
    <col min="11" max="11" width="8.5703125" customWidth="1"/>
    <col min="12" max="12" width="13.140625" customWidth="1"/>
    <col min="13" max="13" width="13.28515625" customWidth="1"/>
    <col min="14" max="14" width="12.42578125" customWidth="1"/>
    <col min="15" max="15" width="11.5703125" customWidth="1"/>
    <col min="16" max="16" width="12.85546875" customWidth="1"/>
    <col min="17" max="18" width="11.5703125" customWidth="1"/>
    <col min="19" max="19" width="9" customWidth="1"/>
    <col min="20" max="20" width="12.140625" customWidth="1"/>
    <col min="21" max="22" width="8.42578125" customWidth="1"/>
    <col min="23" max="23" width="52.28515625" customWidth="1"/>
  </cols>
  <sheetData>
    <row r="1">
      <c r="A1" s="1305" t="s">
        <v>0</v>
      </c>
      <c r="C1" s="1306"/>
      <c r="V1" s="1318"/>
    </row>
    <row r="2">
      <c r="A2" s="1305" t="s">
        <v>1744</v>
      </c>
      <c r="C2" s="1306"/>
      <c r="N2" s="1315"/>
      <c r="O2" s="1315"/>
      <c r="P2" s="1315"/>
      <c r="Q2" s="1315"/>
    </row>
    <row r="3">
      <c r="A3" s="1305" t="str">
        <f>+'MALANG BAT AGUSTUS - OK'!A3</f>
        <v>Periode Bulan Agustus  2021</v>
      </c>
      <c r="C3" s="1306"/>
      <c r="I3" s="1316"/>
      <c r="V3" s="1318"/>
    </row>
    <row r="4">
      <c r="A4" s="1305"/>
      <c r="C4" s="1306"/>
      <c r="I4" s="1316"/>
      <c r="V4" s="1318"/>
    </row>
    <row r="5">
      <c r="A5" s="1307"/>
      <c r="C5" s="1306"/>
      <c r="G5" s="1308">
        <v>1938321</v>
      </c>
      <c r="H5" s="1308"/>
      <c r="I5" s="1316"/>
      <c r="V5" s="1318"/>
    </row>
    <row r="6" ht="29.25" customHeight="1">
      <c r="A6" s="1309" t="s">
        <v>2</v>
      </c>
      <c r="B6" s="1310" t="s">
        <v>3</v>
      </c>
      <c r="C6" s="1310" t="s">
        <v>4</v>
      </c>
      <c r="D6" s="1310" t="s">
        <v>5</v>
      </c>
      <c r="E6" s="1310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1317" t="s">
        <v>14</v>
      </c>
      <c r="N6" s="285" t="s">
        <v>15</v>
      </c>
      <c r="O6" s="286" t="s">
        <v>16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927" t="s">
        <v>24</v>
      </c>
      <c r="B7" s="1527" t="s">
        <v>1745</v>
      </c>
      <c r="C7" s="1311" t="s">
        <v>1746</v>
      </c>
      <c r="D7" s="1312" t="s">
        <v>34</v>
      </c>
      <c r="E7" s="1312" t="s">
        <v>759</v>
      </c>
      <c r="F7" s="1312" t="s">
        <v>87</v>
      </c>
      <c r="G7" s="1313">
        <v>1938321</v>
      </c>
      <c r="H7" s="1313"/>
      <c r="I7" s="954">
        <f ref="I7:I15" t="shared" si="0">+$G$5*4.89%</f>
        <v>94783.8969</v>
      </c>
      <c r="J7" s="954">
        <f ref="J7:J15" t="shared" si="1">+$G$5*4%</f>
        <v>77532.84</v>
      </c>
      <c r="K7" s="954">
        <f ref="K7:K15" t="shared" si="2">+$G$5*2%</f>
        <v>38766.42</v>
      </c>
      <c r="L7" s="954">
        <v>15000</v>
      </c>
      <c r="M7" s="295">
        <f>SUM(G7:L7)</f>
        <v>2164404.1569</v>
      </c>
      <c r="N7" s="1349">
        <f ref="N7:N15" t="shared" si="3">+M7*8%</f>
        <v>173152.33255199998</v>
      </c>
      <c r="O7" s="916">
        <f>200000+702500</f>
        <v>902500</v>
      </c>
      <c r="P7" s="1350"/>
      <c r="Q7" s="916"/>
      <c r="R7" s="959">
        <f ref="R7:R15" t="shared" si="4">SUM(M7:Q7)</f>
        <v>3240056.489452</v>
      </c>
      <c r="S7" s="959">
        <f ref="S7:S15" t="shared" si="5">N7*0.1</f>
        <v>17315.233255199997</v>
      </c>
      <c r="T7" s="960">
        <f ref="T7:T15" t="shared" si="6">R7+S7</f>
        <v>3257371.7227072</v>
      </c>
      <c r="U7" s="1319">
        <v>44378</v>
      </c>
      <c r="V7" s="1320">
        <v>44469</v>
      </c>
      <c r="W7" s="1335" t="s">
        <v>1747</v>
      </c>
    </row>
    <row r="8" ht="18" customHeight="1">
      <c r="A8" s="927" t="s">
        <v>24</v>
      </c>
      <c r="B8" s="1527" t="s">
        <v>1748</v>
      </c>
      <c r="C8" s="1311" t="s">
        <v>1749</v>
      </c>
      <c r="D8" s="1312" t="s">
        <v>34</v>
      </c>
      <c r="E8" s="1312" t="s">
        <v>759</v>
      </c>
      <c r="F8" s="1312" t="s">
        <v>87</v>
      </c>
      <c r="G8" s="1313">
        <v>1938321</v>
      </c>
      <c r="H8" s="1313"/>
      <c r="I8" s="954">
        <f ref="I8:I14" t="shared" si="8">+$G$5*4.89%</f>
        <v>94783.8969</v>
      </c>
      <c r="J8" s="954">
        <f ref="J8:J14" t="shared" si="9">+$G$5*4%</f>
        <v>77532.84</v>
      </c>
      <c r="K8" s="954">
        <f ref="K8:K14" t="shared" si="10">+$G$5*2%</f>
        <v>38766.42</v>
      </c>
      <c r="L8" s="954">
        <v>15000</v>
      </c>
      <c r="M8" s="295">
        <f ref="M8:M15" t="shared" si="11">SUM(G8:L8)</f>
        <v>2164404.1569</v>
      </c>
      <c r="N8" s="1349">
        <f ref="N8:N14" t="shared" si="12">+M8*8%</f>
        <v>173152.33255199998</v>
      </c>
      <c r="O8" s="300">
        <v>885000</v>
      </c>
      <c r="P8" s="1350"/>
      <c r="Q8" s="916"/>
      <c r="R8" s="959">
        <f ref="R8:R14" t="shared" si="13">SUM(M8:Q8)</f>
        <v>3222556.489452</v>
      </c>
      <c r="S8" s="959">
        <f ref="S8:S14" t="shared" si="14">N8*0.1</f>
        <v>17315.233255199997</v>
      </c>
      <c r="T8" s="960">
        <f ref="T8:T14" t="shared" si="15">R8+S8</f>
        <v>3239871.7227072</v>
      </c>
      <c r="U8" s="1319">
        <v>44378</v>
      </c>
      <c r="V8" s="1320">
        <v>44469</v>
      </c>
    </row>
    <row r="9" ht="18" customHeight="1">
      <c r="A9" s="927" t="s">
        <v>24</v>
      </c>
      <c r="B9" s="1527" t="s">
        <v>1750</v>
      </c>
      <c r="C9" s="1311" t="s">
        <v>1751</v>
      </c>
      <c r="D9" s="1312" t="s">
        <v>34</v>
      </c>
      <c r="E9" s="1312" t="s">
        <v>759</v>
      </c>
      <c r="F9" s="1312" t="s">
        <v>87</v>
      </c>
      <c r="G9" s="1313">
        <v>1938321</v>
      </c>
      <c r="H9" s="1313"/>
      <c r="I9" s="954">
        <f t="shared" si="8"/>
        <v>94783.8969</v>
      </c>
      <c r="J9" s="954">
        <f t="shared" si="9"/>
        <v>77532.84</v>
      </c>
      <c r="K9" s="954">
        <f t="shared" si="10"/>
        <v>38766.42</v>
      </c>
      <c r="L9" s="954">
        <v>15000</v>
      </c>
      <c r="M9" s="295">
        <f t="shared" si="11"/>
        <v>2164404.1569</v>
      </c>
      <c r="N9" s="916">
        <f t="shared" si="12"/>
        <v>173152.33255199998</v>
      </c>
      <c r="O9" s="479">
        <v>675000</v>
      </c>
      <c r="P9" s="916"/>
      <c r="Q9" s="916"/>
      <c r="R9" s="959">
        <f t="shared" si="13"/>
        <v>3012556.489452</v>
      </c>
      <c r="S9" s="959">
        <f t="shared" si="14"/>
        <v>17315.233255199997</v>
      </c>
      <c r="T9" s="960">
        <f t="shared" si="15"/>
        <v>3029871.7227072</v>
      </c>
      <c r="U9" s="1319">
        <v>44378</v>
      </c>
      <c r="V9" s="1320">
        <v>44469</v>
      </c>
    </row>
    <row r="10" ht="18" customHeight="1">
      <c r="A10" s="927" t="s">
        <v>24</v>
      </c>
      <c r="B10" s="1527" t="s">
        <v>1752</v>
      </c>
      <c r="C10" s="1311" t="s">
        <v>1753</v>
      </c>
      <c r="D10" s="1312" t="s">
        <v>34</v>
      </c>
      <c r="E10" s="1312" t="s">
        <v>759</v>
      </c>
      <c r="F10" s="1312" t="s">
        <v>87</v>
      </c>
      <c r="G10" s="1313">
        <v>1938321</v>
      </c>
      <c r="H10" s="1313"/>
      <c r="I10" s="954">
        <f t="shared" si="8"/>
        <v>94783.8969</v>
      </c>
      <c r="J10" s="954">
        <f t="shared" si="9"/>
        <v>77532.84</v>
      </c>
      <c r="K10" s="954">
        <f t="shared" si="10"/>
        <v>38766.42</v>
      </c>
      <c r="L10" s="954">
        <v>15000</v>
      </c>
      <c r="M10" s="295">
        <f t="shared" si="11"/>
        <v>2164404.1569</v>
      </c>
      <c r="N10" s="916">
        <f t="shared" si="12"/>
        <v>173152.33255199998</v>
      </c>
      <c r="O10" s="300">
        <v>862500</v>
      </c>
      <c r="P10" s="916"/>
      <c r="Q10" s="916"/>
      <c r="R10" s="959">
        <f t="shared" si="13"/>
        <v>3200056.489452</v>
      </c>
      <c r="S10" s="959">
        <f t="shared" si="14"/>
        <v>17315.233255199997</v>
      </c>
      <c r="T10" s="960">
        <f t="shared" si="15"/>
        <v>3217371.7227072</v>
      </c>
      <c r="U10" s="1319">
        <v>44378</v>
      </c>
      <c r="V10" s="1320">
        <v>44469</v>
      </c>
    </row>
    <row r="11" ht="18" customHeight="1">
      <c r="A11" s="927" t="s">
        <v>24</v>
      </c>
      <c r="B11" s="928" t="s">
        <v>1754</v>
      </c>
      <c r="C11" s="1311" t="s">
        <v>1755</v>
      </c>
      <c r="D11" s="1312" t="s">
        <v>34</v>
      </c>
      <c r="E11" s="1312" t="s">
        <v>759</v>
      </c>
      <c r="F11" s="1312" t="s">
        <v>87</v>
      </c>
      <c r="G11" s="1313">
        <v>1938321</v>
      </c>
      <c r="H11" s="1313"/>
      <c r="I11" s="954">
        <f t="shared" si="8"/>
        <v>94783.8969</v>
      </c>
      <c r="J11" s="954">
        <f t="shared" si="9"/>
        <v>77532.84</v>
      </c>
      <c r="K11" s="954">
        <f t="shared" si="10"/>
        <v>38766.42</v>
      </c>
      <c r="L11" s="954">
        <v>15000</v>
      </c>
      <c r="M11" s="295">
        <f t="shared" si="11"/>
        <v>2164404.1569</v>
      </c>
      <c r="N11" s="916">
        <f t="shared" si="12"/>
        <v>173152.33255199998</v>
      </c>
      <c r="O11" s="300">
        <v>1050000</v>
      </c>
      <c r="P11" s="916"/>
      <c r="Q11" s="916"/>
      <c r="R11" s="959">
        <f t="shared" si="13"/>
        <v>3387556.489452</v>
      </c>
      <c r="S11" s="959">
        <f t="shared" si="14"/>
        <v>17315.233255199997</v>
      </c>
      <c r="T11" s="960">
        <f t="shared" si="15"/>
        <v>3404871.7227072</v>
      </c>
      <c r="U11" s="1319">
        <v>44334</v>
      </c>
      <c r="V11" s="1320">
        <v>44439</v>
      </c>
    </row>
    <row r="12" ht="18" customHeight="1">
      <c r="A12" s="927" t="s">
        <v>24</v>
      </c>
      <c r="B12" s="928" t="s">
        <v>1756</v>
      </c>
      <c r="C12" s="1311" t="s">
        <v>1757</v>
      </c>
      <c r="D12" s="1312" t="s">
        <v>34</v>
      </c>
      <c r="E12" s="1312" t="s">
        <v>759</v>
      </c>
      <c r="F12" s="1312" t="s">
        <v>87</v>
      </c>
      <c r="G12" s="1313">
        <v>1938321</v>
      </c>
      <c r="H12" s="1313"/>
      <c r="I12" s="954">
        <f t="shared" si="8"/>
        <v>94783.8969</v>
      </c>
      <c r="J12" s="954">
        <f t="shared" si="9"/>
        <v>77532.84</v>
      </c>
      <c r="K12" s="954">
        <f t="shared" si="10"/>
        <v>38766.42</v>
      </c>
      <c r="L12" s="954">
        <v>15000</v>
      </c>
      <c r="M12" s="295">
        <f t="shared" si="11"/>
        <v>2164404.1569</v>
      </c>
      <c r="N12" s="916">
        <f t="shared" si="12"/>
        <v>173152.33255199998</v>
      </c>
      <c r="O12" s="300">
        <v>1092500</v>
      </c>
      <c r="P12" s="916"/>
      <c r="Q12" s="916"/>
      <c r="R12" s="959">
        <f t="shared" si="13"/>
        <v>3430056.489452</v>
      </c>
      <c r="S12" s="959">
        <f t="shared" si="14"/>
        <v>17315.233255199997</v>
      </c>
      <c r="T12" s="960">
        <f t="shared" si="15"/>
        <v>3447371.7227072</v>
      </c>
      <c r="U12" s="1319">
        <v>44331</v>
      </c>
      <c r="V12" s="1320">
        <v>44408</v>
      </c>
    </row>
    <row r="13" ht="18" customHeight="1">
      <c r="A13" s="927" t="s">
        <v>24</v>
      </c>
      <c r="B13" s="928" t="s">
        <v>1758</v>
      </c>
      <c r="C13" s="1311" t="s">
        <v>1759</v>
      </c>
      <c r="D13" s="1312" t="s">
        <v>34</v>
      </c>
      <c r="E13" s="1312" t="s">
        <v>759</v>
      </c>
      <c r="F13" s="1312" t="s">
        <v>87</v>
      </c>
      <c r="G13" s="1313">
        <v>1938321</v>
      </c>
      <c r="H13" s="1313"/>
      <c r="I13" s="954">
        <f t="shared" si="8"/>
        <v>94783.8969</v>
      </c>
      <c r="J13" s="954">
        <f t="shared" si="9"/>
        <v>77532.84</v>
      </c>
      <c r="K13" s="954">
        <f t="shared" si="10"/>
        <v>38766.42</v>
      </c>
      <c r="L13" s="954">
        <v>15000</v>
      </c>
      <c r="M13" s="295">
        <f t="shared" si="11"/>
        <v>2164404.1569</v>
      </c>
      <c r="N13" s="916">
        <f t="shared" si="12"/>
        <v>173152.33255199998</v>
      </c>
      <c r="O13" s="300">
        <v>962500</v>
      </c>
      <c r="P13" s="916"/>
      <c r="Q13" s="916"/>
      <c r="R13" s="959">
        <f t="shared" si="13"/>
        <v>3300056.489452</v>
      </c>
      <c r="S13" s="959">
        <f t="shared" si="14"/>
        <v>17315.233255199997</v>
      </c>
      <c r="T13" s="960">
        <f t="shared" si="15"/>
        <v>3317371.7227072</v>
      </c>
      <c r="U13" s="1319">
        <v>44331</v>
      </c>
      <c r="V13" s="1320">
        <v>44408</v>
      </c>
    </row>
    <row r="14" ht="18" customHeight="1">
      <c r="A14" s="927" t="s">
        <v>24</v>
      </c>
      <c r="B14" s="1527" t="s">
        <v>1760</v>
      </c>
      <c r="C14" s="1311" t="s">
        <v>1761</v>
      </c>
      <c r="D14" s="1312" t="s">
        <v>34</v>
      </c>
      <c r="E14" s="1312" t="s">
        <v>759</v>
      </c>
      <c r="F14" s="1312" t="s">
        <v>87</v>
      </c>
      <c r="G14" s="1313">
        <v>1938321</v>
      </c>
      <c r="H14" s="1313"/>
      <c r="I14" s="954">
        <f t="shared" si="8"/>
        <v>94783.8969</v>
      </c>
      <c r="J14" s="954">
        <f t="shared" si="9"/>
        <v>77532.84</v>
      </c>
      <c r="K14" s="954">
        <f t="shared" si="10"/>
        <v>38766.42</v>
      </c>
      <c r="L14" s="954">
        <v>15000</v>
      </c>
      <c r="M14" s="295">
        <f t="shared" si="11"/>
        <v>2164404.1569</v>
      </c>
      <c r="N14" s="916">
        <f t="shared" si="12"/>
        <v>173152.33255199998</v>
      </c>
      <c r="O14" s="300">
        <v>930000</v>
      </c>
      <c r="P14" s="916"/>
      <c r="Q14" s="916"/>
      <c r="R14" s="959">
        <f t="shared" si="13"/>
        <v>3267556.489452</v>
      </c>
      <c r="S14" s="959">
        <f t="shared" si="14"/>
        <v>17315.233255199997</v>
      </c>
      <c r="T14" s="960">
        <f t="shared" si="15"/>
        <v>3284871.7227072</v>
      </c>
      <c r="U14" s="1319">
        <v>44338</v>
      </c>
      <c r="V14" s="1320">
        <v>44439</v>
      </c>
    </row>
    <row r="15" ht="18" customHeight="1" s="1575" customFormat="1">
      <c r="A15" s="1676" t="s">
        <v>24</v>
      </c>
      <c r="B15" s="1677">
        <v>2389</v>
      </c>
      <c r="C15" s="1678" t="s">
        <v>1762</v>
      </c>
      <c r="D15" s="1679" t="s">
        <v>34</v>
      </c>
      <c r="E15" s="1679" t="s">
        <v>759</v>
      </c>
      <c r="F15" s="1679" t="s">
        <v>87</v>
      </c>
      <c r="G15" s="1680">
        <f>1938321/31*22</f>
        <v>1375582.64516129</v>
      </c>
      <c r="H15" s="1680"/>
      <c r="I15" s="1681">
        <f t="shared" si="0"/>
        <v>94783.8969</v>
      </c>
      <c r="J15" s="1681">
        <f t="shared" si="1"/>
        <v>77532.84</v>
      </c>
      <c r="K15" s="1681">
        <f t="shared" si="2"/>
        <v>38766.42</v>
      </c>
      <c r="L15" s="1681">
        <v>15000</v>
      </c>
      <c r="M15" s="295">
        <f t="shared" si="11"/>
        <v>1601665.80206129</v>
      </c>
      <c r="N15" s="1682">
        <f t="shared" si="3"/>
        <v>128133.2641649032</v>
      </c>
      <c r="O15" s="1683">
        <v>270000</v>
      </c>
      <c r="P15" s="1682"/>
      <c r="Q15" s="1682"/>
      <c r="R15" s="1684">
        <f t="shared" si="4"/>
        <v>1999799.0662261932</v>
      </c>
      <c r="S15" s="1684">
        <f t="shared" si="5"/>
        <v>12813.326416490321</v>
      </c>
      <c r="T15" s="1685">
        <f t="shared" si="6"/>
        <v>2012612.3926426836</v>
      </c>
      <c r="U15" s="1686">
        <v>44402</v>
      </c>
      <c r="V15" s="1687">
        <v>44500</v>
      </c>
    </row>
    <row r="16" ht="18" customHeight="1">
      <c r="A16" s="1744" t="s">
        <v>30</v>
      </c>
      <c r="B16" s="1867"/>
      <c r="C16" s="1745"/>
      <c r="D16" s="1745"/>
      <c r="E16" s="1745"/>
      <c r="F16" s="1745"/>
      <c r="G16" s="234">
        <f>SUM(G7:G15)</f>
        <v>16882150.6451613</v>
      </c>
      <c r="H16" s="234">
        <f ref="H16:T16" t="shared" si="17">SUM(H7:H15)</f>
        <v>0</v>
      </c>
      <c r="I16" s="234">
        <f t="shared" si="17"/>
        <v>853055.0721</v>
      </c>
      <c r="J16" s="234">
        <f t="shared" si="17"/>
        <v>697795.56</v>
      </c>
      <c r="K16" s="234">
        <f t="shared" si="17"/>
        <v>348897.78</v>
      </c>
      <c r="L16" s="234">
        <f t="shared" si="17"/>
        <v>135000</v>
      </c>
      <c r="M16" s="234">
        <f t="shared" si="17"/>
        <v>18916899.05726129</v>
      </c>
      <c r="N16" s="234">
        <f t="shared" si="17"/>
        <v>1513351.924580903</v>
      </c>
      <c r="O16" s="234">
        <f t="shared" si="17"/>
        <v>7630000</v>
      </c>
      <c r="P16" s="234">
        <f t="shared" si="17"/>
        <v>0</v>
      </c>
      <c r="Q16" s="234">
        <f t="shared" si="17"/>
        <v>0</v>
      </c>
      <c r="R16" s="234">
        <f t="shared" si="17"/>
        <v>28060250.981842194</v>
      </c>
      <c r="S16" s="234">
        <f t="shared" si="17"/>
        <v>151335.19245809029</v>
      </c>
      <c r="T16" s="234">
        <f t="shared" si="17"/>
        <v>28211586.174300287</v>
      </c>
      <c r="U16" s="234"/>
      <c r="V16" s="1322"/>
    </row>
    <row r="17" ht="18" customHeight="1">
      <c r="A17" s="0" t="s">
        <v>30</v>
      </c>
      <c r="B17" s="1861"/>
      <c r="D17" s="353"/>
      <c r="E17" s="353"/>
      <c r="F17" s="353"/>
      <c r="G17" s="391"/>
      <c r="H17" s="391"/>
      <c r="I17" s="391"/>
      <c r="J17" s="391"/>
      <c r="K17" s="391"/>
      <c r="L17" s="391"/>
      <c r="M17" s="391"/>
      <c r="N17" s="391"/>
      <c r="O17" s="391"/>
      <c r="P17" s="391"/>
      <c r="Q17" s="391"/>
      <c r="R17" s="391"/>
      <c r="S17" s="391"/>
      <c r="T17" s="391"/>
      <c r="V17" s="1318"/>
    </row>
    <row r="18" ht="15.75" customHeight="1">
      <c r="A18" s="277" t="s">
        <v>30</v>
      </c>
      <c r="B18" s="1868"/>
      <c r="C18" s="277"/>
      <c r="D18" s="277"/>
      <c r="E18" s="277"/>
      <c r="F18" s="277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</row>
    <row r="19">
      <c r="A19" s="0" t="s">
        <v>30</v>
      </c>
      <c r="B19" s="1869"/>
      <c r="C19" s="264" t="str">
        <f>+'MALANG BAT AGUSTUS - OK'!C26</f>
        <v>Karawang, 16 Agustus 2021</v>
      </c>
      <c r="D19" s="270"/>
      <c r="E19" s="270"/>
      <c r="F19" s="270"/>
      <c r="G19" s="271"/>
      <c r="H19" s="271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48"/>
      <c r="V19" s="317"/>
    </row>
    <row r="20" ht="17.25" customHeight="1">
      <c r="A20" s="0" t="s">
        <v>30</v>
      </c>
      <c r="B20" s="1870"/>
      <c r="C20" s="264"/>
      <c r="D20" s="263"/>
      <c r="E20" s="264"/>
      <c r="F20" s="264"/>
      <c r="G20" s="210"/>
      <c r="H20" s="210"/>
      <c r="I20" s="270"/>
      <c r="J20" s="270"/>
      <c r="K20" s="270"/>
      <c r="L20" s="270"/>
      <c r="M20" s="270"/>
      <c r="N20" s="310"/>
      <c r="O20" s="310"/>
      <c r="P20" s="310"/>
      <c r="Q20" s="310"/>
      <c r="R20" s="270"/>
      <c r="S20" s="270"/>
      <c r="T20" s="1323"/>
      <c r="U20" s="348"/>
      <c r="V20" s="317"/>
    </row>
    <row r="21">
      <c r="A21" s="0" t="s">
        <v>30</v>
      </c>
      <c r="B21" s="1869"/>
      <c r="C21" s="264" t="s">
        <v>38</v>
      </c>
      <c r="D21" s="274"/>
      <c r="E21" s="264"/>
      <c r="F21" s="264"/>
      <c r="G21" s="275"/>
      <c r="H21" s="275"/>
      <c r="I21" s="262"/>
      <c r="J21" s="262"/>
      <c r="K21" s="262"/>
      <c r="L21" s="312"/>
      <c r="M21" s="263" t="s">
        <v>39</v>
      </c>
      <c r="N21" s="313"/>
      <c r="O21" s="313"/>
      <c r="R21" s="349"/>
      <c r="S21" s="270"/>
      <c r="T21" s="313"/>
      <c r="U21" s="348"/>
      <c r="V21" s="348"/>
    </row>
    <row r="22">
      <c r="A22" s="0" t="s">
        <v>30</v>
      </c>
      <c r="B22" s="1871"/>
      <c r="C22" s="446"/>
      <c r="D22" s="209"/>
      <c r="E22" s="208"/>
      <c r="F22" s="208"/>
      <c r="G22" s="275"/>
      <c r="H22" s="275"/>
      <c r="I22" s="262"/>
      <c r="J22" s="315"/>
      <c r="K22" s="262"/>
      <c r="L22" s="312"/>
      <c r="M22" s="262"/>
      <c r="N22" s="270"/>
      <c r="O22" s="270"/>
      <c r="P22" s="270"/>
      <c r="Q22" s="270"/>
      <c r="R22" s="349"/>
      <c r="S22" s="270"/>
      <c r="T22" s="270"/>
      <c r="U22" s="348"/>
      <c r="V22" s="348"/>
    </row>
    <row r="23">
      <c r="A23" s="0" t="s">
        <v>30</v>
      </c>
      <c r="B23" s="1871"/>
      <c r="C23" s="446"/>
      <c r="D23" s="209"/>
      <c r="E23" s="208"/>
      <c r="F23" s="208"/>
      <c r="G23" s="210"/>
      <c r="H23" s="210"/>
      <c r="I23" s="210"/>
      <c r="J23" s="270"/>
      <c r="K23" s="270"/>
      <c r="L23" s="310"/>
      <c r="M23" s="270"/>
      <c r="N23" s="270"/>
      <c r="O23" s="270"/>
      <c r="P23" s="270"/>
      <c r="Q23" s="270"/>
      <c r="R23" s="208"/>
      <c r="S23" s="270"/>
      <c r="T23" s="270"/>
      <c r="U23" s="348"/>
      <c r="V23" s="348"/>
    </row>
    <row r="24">
      <c r="A24" s="0" t="s">
        <v>30</v>
      </c>
      <c r="B24" s="1869"/>
      <c r="C24" s="445"/>
      <c r="D24" s="274"/>
      <c r="E24" s="264"/>
      <c r="F24" s="264"/>
      <c r="G24" s="275"/>
      <c r="H24" s="275"/>
      <c r="I24" s="275"/>
      <c r="J24" s="262"/>
      <c r="K24" s="262"/>
      <c r="L24" s="312"/>
      <c r="M24" s="262"/>
      <c r="N24" s="262"/>
      <c r="O24" s="262"/>
      <c r="P24" s="262"/>
      <c r="Q24" s="262"/>
      <c r="R24" s="264"/>
      <c r="S24" s="270"/>
      <c r="T24" s="270"/>
      <c r="U24" s="348"/>
      <c r="V24" s="348"/>
    </row>
    <row r="25">
      <c r="A25" s="0" t="s">
        <v>30</v>
      </c>
      <c r="B25" s="1870"/>
      <c r="C25" s="264"/>
      <c r="D25" s="264"/>
      <c r="E25" s="264"/>
      <c r="F25" s="264"/>
      <c r="G25" s="275"/>
      <c r="H25" s="275"/>
      <c r="I25" s="275"/>
      <c r="J25" s="262"/>
      <c r="K25" s="262"/>
      <c r="L25" s="312"/>
      <c r="M25" s="262"/>
      <c r="N25" s="262"/>
      <c r="O25" s="262"/>
      <c r="P25" s="262"/>
      <c r="Q25" s="262"/>
      <c r="R25" s="264"/>
      <c r="S25" s="208"/>
      <c r="T25" s="270"/>
      <c r="U25" s="348"/>
      <c r="V25" s="348"/>
    </row>
    <row r="26">
      <c r="A26" s="0" t="s">
        <v>30</v>
      </c>
      <c r="B26" s="1870"/>
      <c r="C26" s="264"/>
      <c r="D26" s="264"/>
      <c r="E26" s="264"/>
      <c r="F26" s="264"/>
      <c r="G26" s="275"/>
      <c r="H26" s="275"/>
      <c r="I26" s="275"/>
      <c r="J26" s="262"/>
      <c r="K26" s="262"/>
      <c r="L26" s="312"/>
      <c r="M26" s="262"/>
      <c r="N26" s="262"/>
      <c r="O26" s="262"/>
      <c r="Q26" s="262"/>
      <c r="R26" s="264"/>
      <c r="S26" s="270"/>
      <c r="U26" s="348"/>
      <c r="V26" s="348"/>
    </row>
    <row r="27">
      <c r="A27" s="0" t="s">
        <v>30</v>
      </c>
      <c r="B27" s="1870"/>
      <c r="C27" s="264" t="s">
        <v>40</v>
      </c>
      <c r="D27" s="568"/>
      <c r="E27" s="264"/>
      <c r="F27" s="264"/>
      <c r="G27" s="275"/>
      <c r="H27" s="275"/>
      <c r="I27" s="275"/>
      <c r="J27" s="312" t="s">
        <v>41</v>
      </c>
      <c r="K27" s="263"/>
      <c r="L27" s="263"/>
      <c r="M27" s="263" t="s">
        <v>42</v>
      </c>
      <c r="O27" s="262"/>
      <c r="Q27" s="263"/>
      <c r="U27" s="350"/>
      <c r="V27" s="350"/>
    </row>
    <row r="28">
      <c r="A28" s="389" t="s">
        <v>30</v>
      </c>
      <c r="B28" s="1868"/>
      <c r="C28" s="1314"/>
      <c r="D28" s="277"/>
      <c r="E28" s="277"/>
      <c r="F28" s="388"/>
      <c r="G28" s="278"/>
      <c r="H28" s="278"/>
      <c r="I28" s="389"/>
      <c r="J28" s="389"/>
      <c r="K28" s="389"/>
      <c r="L28" s="389"/>
      <c r="M28" s="278"/>
      <c r="N28" s="389"/>
      <c r="O28" s="264" t="s">
        <v>43</v>
      </c>
      <c r="P28" s="389"/>
      <c r="Q28" s="389"/>
      <c r="R28" s="389"/>
      <c r="U28" s="1324"/>
      <c r="V28" s="1324"/>
    </row>
  </sheetData>
  <sortState ref="A8:W14">
    <sortCondition ref="C8:C14"/>
  </sortState>
  <mergeCells>
    <mergeCell ref="A16:F16"/>
  </mergeCells>
  <printOptions horizontalCentered="1"/>
  <pageMargins left="0.3" right="0" top="0.75" bottom="0.75" header="0.30902777777777801" footer="0.30902777777777801"/>
  <pageSetup paperSize="9" scale="70" orientation="landscape"/>
  <headerFooter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Y39"/>
  <sheetViews>
    <sheetView zoomScale="85" zoomScaleNormal="85" workbookViewId="0">
      <pane xSplit="7" ySplit="6" topLeftCell="K13" activePane="bottomRight" state="frozen"/>
      <selection pane="topRight"/>
      <selection pane="bottomLeft"/>
      <selection pane="bottomRight" activeCell="T28" sqref="T28"/>
    </sheetView>
  </sheetViews>
  <sheetFormatPr defaultColWidth="9.140625" defaultRowHeight="15"/>
  <cols>
    <col min="1" max="2" width="4.5703125" customWidth="1"/>
    <col min="3" max="3" width="29.42578125" customWidth="1"/>
    <col min="4" max="4" width="10.42578125" customWidth="1"/>
    <col min="5" max="5" width="11.5703125" customWidth="1"/>
    <col min="6" max="6" width="9.85546875" customWidth="1"/>
    <col min="7" max="8" width="11.85546875" customWidth="1"/>
    <col min="9" max="12" width="10.42578125" customWidth="1"/>
    <col min="13" max="13" width="13.28515625" customWidth="1"/>
    <col min="14" max="14" width="12.42578125" customWidth="1"/>
    <col min="15" max="15" width="12.85546875" customWidth="1"/>
    <col min="16" max="16" width="11" customWidth="1"/>
    <col min="17" max="17" width="11.5703125" customWidth="1"/>
    <col min="18" max="18" width="11.85546875" customWidth="1"/>
    <col min="19" max="19" width="10.42578125" customWidth="1"/>
    <col min="20" max="20" width="12.140625" customWidth="1"/>
    <col min="21" max="22" width="8.7109375" customWidth="1"/>
    <col min="23" max="23" width="6" customWidth="1"/>
  </cols>
  <sheetData>
    <row r="1">
      <c r="A1" s="1305" t="s">
        <v>0</v>
      </c>
      <c r="C1" s="1306"/>
      <c r="V1" s="1318"/>
    </row>
    <row r="2">
      <c r="A2" s="1305" t="s">
        <v>1795</v>
      </c>
      <c r="C2" s="1306"/>
      <c r="N2" s="1315"/>
      <c r="O2" s="1315"/>
      <c r="P2" s="1315"/>
      <c r="Q2" s="1315"/>
    </row>
    <row r="3">
      <c r="A3" s="1305" t="str">
        <f>+'MALANG BAT AGUSTUS - OK'!A3</f>
        <v>Periode Bulan Agustus  2021</v>
      </c>
      <c r="C3" s="1306"/>
      <c r="I3" s="1316"/>
      <c r="V3" s="1318"/>
    </row>
    <row r="4">
      <c r="A4" s="1305"/>
      <c r="C4" s="1306"/>
      <c r="I4" s="1316"/>
      <c r="V4" s="1318"/>
    </row>
    <row r="5">
      <c r="A5" s="1307"/>
      <c r="C5" s="1306"/>
      <c r="G5" s="1308">
        <v>2488724</v>
      </c>
      <c r="H5" s="1308"/>
      <c r="I5" s="1316"/>
      <c r="V5" s="1318"/>
    </row>
    <row r="6" ht="29.25" customHeight="1">
      <c r="A6" s="1309" t="s">
        <v>2</v>
      </c>
      <c r="B6" s="1310" t="s">
        <v>3</v>
      </c>
      <c r="C6" s="1310" t="s">
        <v>4</v>
      </c>
      <c r="D6" s="1310" t="s">
        <v>5</v>
      </c>
      <c r="E6" s="1310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1317" t="s">
        <v>14</v>
      </c>
      <c r="N6" s="285" t="s">
        <v>15</v>
      </c>
      <c r="O6" s="285" t="s">
        <v>16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 s="1598" customFormat="1">
      <c r="A7" s="927" t="s">
        <v>24</v>
      </c>
      <c r="B7" s="1527" t="s">
        <v>1796</v>
      </c>
      <c r="C7" s="1311" t="s">
        <v>1797</v>
      </c>
      <c r="D7" s="1312" t="s">
        <v>26</v>
      </c>
      <c r="E7" s="1312" t="s">
        <v>761</v>
      </c>
      <c r="F7" s="1312" t="s">
        <v>87</v>
      </c>
      <c r="G7" s="1313">
        <v>2488724</v>
      </c>
      <c r="H7" s="1313"/>
      <c r="I7" s="954">
        <f>+$G$5*4.89%</f>
        <v>121698.6036</v>
      </c>
      <c r="J7" s="954">
        <f>+$G$5*4%</f>
        <v>99548.96</v>
      </c>
      <c r="K7" s="954">
        <f>+$G$5*2%</f>
        <v>49774.48</v>
      </c>
      <c r="L7" s="958">
        <v>1667</v>
      </c>
      <c r="M7" s="295">
        <f>SUM(G7,I7:L7)-H7</f>
        <v>2761413.0436</v>
      </c>
      <c r="N7" s="916">
        <f>+M7*8%</f>
        <v>220913.043488</v>
      </c>
      <c r="O7" s="916">
        <v>500000</v>
      </c>
      <c r="P7" s="916">
        <v>100000</v>
      </c>
      <c r="Q7" s="916">
        <f>23*12000</f>
        <v>276000</v>
      </c>
      <c r="R7" s="959">
        <f>SUM(M7:Q7)</f>
        <v>3858326.087088</v>
      </c>
      <c r="S7" s="959">
        <f>N7*0.1</f>
        <v>22091.3043488</v>
      </c>
      <c r="T7" s="960">
        <f>R7+S7</f>
        <v>3880417.3914368</v>
      </c>
      <c r="U7" s="1319" t="s">
        <v>1798</v>
      </c>
      <c r="V7" s="1320">
        <v>44408</v>
      </c>
      <c r="W7" s="1468"/>
    </row>
    <row r="8" ht="18" customHeight="1">
      <c r="A8" s="1325" t="s">
        <v>30</v>
      </c>
      <c r="B8" s="1881"/>
      <c r="C8" s="1326"/>
      <c r="D8" s="1325"/>
      <c r="E8" s="1325"/>
      <c r="F8" s="1325"/>
      <c r="G8" s="1327">
        <f>SUM(G7)</f>
        <v>2488724</v>
      </c>
      <c r="H8" s="1327">
        <f ref="H8:T8" t="shared" si="7">SUM(H7)</f>
        <v>0</v>
      </c>
      <c r="I8" s="1327">
        <f t="shared" si="7"/>
        <v>121698.6036</v>
      </c>
      <c r="J8" s="1327">
        <f t="shared" si="7"/>
        <v>99548.96</v>
      </c>
      <c r="K8" s="1327">
        <f t="shared" si="7"/>
        <v>49774.48</v>
      </c>
      <c r="L8" s="1327">
        <f t="shared" si="7"/>
        <v>1667</v>
      </c>
      <c r="M8" s="1327">
        <f t="shared" si="7"/>
        <v>2761413.0436</v>
      </c>
      <c r="N8" s="1327">
        <f t="shared" si="7"/>
        <v>220913.043488</v>
      </c>
      <c r="O8" s="1327">
        <f t="shared" si="7"/>
        <v>500000</v>
      </c>
      <c r="P8" s="1327">
        <f t="shared" si="7"/>
        <v>100000</v>
      </c>
      <c r="Q8" s="1327">
        <f t="shared" si="7"/>
        <v>276000</v>
      </c>
      <c r="R8" s="1327">
        <f t="shared" si="7"/>
        <v>3858326.087088</v>
      </c>
      <c r="S8" s="1327">
        <f t="shared" si="7"/>
        <v>22091.3043488</v>
      </c>
      <c r="T8" s="1327">
        <f t="shared" si="7"/>
        <v>3880417.3914368</v>
      </c>
      <c r="U8" s="1336"/>
      <c r="V8" s="1336"/>
      <c r="W8" s="1337"/>
    </row>
    <row r="9" ht="18" customHeight="1">
      <c r="A9" s="1328" t="s">
        <v>30</v>
      </c>
      <c r="B9" s="1882"/>
      <c r="C9" s="1329"/>
      <c r="D9" s="1328"/>
      <c r="E9" s="1328"/>
      <c r="F9" s="1328"/>
      <c r="G9" s="1330"/>
      <c r="H9" s="1330"/>
      <c r="I9" s="1332"/>
      <c r="J9" s="1332"/>
      <c r="K9" s="1332"/>
      <c r="L9" s="1332"/>
      <c r="M9" s="1333"/>
      <c r="N9" s="1334"/>
      <c r="O9" s="1334"/>
      <c r="P9" s="1334"/>
      <c r="Q9" s="1334"/>
      <c r="R9" s="1338"/>
      <c r="S9" s="1338"/>
      <c r="T9" s="1339"/>
      <c r="U9" s="1340"/>
      <c r="V9" s="1340"/>
      <c r="W9" s="1337"/>
    </row>
    <row r="10" ht="29.25" customHeight="1">
      <c r="A10" s="1341" t="s">
        <v>31</v>
      </c>
      <c r="B10" s="1883" t="s">
        <v>3</v>
      </c>
      <c r="C10" s="1342" t="s">
        <v>4</v>
      </c>
      <c r="D10" s="1342" t="s">
        <v>5</v>
      </c>
      <c r="E10" s="1342" t="s">
        <v>6</v>
      </c>
      <c r="F10" s="1256" t="s">
        <v>7</v>
      </c>
      <c r="G10" s="1023" t="s">
        <v>8</v>
      </c>
      <c r="H10" s="1343" t="s">
        <v>9</v>
      </c>
      <c r="I10" s="1264" t="s">
        <v>10</v>
      </c>
      <c r="J10" s="1344" t="s">
        <v>11</v>
      </c>
      <c r="K10" s="1344" t="s">
        <v>12</v>
      </c>
      <c r="L10" s="1266" t="s">
        <v>13</v>
      </c>
      <c r="M10" s="1345" t="s">
        <v>14</v>
      </c>
      <c r="N10" s="1267" t="s">
        <v>15</v>
      </c>
      <c r="O10" s="1267" t="s">
        <v>16</v>
      </c>
      <c r="P10" s="1267" t="s">
        <v>17</v>
      </c>
      <c r="Q10" s="1267" t="s">
        <v>18</v>
      </c>
      <c r="R10" s="1286" t="s">
        <v>19</v>
      </c>
      <c r="S10" s="1287" t="s">
        <v>20</v>
      </c>
      <c r="T10" s="1287" t="s">
        <v>21</v>
      </c>
      <c r="U10" s="1346" t="s">
        <v>22</v>
      </c>
      <c r="V10" s="1347" t="s">
        <v>23</v>
      </c>
    </row>
    <row r="11" ht="18" customHeight="1">
      <c r="A11" s="927" t="s">
        <v>24</v>
      </c>
      <c r="B11" s="1527" t="s">
        <v>1796</v>
      </c>
      <c r="C11" s="1311" t="s">
        <v>1797</v>
      </c>
      <c r="D11" s="1312" t="s">
        <v>34</v>
      </c>
      <c r="E11" s="1312" t="s">
        <v>761</v>
      </c>
      <c r="F11" s="1312" t="s">
        <v>87</v>
      </c>
      <c r="G11" s="1313">
        <f>2488724/31*16</f>
        <v>1284502.70967742</v>
      </c>
      <c r="H11" s="1313"/>
      <c r="I11" s="954"/>
      <c r="J11" s="954"/>
      <c r="K11" s="954"/>
      <c r="L11" s="954"/>
      <c r="M11" s="295">
        <f>SUM(G11:L11)</f>
        <v>1284502.70967742</v>
      </c>
      <c r="N11" s="916">
        <f>+M11*8%</f>
        <v>102760.21677419361</v>
      </c>
      <c r="O11" s="916">
        <v>170000</v>
      </c>
      <c r="P11" s="916"/>
      <c r="Q11" s="916"/>
      <c r="R11" s="959">
        <f>SUM(M11:Q11)</f>
        <v>1557262.9264516137</v>
      </c>
      <c r="S11" s="959">
        <f>N11*0.1</f>
        <v>10276.021677419361</v>
      </c>
      <c r="T11" s="960">
        <f>R11+S11</f>
        <v>1567538.948129033</v>
      </c>
      <c r="U11" s="1319" t="s">
        <v>1798</v>
      </c>
      <c r="V11" s="1320">
        <v>44408</v>
      </c>
      <c r="W11" s="1335"/>
    </row>
    <row r="12" ht="18" customHeight="1">
      <c r="A12" s="927" t="s">
        <v>24</v>
      </c>
      <c r="B12" s="928">
        <v>2178</v>
      </c>
      <c r="C12" s="1311" t="s">
        <v>2149</v>
      </c>
      <c r="D12" s="1312" t="s">
        <v>34</v>
      </c>
      <c r="E12" s="1312" t="s">
        <v>761</v>
      </c>
      <c r="F12" s="1312" t="s">
        <v>87</v>
      </c>
      <c r="G12" s="1313">
        <v>2488724</v>
      </c>
      <c r="H12" s="1313"/>
      <c r="I12" s="954">
        <f ref="I12:I24" t="shared" si="12">+$G$5*4.89%</f>
        <v>121698.6036</v>
      </c>
      <c r="J12" s="954">
        <f ref="J12:J24" t="shared" si="13">+$G$5*4%</f>
        <v>99548.96</v>
      </c>
      <c r="K12" s="954">
        <f ref="K12:K24" t="shared" si="14">+$G$5*2%</f>
        <v>49774.48</v>
      </c>
      <c r="L12" s="954">
        <v>15000</v>
      </c>
      <c r="M12" s="295">
        <f ref="M12:M24" t="shared" si="15">SUM(G12:L12)</f>
        <v>2774746.0436</v>
      </c>
      <c r="N12" s="916">
        <f ref="N12:N24" t="shared" si="16">+M12*8%</f>
        <v>221979.683488</v>
      </c>
      <c r="O12" s="916">
        <v>1172500</v>
      </c>
      <c r="P12" s="916"/>
      <c r="Q12" s="916"/>
      <c r="R12" s="959">
        <f ref="R12:R24" t="shared" si="17">SUM(M12:Q12)</f>
        <v>4169225.727088</v>
      </c>
      <c r="S12" s="959">
        <f ref="S12:S24" t="shared" si="18">N12*0.1</f>
        <v>22197.9683488</v>
      </c>
      <c r="T12" s="960">
        <f ref="T12:T24" t="shared" si="19">R12+S12</f>
        <v>4191423.6954368004</v>
      </c>
      <c r="U12" s="1319" t="s">
        <v>2150</v>
      </c>
      <c r="V12" s="1320">
        <v>44408</v>
      </c>
      <c r="W12" s="1321"/>
    </row>
    <row r="13" ht="18" customHeight="1">
      <c r="A13" s="927" t="s">
        <v>24</v>
      </c>
      <c r="B13" s="1527" t="s">
        <v>2151</v>
      </c>
      <c r="C13" s="1311" t="s">
        <v>2152</v>
      </c>
      <c r="D13" s="1312" t="s">
        <v>34</v>
      </c>
      <c r="E13" s="1312" t="s">
        <v>761</v>
      </c>
      <c r="F13" s="1312" t="s">
        <v>87</v>
      </c>
      <c r="G13" s="1313">
        <v>2488724</v>
      </c>
      <c r="H13" s="1313"/>
      <c r="I13" s="954">
        <f t="shared" si="12"/>
        <v>121698.6036</v>
      </c>
      <c r="J13" s="954">
        <f t="shared" si="13"/>
        <v>99548.96</v>
      </c>
      <c r="K13" s="954">
        <f t="shared" si="14"/>
        <v>49774.48</v>
      </c>
      <c r="L13" s="954">
        <v>15000</v>
      </c>
      <c r="M13" s="295">
        <f t="shared" si="15"/>
        <v>2774746.0436</v>
      </c>
      <c r="N13" s="916">
        <f t="shared" si="16"/>
        <v>221979.683488</v>
      </c>
      <c r="O13" s="916">
        <v>1235000</v>
      </c>
      <c r="P13" s="916"/>
      <c r="Q13" s="916"/>
      <c r="R13" s="959">
        <f t="shared" si="17"/>
        <v>4231725.727088001</v>
      </c>
      <c r="S13" s="959">
        <f t="shared" si="18"/>
        <v>22197.9683488</v>
      </c>
      <c r="T13" s="960">
        <f t="shared" si="19"/>
        <v>4253923.695436801</v>
      </c>
      <c r="U13" s="1319" t="s">
        <v>2150</v>
      </c>
      <c r="V13" s="1320">
        <v>44408</v>
      </c>
      <c r="W13" s="1321"/>
    </row>
    <row r="14" ht="18" customHeight="1">
      <c r="A14" s="927" t="s">
        <v>24</v>
      </c>
      <c r="B14" s="928" t="s">
        <v>2153</v>
      </c>
      <c r="C14" s="1311" t="s">
        <v>2154</v>
      </c>
      <c r="D14" s="1312" t="s">
        <v>34</v>
      </c>
      <c r="E14" s="1312" t="s">
        <v>761</v>
      </c>
      <c r="F14" s="1312" t="s">
        <v>87</v>
      </c>
      <c r="G14" s="1313">
        <v>2488724</v>
      </c>
      <c r="H14" s="1313"/>
      <c r="I14" s="954">
        <f t="shared" si="12"/>
        <v>121698.6036</v>
      </c>
      <c r="J14" s="954">
        <f t="shared" si="13"/>
        <v>99548.96</v>
      </c>
      <c r="K14" s="954">
        <f t="shared" si="14"/>
        <v>49774.48</v>
      </c>
      <c r="L14" s="954">
        <v>15000</v>
      </c>
      <c r="M14" s="295">
        <f t="shared" si="15"/>
        <v>2774746.0436</v>
      </c>
      <c r="N14" s="916">
        <f t="shared" si="16"/>
        <v>221979.683488</v>
      </c>
      <c r="O14" s="916">
        <v>1085000</v>
      </c>
      <c r="P14" s="916"/>
      <c r="Q14" s="916"/>
      <c r="R14" s="959">
        <f t="shared" si="17"/>
        <v>4081725.727088</v>
      </c>
      <c r="S14" s="959">
        <f t="shared" si="18"/>
        <v>22197.9683488</v>
      </c>
      <c r="T14" s="960">
        <f t="shared" si="19"/>
        <v>4103923.6954368004</v>
      </c>
      <c r="U14" s="1319">
        <v>44373</v>
      </c>
      <c r="V14" s="1320">
        <v>44469</v>
      </c>
      <c r="W14" s="1321"/>
      <c r="X14" s="964"/>
      <c r="Y14" s="964"/>
    </row>
    <row r="15" ht="18" customHeight="1">
      <c r="A15" s="927" t="s">
        <v>24</v>
      </c>
      <c r="B15" s="928" t="s">
        <v>2155</v>
      </c>
      <c r="C15" s="1311" t="s">
        <v>2156</v>
      </c>
      <c r="D15" s="1312" t="s">
        <v>34</v>
      </c>
      <c r="E15" s="1312" t="s">
        <v>761</v>
      </c>
      <c r="F15" s="1312" t="s">
        <v>87</v>
      </c>
      <c r="G15" s="1313">
        <v>2488724</v>
      </c>
      <c r="H15" s="1313"/>
      <c r="I15" s="954">
        <f t="shared" si="12"/>
        <v>121698.6036</v>
      </c>
      <c r="J15" s="954">
        <f t="shared" si="13"/>
        <v>99548.96</v>
      </c>
      <c r="K15" s="954">
        <f t="shared" si="14"/>
        <v>49774.48</v>
      </c>
      <c r="L15" s="954">
        <v>15000</v>
      </c>
      <c r="M15" s="295">
        <f t="shared" si="15"/>
        <v>2774746.0436</v>
      </c>
      <c r="N15" s="916">
        <f t="shared" si="16"/>
        <v>221979.683488</v>
      </c>
      <c r="O15" s="916">
        <v>1210000</v>
      </c>
      <c r="P15" s="916"/>
      <c r="Q15" s="916"/>
      <c r="R15" s="959">
        <f t="shared" si="17"/>
        <v>4206725.727088001</v>
      </c>
      <c r="S15" s="959">
        <f t="shared" si="18"/>
        <v>22197.9683488</v>
      </c>
      <c r="T15" s="960">
        <f t="shared" si="19"/>
        <v>4228923.695436801</v>
      </c>
      <c r="U15" s="1319">
        <v>44373</v>
      </c>
      <c r="V15" s="1320">
        <v>44469</v>
      </c>
      <c r="W15" s="1321"/>
      <c r="X15" s="964"/>
      <c r="Y15" s="964"/>
    </row>
    <row r="16" ht="18" customHeight="1">
      <c r="A16" s="927" t="s">
        <v>24</v>
      </c>
      <c r="B16" s="928" t="s">
        <v>2157</v>
      </c>
      <c r="C16" s="1311" t="s">
        <v>2158</v>
      </c>
      <c r="D16" s="1312" t="s">
        <v>34</v>
      </c>
      <c r="E16" s="1312" t="s">
        <v>761</v>
      </c>
      <c r="F16" s="1312" t="s">
        <v>87</v>
      </c>
      <c r="G16" s="1313">
        <v>2488724</v>
      </c>
      <c r="H16" s="1313"/>
      <c r="I16" s="954">
        <f t="shared" si="12"/>
        <v>121698.6036</v>
      </c>
      <c r="J16" s="954">
        <f t="shared" si="13"/>
        <v>99548.96</v>
      </c>
      <c r="K16" s="954">
        <f t="shared" si="14"/>
        <v>49774.48</v>
      </c>
      <c r="L16" s="954">
        <v>15000</v>
      </c>
      <c r="M16" s="295">
        <f t="shared" si="15"/>
        <v>2774746.0436</v>
      </c>
      <c r="N16" s="916">
        <f t="shared" si="16"/>
        <v>221979.683488</v>
      </c>
      <c r="O16" s="916">
        <v>1050000</v>
      </c>
      <c r="P16" s="916"/>
      <c r="Q16" s="916"/>
      <c r="R16" s="959">
        <f t="shared" si="17"/>
        <v>4046725.727088</v>
      </c>
      <c r="S16" s="959">
        <f t="shared" si="18"/>
        <v>22197.9683488</v>
      </c>
      <c r="T16" s="960">
        <f t="shared" si="19"/>
        <v>4068923.6954368004</v>
      </c>
      <c r="U16" s="1319">
        <v>44327</v>
      </c>
      <c r="V16" s="1320">
        <v>44439</v>
      </c>
      <c r="W16" s="1321"/>
    </row>
    <row r="17" ht="18" customHeight="1">
      <c r="A17" s="927" t="s">
        <v>24</v>
      </c>
      <c r="B17" s="928" t="s">
        <v>2159</v>
      </c>
      <c r="C17" s="1311" t="s">
        <v>2160</v>
      </c>
      <c r="D17" s="1312" t="s">
        <v>34</v>
      </c>
      <c r="E17" s="1312" t="s">
        <v>761</v>
      </c>
      <c r="F17" s="1312" t="s">
        <v>87</v>
      </c>
      <c r="G17" s="1313">
        <v>2488724</v>
      </c>
      <c r="H17" s="1313"/>
      <c r="I17" s="954">
        <f t="shared" si="12"/>
        <v>121698.6036</v>
      </c>
      <c r="J17" s="954">
        <f t="shared" si="13"/>
        <v>99548.96</v>
      </c>
      <c r="K17" s="954">
        <f t="shared" si="14"/>
        <v>49774.48</v>
      </c>
      <c r="L17" s="954">
        <v>15000</v>
      </c>
      <c r="M17" s="295">
        <f t="shared" si="15"/>
        <v>2774746.0436</v>
      </c>
      <c r="N17" s="916">
        <f t="shared" si="16"/>
        <v>221979.683488</v>
      </c>
      <c r="O17" s="916">
        <v>1282500</v>
      </c>
      <c r="P17" s="916"/>
      <c r="Q17" s="916"/>
      <c r="R17" s="959">
        <f t="shared" si="17"/>
        <v>4279225.727088001</v>
      </c>
      <c r="S17" s="959">
        <f t="shared" si="18"/>
        <v>22197.9683488</v>
      </c>
      <c r="T17" s="960">
        <f t="shared" si="19"/>
        <v>4301423.695436801</v>
      </c>
      <c r="U17" s="1319">
        <v>44359</v>
      </c>
      <c r="V17" s="1320">
        <v>44439</v>
      </c>
      <c r="W17" s="1321"/>
    </row>
    <row r="18" ht="18" customHeight="1">
      <c r="A18" s="927" t="s">
        <v>24</v>
      </c>
      <c r="B18" s="928" t="s">
        <v>2161</v>
      </c>
      <c r="C18" s="1311" t="s">
        <v>2162</v>
      </c>
      <c r="D18" s="1312" t="s">
        <v>34</v>
      </c>
      <c r="E18" s="1312" t="s">
        <v>761</v>
      </c>
      <c r="F18" s="1312" t="s">
        <v>87</v>
      </c>
      <c r="G18" s="1313">
        <v>2488724</v>
      </c>
      <c r="H18" s="1313"/>
      <c r="I18" s="954">
        <f t="shared" si="12"/>
        <v>121698.6036</v>
      </c>
      <c r="J18" s="954">
        <f t="shared" si="13"/>
        <v>99548.96</v>
      </c>
      <c r="K18" s="954">
        <f t="shared" si="14"/>
        <v>49774.48</v>
      </c>
      <c r="L18" s="954">
        <v>15000</v>
      </c>
      <c r="M18" s="295">
        <f t="shared" si="15"/>
        <v>2774746.0436</v>
      </c>
      <c r="N18" s="916">
        <f t="shared" si="16"/>
        <v>221979.683488</v>
      </c>
      <c r="O18" s="916">
        <v>455000</v>
      </c>
      <c r="P18" s="916"/>
      <c r="Q18" s="916"/>
      <c r="R18" s="959">
        <f t="shared" si="17"/>
        <v>3451725.727088</v>
      </c>
      <c r="S18" s="959">
        <f t="shared" si="18"/>
        <v>22197.9683488</v>
      </c>
      <c r="T18" s="960">
        <f t="shared" si="19"/>
        <v>3473923.6954368004</v>
      </c>
      <c r="U18" s="1319">
        <v>44346</v>
      </c>
      <c r="V18" s="1320">
        <v>44439</v>
      </c>
      <c r="W18" s="1321"/>
      <c r="X18" s="1348"/>
      <c r="Y18" s="1348"/>
    </row>
    <row r="19" ht="18" customHeight="1">
      <c r="A19" s="927" t="s">
        <v>24</v>
      </c>
      <c r="B19" s="928" t="s">
        <v>2163</v>
      </c>
      <c r="C19" s="1311" t="s">
        <v>2164</v>
      </c>
      <c r="D19" s="1312" t="s">
        <v>34</v>
      </c>
      <c r="E19" s="1312" t="s">
        <v>761</v>
      </c>
      <c r="F19" s="1312" t="s">
        <v>87</v>
      </c>
      <c r="G19" s="1313">
        <v>2488724</v>
      </c>
      <c r="H19" s="1313"/>
      <c r="I19" s="954">
        <f t="shared" si="12"/>
        <v>121698.6036</v>
      </c>
      <c r="J19" s="954">
        <f t="shared" si="13"/>
        <v>99548.96</v>
      </c>
      <c r="K19" s="954">
        <f t="shared" si="14"/>
        <v>49774.48</v>
      </c>
      <c r="L19" s="954">
        <v>15000</v>
      </c>
      <c r="M19" s="295">
        <f t="shared" si="15"/>
        <v>2774746.0436</v>
      </c>
      <c r="N19" s="916">
        <f t="shared" si="16"/>
        <v>221979.683488</v>
      </c>
      <c r="O19" s="916">
        <v>872500</v>
      </c>
      <c r="P19" s="916"/>
      <c r="Q19" s="916"/>
      <c r="R19" s="959">
        <f t="shared" si="17"/>
        <v>3869225.727088</v>
      </c>
      <c r="S19" s="959">
        <f t="shared" si="18"/>
        <v>22197.9683488</v>
      </c>
      <c r="T19" s="960">
        <f t="shared" si="19"/>
        <v>3891423.6954368004</v>
      </c>
      <c r="U19" s="1319">
        <v>44375</v>
      </c>
      <c r="V19" s="1320">
        <v>44469</v>
      </c>
      <c r="W19" s="1321"/>
    </row>
    <row r="20" ht="18" customHeight="1">
      <c r="A20" s="927" t="s">
        <v>24</v>
      </c>
      <c r="B20" s="928">
        <v>2182</v>
      </c>
      <c r="C20" s="1311" t="s">
        <v>2165</v>
      </c>
      <c r="D20" s="1312" t="s">
        <v>34</v>
      </c>
      <c r="E20" s="1312" t="s">
        <v>761</v>
      </c>
      <c r="F20" s="1312" t="s">
        <v>87</v>
      </c>
      <c r="G20" s="1313">
        <v>2488724</v>
      </c>
      <c r="H20" s="1313"/>
      <c r="I20" s="954">
        <f t="shared" si="12"/>
        <v>121698.6036</v>
      </c>
      <c r="J20" s="954">
        <f t="shared" si="13"/>
        <v>99548.96</v>
      </c>
      <c r="K20" s="954">
        <f t="shared" si="14"/>
        <v>49774.48</v>
      </c>
      <c r="L20" s="954">
        <v>15000</v>
      </c>
      <c r="M20" s="295">
        <f t="shared" si="15"/>
        <v>2774746.0436</v>
      </c>
      <c r="N20" s="916">
        <f t="shared" si="16"/>
        <v>221979.683488</v>
      </c>
      <c r="O20" s="916">
        <v>540000</v>
      </c>
      <c r="P20" s="916"/>
      <c r="Q20" s="916"/>
      <c r="R20" s="959">
        <f t="shared" si="17"/>
        <v>3536725.727088</v>
      </c>
      <c r="S20" s="959">
        <f t="shared" si="18"/>
        <v>22197.9683488</v>
      </c>
      <c r="T20" s="960">
        <f t="shared" si="19"/>
        <v>3558923.6954368004</v>
      </c>
      <c r="U20" s="1319" t="s">
        <v>2150</v>
      </c>
      <c r="V20" s="1320">
        <v>44408</v>
      </c>
      <c r="W20" s="1321"/>
      <c r="X20" s="1348"/>
      <c r="Y20" s="1348"/>
    </row>
    <row r="21" ht="18" customHeight="1">
      <c r="A21" s="927" t="s">
        <v>24</v>
      </c>
      <c r="B21" s="928">
        <v>2181</v>
      </c>
      <c r="C21" s="1311" t="s">
        <v>736</v>
      </c>
      <c r="D21" s="1312" t="s">
        <v>34</v>
      </c>
      <c r="E21" s="1312" t="s">
        <v>761</v>
      </c>
      <c r="F21" s="1312" t="s">
        <v>87</v>
      </c>
      <c r="G21" s="1313">
        <v>2488724</v>
      </c>
      <c r="H21" s="1313"/>
      <c r="I21" s="954">
        <f t="shared" si="12"/>
        <v>121698.6036</v>
      </c>
      <c r="J21" s="954">
        <f t="shared" si="13"/>
        <v>99548.96</v>
      </c>
      <c r="K21" s="954">
        <f t="shared" si="14"/>
        <v>49774.48</v>
      </c>
      <c r="L21" s="954">
        <v>15000</v>
      </c>
      <c r="M21" s="295">
        <f t="shared" si="15"/>
        <v>2774746.0436</v>
      </c>
      <c r="N21" s="916">
        <f t="shared" si="16"/>
        <v>221979.683488</v>
      </c>
      <c r="O21" s="916">
        <v>1067500</v>
      </c>
      <c r="P21" s="916"/>
      <c r="Q21" s="916"/>
      <c r="R21" s="959">
        <f t="shared" si="17"/>
        <v>4064225.727088</v>
      </c>
      <c r="S21" s="959">
        <f t="shared" si="18"/>
        <v>22197.9683488</v>
      </c>
      <c r="T21" s="960">
        <f t="shared" si="19"/>
        <v>4086423.6954368004</v>
      </c>
      <c r="U21" s="1319" t="s">
        <v>2150</v>
      </c>
      <c r="V21" s="1320">
        <v>44408</v>
      </c>
      <c r="W21" s="1321"/>
      <c r="X21" s="1348"/>
      <c r="Y21" s="1348"/>
    </row>
    <row r="22" ht="18" customHeight="1">
      <c r="A22" s="927" t="s">
        <v>24</v>
      </c>
      <c r="B22" s="928">
        <v>2180</v>
      </c>
      <c r="C22" s="1311" t="s">
        <v>2166</v>
      </c>
      <c r="D22" s="1312" t="s">
        <v>34</v>
      </c>
      <c r="E22" s="1312" t="s">
        <v>761</v>
      </c>
      <c r="F22" s="1312" t="s">
        <v>87</v>
      </c>
      <c r="G22" s="1313">
        <v>2488724</v>
      </c>
      <c r="H22" s="1313"/>
      <c r="I22" s="954">
        <f t="shared" si="12"/>
        <v>121698.6036</v>
      </c>
      <c r="J22" s="954">
        <f t="shared" si="13"/>
        <v>99548.96</v>
      </c>
      <c r="K22" s="954">
        <f t="shared" si="14"/>
        <v>49774.48</v>
      </c>
      <c r="L22" s="954">
        <v>15000</v>
      </c>
      <c r="M22" s="295">
        <f t="shared" si="15"/>
        <v>2774746.0436</v>
      </c>
      <c r="N22" s="916">
        <f t="shared" si="16"/>
        <v>221979.683488</v>
      </c>
      <c r="O22" s="916">
        <v>1410000</v>
      </c>
      <c r="P22" s="916"/>
      <c r="Q22" s="916"/>
      <c r="R22" s="959">
        <f t="shared" si="17"/>
        <v>4406725.727088001</v>
      </c>
      <c r="S22" s="959">
        <f t="shared" si="18"/>
        <v>22197.9683488</v>
      </c>
      <c r="T22" s="960">
        <f t="shared" si="19"/>
        <v>4428923.695436801</v>
      </c>
      <c r="U22" s="1319" t="s">
        <v>2150</v>
      </c>
      <c r="V22" s="1320">
        <v>44408</v>
      </c>
      <c r="W22" s="1321"/>
      <c r="X22" s="1348"/>
      <c r="Y22" s="1348"/>
    </row>
    <row r="23" ht="18" customHeight="1">
      <c r="A23" s="927" t="s">
        <v>24</v>
      </c>
      <c r="B23" s="928" t="s">
        <v>2167</v>
      </c>
      <c r="C23" s="1311" t="s">
        <v>2168</v>
      </c>
      <c r="D23" s="1312" t="s">
        <v>34</v>
      </c>
      <c r="E23" s="1312" t="s">
        <v>761</v>
      </c>
      <c r="F23" s="1312" t="s">
        <v>87</v>
      </c>
      <c r="G23" s="1313">
        <v>2488724</v>
      </c>
      <c r="H23" s="1313"/>
      <c r="I23" s="954">
        <f t="shared" si="12"/>
        <v>121698.6036</v>
      </c>
      <c r="J23" s="954">
        <f t="shared" si="13"/>
        <v>99548.96</v>
      </c>
      <c r="K23" s="954">
        <f t="shared" si="14"/>
        <v>49774.48</v>
      </c>
      <c r="L23" s="954">
        <v>15000</v>
      </c>
      <c r="M23" s="295">
        <f t="shared" si="15"/>
        <v>2774746.0436</v>
      </c>
      <c r="N23" s="916">
        <f t="shared" si="16"/>
        <v>221979.683488</v>
      </c>
      <c r="O23" s="916">
        <v>835000</v>
      </c>
      <c r="P23" s="916"/>
      <c r="Q23" s="916"/>
      <c r="R23" s="959">
        <f t="shared" si="17"/>
        <v>3831725.727088</v>
      </c>
      <c r="S23" s="959">
        <f t="shared" si="18"/>
        <v>22197.9683488</v>
      </c>
      <c r="T23" s="960">
        <f t="shared" si="19"/>
        <v>3853923.6954368004</v>
      </c>
      <c r="U23" s="1319">
        <v>44365</v>
      </c>
      <c r="V23" s="1320">
        <v>44469</v>
      </c>
      <c r="W23" s="1321"/>
    </row>
    <row r="24" ht="18" customHeight="1">
      <c r="A24" s="927" t="s">
        <v>24</v>
      </c>
      <c r="B24" s="928">
        <v>2187</v>
      </c>
      <c r="C24" s="1311" t="s">
        <v>2169</v>
      </c>
      <c r="D24" s="1312" t="s">
        <v>34</v>
      </c>
      <c r="E24" s="1312" t="s">
        <v>761</v>
      </c>
      <c r="F24" s="1312" t="s">
        <v>87</v>
      </c>
      <c r="G24" s="1313">
        <v>2488724</v>
      </c>
      <c r="H24" s="1313"/>
      <c r="I24" s="954">
        <f t="shared" si="12"/>
        <v>121698.6036</v>
      </c>
      <c r="J24" s="954">
        <f t="shared" si="13"/>
        <v>99548.96</v>
      </c>
      <c r="K24" s="954">
        <f t="shared" si="14"/>
        <v>49774.48</v>
      </c>
      <c r="L24" s="954">
        <v>15000</v>
      </c>
      <c r="M24" s="295">
        <f t="shared" si="15"/>
        <v>2774746.0436</v>
      </c>
      <c r="N24" s="916">
        <f t="shared" si="16"/>
        <v>221979.683488</v>
      </c>
      <c r="O24" s="916">
        <v>1300000</v>
      </c>
      <c r="P24" s="916"/>
      <c r="Q24" s="916"/>
      <c r="R24" s="959">
        <f t="shared" si="17"/>
        <v>4296725.727088001</v>
      </c>
      <c r="S24" s="959">
        <f t="shared" si="18"/>
        <v>22197.9683488</v>
      </c>
      <c r="T24" s="960">
        <f t="shared" si="19"/>
        <v>4318923.695436801</v>
      </c>
      <c r="U24" s="1319">
        <v>44310</v>
      </c>
      <c r="V24" s="1320">
        <v>44408</v>
      </c>
      <c r="W24" s="1321"/>
      <c r="X24" s="1348"/>
      <c r="Y24" s="1348"/>
    </row>
    <row r="25" ht="18" customHeight="1">
      <c r="A25" s="1744" t="s">
        <v>30</v>
      </c>
      <c r="B25" s="1867"/>
      <c r="C25" s="1745"/>
      <c r="D25" s="1745"/>
      <c r="E25" s="1745"/>
      <c r="F25" s="1745"/>
      <c r="G25" s="234">
        <f>SUM(G11:G24)</f>
        <v>33637914.7096774</v>
      </c>
      <c r="H25" s="234">
        <f ref="H25:T25" t="shared" si="21">SUM(H11:H24)</f>
        <v>0</v>
      </c>
      <c r="I25" s="234">
        <f t="shared" si="21"/>
        <v>1582081.8468</v>
      </c>
      <c r="J25" s="234">
        <f t="shared" si="21"/>
        <v>1294136.48</v>
      </c>
      <c r="K25" s="234">
        <f t="shared" si="21"/>
        <v>647068.24</v>
      </c>
      <c r="L25" s="234">
        <f t="shared" si="21"/>
        <v>195000</v>
      </c>
      <c r="M25" s="234">
        <f t="shared" si="21"/>
        <v>37356201.27647742</v>
      </c>
      <c r="N25" s="234">
        <f t="shared" si="21"/>
        <v>2988496.102118194</v>
      </c>
      <c r="O25" s="234">
        <f t="shared" si="21"/>
        <v>13685000</v>
      </c>
      <c r="P25" s="234">
        <f t="shared" si="21"/>
        <v>0</v>
      </c>
      <c r="Q25" s="234">
        <f t="shared" si="21"/>
        <v>0</v>
      </c>
      <c r="R25" s="234">
        <f t="shared" si="21"/>
        <v>54029697.378595605</v>
      </c>
      <c r="S25" s="234">
        <f t="shared" si="21"/>
        <v>298849.6102118194</v>
      </c>
      <c r="T25" s="234">
        <f t="shared" si="21"/>
        <v>54328546.98880743</v>
      </c>
      <c r="U25" s="234"/>
      <c r="V25" s="1322"/>
    </row>
    <row r="26" ht="18" customHeight="1">
      <c r="A26" s="0" t="s">
        <v>30</v>
      </c>
      <c r="B26" s="1861"/>
      <c r="D26" s="353"/>
      <c r="E26" s="353"/>
      <c r="F26" s="353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V26" s="1318"/>
    </row>
    <row r="27" ht="18" customHeight="1">
      <c r="A27" s="1744" t="s">
        <v>30</v>
      </c>
      <c r="B27" s="1867"/>
      <c r="C27" s="1745"/>
      <c r="D27" s="1745"/>
      <c r="E27" s="1745"/>
      <c r="F27" s="1745"/>
      <c r="G27" s="234">
        <f>SUM(G8,G25)</f>
        <v>36126638.7096774</v>
      </c>
      <c r="H27" s="234">
        <f ref="H27:T27" t="shared" si="22">SUM(H8,H25)</f>
        <v>0</v>
      </c>
      <c r="I27" s="234">
        <f t="shared" si="22"/>
        <v>1703780.4504</v>
      </c>
      <c r="J27" s="234">
        <f t="shared" si="22"/>
        <v>1393685.44</v>
      </c>
      <c r="K27" s="234">
        <f t="shared" si="22"/>
        <v>696842.72</v>
      </c>
      <c r="L27" s="234">
        <f t="shared" si="22"/>
        <v>196667</v>
      </c>
      <c r="M27" s="234">
        <f t="shared" si="22"/>
        <v>40117614.32007742</v>
      </c>
      <c r="N27" s="234">
        <f t="shared" si="22"/>
        <v>3209409.145606194</v>
      </c>
      <c r="O27" s="234">
        <f t="shared" si="22"/>
        <v>14185000</v>
      </c>
      <c r="P27" s="234">
        <f t="shared" si="22"/>
        <v>100000</v>
      </c>
      <c r="Q27" s="234">
        <f t="shared" si="22"/>
        <v>276000</v>
      </c>
      <c r="R27" s="234">
        <f t="shared" si="22"/>
        <v>57888023.46568361</v>
      </c>
      <c r="S27" s="234">
        <f t="shared" si="22"/>
        <v>320940.9145606194</v>
      </c>
      <c r="T27" s="234">
        <f t="shared" si="22"/>
        <v>58208964.38024423</v>
      </c>
      <c r="U27" s="234"/>
      <c r="V27" s="1322"/>
    </row>
    <row r="28" ht="15.75" customHeight="1">
      <c r="A28" s="277" t="s">
        <v>30</v>
      </c>
      <c r="B28" s="1868"/>
      <c r="C28" s="277"/>
      <c r="D28" s="277"/>
      <c r="E28" s="277"/>
      <c r="F28" s="277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</row>
    <row r="29">
      <c r="A29" s="0" t="s">
        <v>30</v>
      </c>
      <c r="B29" s="1869"/>
      <c r="C29" s="264" t="str">
        <f>+'MALANG BAT AGUSTUS - OK'!C26</f>
        <v>Karawang, 16 Agustus 2021</v>
      </c>
      <c r="D29" s="270"/>
      <c r="E29" s="270"/>
      <c r="F29" s="270"/>
      <c r="G29" s="271"/>
      <c r="H29" s="271"/>
      <c r="I29" s="310"/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48"/>
      <c r="V29" s="317"/>
    </row>
    <row r="30" ht="11.25" customHeight="1">
      <c r="A30" s="0" t="s">
        <v>30</v>
      </c>
      <c r="B30" s="1870"/>
      <c r="D30" s="263"/>
      <c r="E30" s="264"/>
      <c r="F30" s="264"/>
      <c r="G30" s="210"/>
      <c r="H30" s="210"/>
      <c r="I30" s="270"/>
      <c r="J30" s="270"/>
      <c r="K30" s="270"/>
      <c r="L30" s="270"/>
      <c r="M30" s="270"/>
      <c r="N30" s="310"/>
      <c r="O30" s="310"/>
      <c r="P30" s="310"/>
      <c r="Q30" s="310"/>
      <c r="R30" s="270"/>
      <c r="S30" s="270"/>
      <c r="T30" s="1323"/>
      <c r="U30" s="348"/>
      <c r="V30" s="317"/>
    </row>
    <row r="31">
      <c r="A31" s="0" t="s">
        <v>30</v>
      </c>
      <c r="B31" s="1869"/>
      <c r="C31" s="264" t="s">
        <v>38</v>
      </c>
      <c r="D31" s="274"/>
      <c r="E31" s="264"/>
      <c r="F31" s="264"/>
      <c r="G31" s="275"/>
      <c r="H31" s="275"/>
      <c r="I31" s="262"/>
      <c r="J31" s="262"/>
      <c r="K31" s="262"/>
      <c r="L31" s="312"/>
      <c r="M31" s="263" t="s">
        <v>39</v>
      </c>
      <c r="N31" s="313"/>
      <c r="O31" s="313"/>
      <c r="R31" s="349"/>
      <c r="S31" s="270"/>
      <c r="T31" s="313"/>
      <c r="U31" s="348"/>
      <c r="V31" s="348"/>
    </row>
    <row r="32">
      <c r="A32" s="0" t="s">
        <v>30</v>
      </c>
      <c r="B32" s="1871"/>
      <c r="C32" s="446"/>
      <c r="D32" s="209"/>
      <c r="E32" s="208"/>
      <c r="F32" s="208"/>
      <c r="G32" s="275"/>
      <c r="H32" s="275"/>
      <c r="I32" s="262"/>
      <c r="J32" s="315"/>
      <c r="K32" s="262"/>
      <c r="L32" s="312"/>
      <c r="M32" s="262"/>
      <c r="N32" s="270"/>
      <c r="O32" s="270"/>
      <c r="P32" s="270"/>
      <c r="Q32" s="270"/>
      <c r="R32" s="349"/>
      <c r="S32" s="270"/>
      <c r="T32" s="270"/>
      <c r="U32" s="348"/>
      <c r="V32" s="348"/>
    </row>
    <row r="33">
      <c r="A33" s="0" t="s">
        <v>30</v>
      </c>
      <c r="B33" s="1871"/>
      <c r="C33" s="446"/>
      <c r="D33" s="209"/>
      <c r="E33" s="208"/>
      <c r="F33" s="208"/>
      <c r="G33" s="210"/>
      <c r="H33" s="210"/>
      <c r="I33" s="210"/>
      <c r="J33" s="270"/>
      <c r="K33" s="270"/>
      <c r="L33" s="310"/>
      <c r="M33" s="270"/>
      <c r="N33" s="270"/>
      <c r="O33" s="270"/>
      <c r="P33" s="270"/>
      <c r="Q33" s="270"/>
      <c r="R33" s="208"/>
      <c r="S33" s="270"/>
      <c r="T33" s="270"/>
      <c r="U33" s="348"/>
      <c r="V33" s="348"/>
    </row>
    <row r="34">
      <c r="A34" s="0" t="s">
        <v>30</v>
      </c>
      <c r="B34" s="1869"/>
      <c r="C34" s="445"/>
      <c r="D34" s="274"/>
      <c r="E34" s="264"/>
      <c r="F34" s="264"/>
      <c r="G34" s="275"/>
      <c r="H34" s="275"/>
      <c r="I34" s="275"/>
      <c r="J34" s="262"/>
      <c r="K34" s="262"/>
      <c r="L34" s="312"/>
      <c r="M34" s="262"/>
      <c r="N34" s="262"/>
      <c r="O34" s="262"/>
      <c r="P34" s="262"/>
      <c r="Q34" s="262"/>
      <c r="R34" s="264"/>
      <c r="S34" s="270"/>
      <c r="T34" s="270"/>
      <c r="U34" s="348"/>
      <c r="V34" s="348"/>
    </row>
    <row r="35">
      <c r="A35" s="0" t="s">
        <v>30</v>
      </c>
      <c r="B35" s="1870"/>
      <c r="C35" s="264"/>
      <c r="D35" s="264"/>
      <c r="E35" s="264"/>
      <c r="F35" s="264"/>
      <c r="G35" s="275"/>
      <c r="H35" s="275"/>
      <c r="I35" s="275"/>
      <c r="J35" s="262"/>
      <c r="K35" s="262"/>
      <c r="L35" s="312"/>
      <c r="M35" s="262"/>
      <c r="N35" s="262"/>
      <c r="O35" s="262"/>
      <c r="P35" s="262"/>
      <c r="Q35" s="262"/>
      <c r="R35" s="264"/>
      <c r="S35" s="208"/>
      <c r="T35" s="270"/>
      <c r="U35" s="348"/>
      <c r="V35" s="348"/>
    </row>
    <row r="36">
      <c r="A36" s="0" t="s">
        <v>30</v>
      </c>
      <c r="B36" s="1870"/>
      <c r="C36" s="264"/>
      <c r="D36" s="264"/>
      <c r="E36" s="264"/>
      <c r="F36" s="264"/>
      <c r="G36" s="275"/>
      <c r="H36" s="275"/>
      <c r="I36" s="275"/>
      <c r="J36" s="262"/>
      <c r="K36" s="262"/>
      <c r="L36" s="312"/>
      <c r="M36" s="262"/>
      <c r="N36" s="262"/>
      <c r="O36" s="262"/>
      <c r="P36" s="262"/>
      <c r="Q36" s="262"/>
      <c r="R36" s="264"/>
      <c r="S36" s="270"/>
      <c r="U36" s="348"/>
      <c r="V36" s="348"/>
    </row>
    <row r="37">
      <c r="A37" s="0" t="s">
        <v>30</v>
      </c>
      <c r="B37" s="1870"/>
      <c r="C37" s="264" t="s">
        <v>40</v>
      </c>
      <c r="D37" s="568"/>
      <c r="E37" s="264"/>
      <c r="F37" s="264"/>
      <c r="G37" s="275"/>
      <c r="H37" s="275"/>
      <c r="I37" s="275"/>
      <c r="J37" s="312" t="s">
        <v>41</v>
      </c>
      <c r="K37" s="263"/>
      <c r="L37" s="263"/>
      <c r="M37" s="263" t="s">
        <v>42</v>
      </c>
      <c r="O37" s="264" t="s">
        <v>43</v>
      </c>
      <c r="Q37" s="263"/>
      <c r="U37" s="350"/>
      <c r="V37" s="350"/>
    </row>
    <row r="38">
      <c r="A38" s="389" t="s">
        <v>30</v>
      </c>
      <c r="B38" s="1868"/>
      <c r="C38" s="1314"/>
      <c r="D38" s="277"/>
      <c r="E38" s="277"/>
      <c r="F38" s="388"/>
      <c r="G38" s="278"/>
      <c r="H38" s="278"/>
      <c r="I38" s="389"/>
      <c r="J38" s="389"/>
      <c r="K38" s="389"/>
      <c r="L38" s="389"/>
      <c r="M38" s="278"/>
      <c r="N38" s="389"/>
      <c r="O38" s="389"/>
      <c r="P38" s="389"/>
      <c r="Q38" s="389"/>
      <c r="R38" s="389"/>
      <c r="U38" s="1324"/>
      <c r="V38" s="1324"/>
    </row>
    <row r="39">
      <c r="A39" s="389" t="s">
        <v>30</v>
      </c>
      <c r="B39" s="1868"/>
      <c r="C39" s="1314"/>
      <c r="D39" s="277"/>
      <c r="E39" s="277"/>
      <c r="F39" s="388"/>
      <c r="G39" s="278"/>
      <c r="H39" s="278"/>
      <c r="I39" s="389"/>
      <c r="J39" s="389"/>
      <c r="K39" s="389"/>
      <c r="L39" s="389"/>
      <c r="M39" s="278"/>
      <c r="N39" s="389"/>
      <c r="O39" s="389"/>
      <c r="P39" s="389"/>
      <c r="Q39" s="389"/>
      <c r="R39" s="389"/>
      <c r="U39" s="1324"/>
      <c r="V39" s="1324"/>
    </row>
  </sheetData>
  <sortState ref="A12:Y24">
    <sortCondition ref="C12:C24"/>
  </sortState>
  <mergeCells>
    <mergeCell ref="A25:F25"/>
    <mergeCell ref="A27:F27"/>
  </mergeCells>
  <printOptions horizontalCentered="1"/>
  <pageMargins left="0.3" right="0" top="0.75" bottom="0.75" header="0.30902777777777801" footer="0.30902777777777801"/>
  <pageSetup paperSize="9" scale="70" orientation="landscape"/>
  <headerFooter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W21"/>
  <sheetViews>
    <sheetView zoomScale="85" zoomScaleNormal="85" workbookViewId="0">
      <pane xSplit="7" ySplit="6" topLeftCell="H7" activePane="bottomRight" state="frozen"/>
      <selection pane="topRight"/>
      <selection pane="bottomLeft"/>
      <selection pane="bottomRight" activeCell="L7" sqref="L7"/>
    </sheetView>
  </sheetViews>
  <sheetFormatPr defaultColWidth="9.140625" defaultRowHeight="15"/>
  <cols>
    <col min="1" max="2" width="4.5703125" customWidth="1"/>
    <col min="3" max="3" width="29.42578125" customWidth="1"/>
    <col min="4" max="4" width="10.42578125" customWidth="1"/>
    <col min="5" max="5" width="11.5703125" customWidth="1"/>
    <col min="6" max="6" width="9.85546875" customWidth="1"/>
    <col min="7" max="8" width="11.85546875" customWidth="1"/>
    <col min="9" max="12" width="10.42578125" customWidth="1"/>
    <col min="13" max="13" width="13.28515625" customWidth="1"/>
    <col min="14" max="14" width="12.42578125" customWidth="1"/>
    <col min="15" max="15" width="12.85546875" customWidth="1"/>
    <col min="16" max="16" width="11" customWidth="1"/>
    <col min="17" max="17" width="11.5703125" customWidth="1"/>
    <col min="18" max="18" width="11.85546875" customWidth="1"/>
    <col min="19" max="19" width="10.42578125" customWidth="1"/>
    <col min="20" max="20" width="12.140625" customWidth="1"/>
    <col min="21" max="22" width="8.7109375" customWidth="1"/>
    <col min="23" max="23" width="6" customWidth="1"/>
  </cols>
  <sheetData>
    <row r="1">
      <c r="A1" s="1305" t="s">
        <v>0</v>
      </c>
      <c r="C1" s="1306"/>
      <c r="V1" s="1318"/>
    </row>
    <row r="2">
      <c r="A2" s="1305" t="s">
        <v>1795</v>
      </c>
      <c r="C2" s="1306"/>
      <c r="N2" s="1315"/>
      <c r="O2" s="1315"/>
      <c r="P2" s="1315"/>
      <c r="Q2" s="1315"/>
    </row>
    <row r="3">
      <c r="A3" s="1305" t="str">
        <f>+'MALANG BAT AGUSTUS - OK'!A3</f>
        <v>Periode Bulan Agustus  2021</v>
      </c>
      <c r="C3" s="1306"/>
      <c r="I3" s="1316"/>
      <c r="V3" s="1318"/>
    </row>
    <row r="4">
      <c r="A4" s="1305"/>
      <c r="C4" s="1306"/>
      <c r="I4" s="1316"/>
      <c r="V4" s="1318"/>
    </row>
    <row r="5">
      <c r="A5" s="1307"/>
      <c r="C5" s="1306"/>
      <c r="G5" s="1308">
        <v>2488724</v>
      </c>
      <c r="H5" s="1308"/>
      <c r="I5" s="1316"/>
      <c r="V5" s="1318"/>
    </row>
    <row r="6" ht="29.25" customHeight="1">
      <c r="A6" s="1309" t="s">
        <v>2</v>
      </c>
      <c r="B6" s="1310" t="s">
        <v>3</v>
      </c>
      <c r="C6" s="1310" t="s">
        <v>4</v>
      </c>
      <c r="D6" s="1310" t="s">
        <v>5</v>
      </c>
      <c r="E6" s="1310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1317" t="s">
        <v>14</v>
      </c>
      <c r="N6" s="285" t="s">
        <v>15</v>
      </c>
      <c r="O6" s="285" t="s">
        <v>16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927" t="s">
        <v>24</v>
      </c>
      <c r="B7" s="1527" t="s">
        <v>1796</v>
      </c>
      <c r="C7" s="1311" t="s">
        <v>1797</v>
      </c>
      <c r="D7" s="1312" t="s">
        <v>26</v>
      </c>
      <c r="E7" s="1312" t="s">
        <v>761</v>
      </c>
      <c r="F7" s="1312" t="s">
        <v>87</v>
      </c>
      <c r="G7" s="1313">
        <f>2488724/30*15</f>
        <v>1244362</v>
      </c>
      <c r="H7" s="1313"/>
      <c r="I7" s="954"/>
      <c r="J7" s="954"/>
      <c r="K7" s="954"/>
      <c r="L7" s="954">
        <f>-15000+1667</f>
        <v>-13333</v>
      </c>
      <c r="M7" s="295">
        <f>SUM(G7:L7)</f>
        <v>1231029</v>
      </c>
      <c r="N7" s="916">
        <f>+M7*8%</f>
        <v>98482.32</v>
      </c>
      <c r="O7" s="1331">
        <v>500000</v>
      </c>
      <c r="P7" s="1331">
        <v>100000</v>
      </c>
      <c r="Q7" s="916">
        <f>23*12000</f>
        <v>276000</v>
      </c>
      <c r="R7" s="959">
        <f>SUM(M7:Q7)</f>
        <v>2205511.3200000003</v>
      </c>
      <c r="S7" s="959">
        <f>N7*0.1</f>
        <v>9848.232000000002</v>
      </c>
      <c r="T7" s="960">
        <f>R7+S7</f>
        <v>2215359.552</v>
      </c>
      <c r="U7" s="1319" t="s">
        <v>1798</v>
      </c>
      <c r="V7" s="1320">
        <v>44408</v>
      </c>
      <c r="W7" s="1695" t="s">
        <v>1799</v>
      </c>
    </row>
    <row r="8" ht="18" customHeight="1">
      <c r="A8" s="1325" t="s">
        <v>30</v>
      </c>
      <c r="B8" s="1881"/>
      <c r="C8" s="1326"/>
      <c r="D8" s="1325"/>
      <c r="E8" s="1325"/>
      <c r="F8" s="1325"/>
      <c r="G8" s="1327">
        <f ref="G8:T8" t="shared" si="0">SUM(G7)</f>
        <v>1244362</v>
      </c>
      <c r="H8" s="1327">
        <f t="shared" si="0"/>
        <v>0</v>
      </c>
      <c r="I8" s="1327">
        <f t="shared" si="0"/>
        <v>0</v>
      </c>
      <c r="J8" s="1327">
        <f t="shared" si="0"/>
        <v>0</v>
      </c>
      <c r="K8" s="1327">
        <f t="shared" si="0"/>
        <v>0</v>
      </c>
      <c r="L8" s="1327">
        <f t="shared" si="0"/>
        <v>-13333</v>
      </c>
      <c r="M8" s="1327">
        <f t="shared" si="0"/>
        <v>1231029</v>
      </c>
      <c r="N8" s="1327">
        <f t="shared" si="0"/>
        <v>98482.32</v>
      </c>
      <c r="O8" s="1327">
        <f t="shared" si="0"/>
        <v>500000</v>
      </c>
      <c r="P8" s="1327">
        <f t="shared" si="0"/>
        <v>100000</v>
      </c>
      <c r="Q8" s="1327">
        <f t="shared" si="0"/>
        <v>276000</v>
      </c>
      <c r="R8" s="1327">
        <f t="shared" si="0"/>
        <v>2205511.3200000003</v>
      </c>
      <c r="S8" s="1327">
        <f t="shared" si="0"/>
        <v>9848.232000000002</v>
      </c>
      <c r="T8" s="1327">
        <f t="shared" si="0"/>
        <v>2215359.552</v>
      </c>
      <c r="U8" s="1336"/>
      <c r="V8" s="1336"/>
      <c r="W8" s="1337"/>
    </row>
    <row r="9" ht="18" customHeight="1">
      <c r="A9" s="1328" t="s">
        <v>30</v>
      </c>
      <c r="B9" s="1882"/>
      <c r="C9" s="1329"/>
      <c r="D9" s="1328"/>
      <c r="E9" s="1328"/>
      <c r="F9" s="1328"/>
      <c r="G9" s="1330"/>
      <c r="H9" s="1330"/>
      <c r="I9" s="1332"/>
      <c r="J9" s="1332"/>
      <c r="K9" s="1332"/>
      <c r="L9" s="1332"/>
      <c r="M9" s="1333"/>
      <c r="N9" s="1334"/>
      <c r="O9" s="1334"/>
      <c r="P9" s="1334"/>
      <c r="Q9" s="1334"/>
      <c r="R9" s="1338"/>
      <c r="S9" s="1338"/>
      <c r="T9" s="1339"/>
      <c r="U9" s="1340"/>
      <c r="V9" s="1340"/>
      <c r="W9" s="1337"/>
    </row>
    <row r="10" ht="15.75" customHeight="1">
      <c r="A10" s="277" t="s">
        <v>30</v>
      </c>
      <c r="B10" s="1868"/>
      <c r="C10" s="277"/>
      <c r="D10" s="277"/>
      <c r="E10" s="277"/>
      <c r="F10" s="277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</row>
    <row r="11">
      <c r="A11" s="0" t="s">
        <v>30</v>
      </c>
      <c r="B11" s="1869"/>
      <c r="C11" s="264" t="str">
        <f>+'MALANG BAT AGUSTUS - OK'!C26</f>
        <v>Karawang, 16 Agustus 2021</v>
      </c>
      <c r="D11" s="270"/>
      <c r="E11" s="270"/>
      <c r="F11" s="270"/>
      <c r="G11" s="271"/>
      <c r="H11" s="271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48"/>
      <c r="V11" s="317"/>
    </row>
    <row r="12" ht="11.25" customHeight="1">
      <c r="A12" s="0" t="s">
        <v>30</v>
      </c>
      <c r="B12" s="1870"/>
      <c r="D12" s="263"/>
      <c r="E12" s="264"/>
      <c r="F12" s="264"/>
      <c r="G12" s="210"/>
      <c r="H12" s="210"/>
      <c r="I12" s="270"/>
      <c r="J12" s="270"/>
      <c r="K12" s="270"/>
      <c r="L12" s="270"/>
      <c r="M12" s="270"/>
      <c r="N12" s="310"/>
      <c r="O12" s="310"/>
      <c r="P12" s="310"/>
      <c r="Q12" s="310"/>
      <c r="R12" s="270"/>
      <c r="S12" s="270"/>
      <c r="T12" s="1323"/>
      <c r="U12" s="348"/>
      <c r="V12" s="317"/>
    </row>
    <row r="13">
      <c r="A13" s="0" t="s">
        <v>30</v>
      </c>
      <c r="B13" s="1869"/>
      <c r="C13" s="264" t="s">
        <v>38</v>
      </c>
      <c r="D13" s="274"/>
      <c r="E13" s="264"/>
      <c r="F13" s="264"/>
      <c r="G13" s="275"/>
      <c r="H13" s="275"/>
      <c r="I13" s="262"/>
      <c r="J13" s="262"/>
      <c r="K13" s="262"/>
      <c r="L13" s="312"/>
      <c r="M13" s="263" t="s">
        <v>39</v>
      </c>
      <c r="N13" s="313"/>
      <c r="O13" s="313"/>
      <c r="R13" s="349"/>
      <c r="S13" s="270"/>
      <c r="T13" s="313"/>
      <c r="U13" s="348"/>
      <c r="V13" s="348"/>
    </row>
    <row r="14">
      <c r="A14" s="0" t="s">
        <v>30</v>
      </c>
      <c r="B14" s="1871"/>
      <c r="C14" s="446"/>
      <c r="D14" s="209"/>
      <c r="E14" s="208"/>
      <c r="F14" s="208"/>
      <c r="G14" s="275"/>
      <c r="H14" s="275"/>
      <c r="I14" s="262"/>
      <c r="J14" s="315"/>
      <c r="K14" s="262"/>
      <c r="L14" s="312"/>
      <c r="M14" s="262"/>
      <c r="N14" s="270"/>
      <c r="O14" s="270"/>
      <c r="P14" s="270"/>
      <c r="Q14" s="270"/>
      <c r="R14" s="349"/>
      <c r="S14" s="270"/>
      <c r="T14" s="270"/>
      <c r="U14" s="348"/>
      <c r="V14" s="348"/>
    </row>
    <row r="15">
      <c r="A15" s="0" t="s">
        <v>30</v>
      </c>
      <c r="B15" s="1871"/>
      <c r="C15" s="446"/>
      <c r="D15" s="209"/>
      <c r="E15" s="208"/>
      <c r="F15" s="208"/>
      <c r="G15" s="210"/>
      <c r="H15" s="210"/>
      <c r="I15" s="210"/>
      <c r="J15" s="270"/>
      <c r="K15" s="270"/>
      <c r="L15" s="310"/>
      <c r="M15" s="270"/>
      <c r="N15" s="270"/>
      <c r="O15" s="270"/>
      <c r="P15" s="270"/>
      <c r="Q15" s="270"/>
      <c r="R15" s="208"/>
      <c r="S15" s="270"/>
      <c r="T15" s="270"/>
      <c r="U15" s="348"/>
      <c r="V15" s="348"/>
    </row>
    <row r="16">
      <c r="A16" s="0" t="s">
        <v>30</v>
      </c>
      <c r="B16" s="1869"/>
      <c r="C16" s="445"/>
      <c r="D16" s="274"/>
      <c r="E16" s="264"/>
      <c r="F16" s="264"/>
      <c r="G16" s="275"/>
      <c r="H16" s="275"/>
      <c r="I16" s="275"/>
      <c r="J16" s="262"/>
      <c r="K16" s="262"/>
      <c r="L16" s="312"/>
      <c r="M16" s="262"/>
      <c r="N16" s="262"/>
      <c r="O16" s="262"/>
      <c r="P16" s="262"/>
      <c r="Q16" s="262"/>
      <c r="R16" s="264"/>
      <c r="S16" s="270"/>
      <c r="T16" s="270"/>
      <c r="U16" s="348"/>
      <c r="V16" s="348"/>
    </row>
    <row r="17">
      <c r="A17" s="0" t="s">
        <v>30</v>
      </c>
      <c r="B17" s="1870"/>
      <c r="C17" s="264"/>
      <c r="D17" s="26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264"/>
      <c r="S17" s="208"/>
      <c r="T17" s="270"/>
      <c r="U17" s="348"/>
      <c r="V17" s="348"/>
    </row>
    <row r="18">
      <c r="A18" s="0" t="s">
        <v>30</v>
      </c>
      <c r="B18" s="1870"/>
      <c r="C18" s="264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4"/>
      <c r="S18" s="270"/>
      <c r="U18" s="348"/>
      <c r="V18" s="348"/>
    </row>
    <row r="19">
      <c r="A19" s="0" t="s">
        <v>30</v>
      </c>
      <c r="B19" s="1870"/>
      <c r="C19" s="264" t="s">
        <v>40</v>
      </c>
      <c r="D19" s="568"/>
      <c r="E19" s="264"/>
      <c r="F19" s="264"/>
      <c r="G19" s="275"/>
      <c r="H19" s="275"/>
      <c r="I19" s="275"/>
      <c r="J19" s="312" t="s">
        <v>41</v>
      </c>
      <c r="K19" s="263"/>
      <c r="L19" s="263"/>
      <c r="M19" s="263" t="s">
        <v>42</v>
      </c>
      <c r="O19" s="264" t="s">
        <v>43</v>
      </c>
      <c r="Q19" s="263"/>
      <c r="U19" s="350"/>
      <c r="V19" s="350"/>
    </row>
    <row r="20">
      <c r="A20" s="389" t="s">
        <v>30</v>
      </c>
      <c r="B20" s="1868"/>
      <c r="C20" s="1314"/>
      <c r="D20" s="277"/>
      <c r="E20" s="277"/>
      <c r="F20" s="388"/>
      <c r="G20" s="278"/>
      <c r="H20" s="278"/>
      <c r="I20" s="389"/>
      <c r="J20" s="389"/>
      <c r="K20" s="389"/>
      <c r="L20" s="389"/>
      <c r="M20" s="278"/>
      <c r="N20" s="389"/>
      <c r="O20" s="389"/>
      <c r="P20" s="389"/>
      <c r="Q20" s="389"/>
      <c r="R20" s="389"/>
      <c r="U20" s="1324"/>
      <c r="V20" s="1324"/>
    </row>
    <row r="21">
      <c r="A21" s="389" t="s">
        <v>30</v>
      </c>
      <c r="B21" s="1868"/>
      <c r="C21" s="1314"/>
      <c r="D21" s="277"/>
      <c r="E21" s="277"/>
      <c r="F21" s="388"/>
      <c r="G21" s="278"/>
      <c r="H21" s="278"/>
      <c r="I21" s="389"/>
      <c r="J21" s="389"/>
      <c r="K21" s="389"/>
      <c r="L21" s="389"/>
      <c r="M21" s="278"/>
      <c r="N21" s="389"/>
      <c r="O21" s="389"/>
      <c r="P21" s="389"/>
      <c r="Q21" s="389"/>
      <c r="R21" s="389"/>
      <c r="U21" s="1324"/>
      <c r="V21" s="1324"/>
    </row>
  </sheetData>
  <printOptions horizontalCentered="1"/>
  <pageMargins left="0.3" right="0" top="0.75" bottom="0.75" header="0.30902777777777801" footer="0.30902777777777801"/>
  <pageSetup paperSize="9" scale="70" orientation="landscape"/>
  <headerFooter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W23"/>
  <sheetViews>
    <sheetView workbookViewId="0">
      <pane xSplit="7" ySplit="6" topLeftCell="H7" activePane="bottomRight" state="frozen"/>
      <selection pane="topRight"/>
      <selection pane="bottomLeft"/>
      <selection pane="bottomRight" activeCell="M8" sqref="M8"/>
    </sheetView>
  </sheetViews>
  <sheetFormatPr defaultColWidth="9.140625" defaultRowHeight="15"/>
  <cols>
    <col min="1" max="2" width="4.5703125" customWidth="1"/>
    <col min="3" max="3" width="23.140625" customWidth="1"/>
    <col min="4" max="4" width="8.140625" customWidth="1"/>
    <col min="5" max="5" hidden="1" width="11.5703125" customWidth="1"/>
    <col min="6" max="6" hidden="1" width="9.85546875" customWidth="1"/>
    <col min="7" max="8" width="10.85546875" customWidth="1"/>
    <col min="9" max="12" width="10.42578125" customWidth="1"/>
    <col min="13" max="13" width="13.28515625" customWidth="1"/>
    <col min="14" max="15" width="10.42578125" customWidth="1"/>
    <col min="16" max="17" hidden="1" width="10.42578125" customWidth="1"/>
    <col min="18" max="18" width="12" customWidth="1"/>
    <col min="19" max="19" width="10.42578125" customWidth="1"/>
    <col min="20" max="20" width="12.140625" customWidth="1"/>
    <col min="21" max="22" width="8.7109375" customWidth="1"/>
    <col min="23" max="23" width="18.5703125" customWidth="1"/>
  </cols>
  <sheetData>
    <row r="1">
      <c r="A1" s="1305" t="s">
        <v>0</v>
      </c>
      <c r="C1" s="1306"/>
      <c r="V1" s="1318"/>
    </row>
    <row r="2">
      <c r="A2" s="1305" t="s">
        <v>1800</v>
      </c>
      <c r="C2" s="1306"/>
      <c r="N2" s="1315"/>
      <c r="O2" s="1315"/>
      <c r="P2" s="1315"/>
      <c r="Q2" s="1315"/>
    </row>
    <row r="3">
      <c r="A3" s="1305" t="str">
        <f>+'MALANG BAT AGUSTUS - OK'!A3</f>
        <v>Periode Bulan Agustus  2021</v>
      </c>
      <c r="C3" s="1306"/>
      <c r="I3" s="1316"/>
      <c r="V3" s="1318"/>
    </row>
    <row r="4">
      <c r="A4" s="1305"/>
      <c r="C4" s="1306"/>
      <c r="I4" s="1316"/>
      <c r="V4" s="1318"/>
    </row>
    <row r="5">
      <c r="A5" s="1307"/>
      <c r="C5" s="1306"/>
      <c r="G5" s="1308">
        <v>2532234</v>
      </c>
      <c r="H5" s="1308"/>
      <c r="I5" s="1316"/>
      <c r="V5" s="1318"/>
    </row>
    <row r="6" ht="29.25" customHeight="1">
      <c r="A6" s="1309" t="s">
        <v>2</v>
      </c>
      <c r="B6" s="1310" t="s">
        <v>3</v>
      </c>
      <c r="C6" s="1310" t="s">
        <v>4</v>
      </c>
      <c r="D6" s="1310" t="s">
        <v>5</v>
      </c>
      <c r="E6" s="1310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1317" t="s">
        <v>14</v>
      </c>
      <c r="N6" s="285" t="s">
        <v>15</v>
      </c>
      <c r="O6" s="285" t="s">
        <v>16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927" t="s">
        <v>31</v>
      </c>
      <c r="B7" s="1884" t="s">
        <v>627</v>
      </c>
      <c r="C7" s="1311" t="s">
        <v>1801</v>
      </c>
      <c r="D7" s="1312" t="s">
        <v>34</v>
      </c>
      <c r="E7" s="1312" t="s">
        <v>762</v>
      </c>
      <c r="F7" s="1312" t="s">
        <v>87</v>
      </c>
      <c r="G7" s="1313">
        <v>2532234</v>
      </c>
      <c r="H7" s="1313"/>
      <c r="I7" s="954">
        <f>+$G$5*4.89%</f>
        <v>123826.2426</v>
      </c>
      <c r="J7" s="954">
        <f>+$G$5*4%</f>
        <v>101289.36</v>
      </c>
      <c r="K7" s="954">
        <f>+$G$5*2%</f>
        <v>50644.68</v>
      </c>
      <c r="L7" s="954">
        <v>15000</v>
      </c>
      <c r="M7" s="295">
        <f>SUM(G7:L7)</f>
        <v>2822994.2826</v>
      </c>
      <c r="N7" s="916">
        <f>+M7*8%</f>
        <v>225839.54260800002</v>
      </c>
      <c r="O7" s="303">
        <v>800000</v>
      </c>
      <c r="P7" s="916"/>
      <c r="Q7" s="916"/>
      <c r="R7" s="959">
        <f>SUM(M7:Q7)</f>
        <v>3848833.825208</v>
      </c>
      <c r="S7" s="959">
        <f>N7*0.1</f>
        <v>22583.954260800005</v>
      </c>
      <c r="T7" s="960">
        <f>R7+S7</f>
        <v>3871417.7794688</v>
      </c>
      <c r="U7" s="1319">
        <v>44378</v>
      </c>
      <c r="V7" s="1320">
        <v>44469</v>
      </c>
      <c r="W7" s="1321"/>
    </row>
    <row r="8" ht="18" customHeight="1">
      <c r="A8" s="927" t="s">
        <v>31</v>
      </c>
      <c r="B8" s="1884" t="s">
        <v>1802</v>
      </c>
      <c r="C8" s="1311" t="s">
        <v>1803</v>
      </c>
      <c r="D8" s="1312" t="s">
        <v>34</v>
      </c>
      <c r="E8" s="1312" t="s">
        <v>762</v>
      </c>
      <c r="F8" s="1312" t="s">
        <v>87</v>
      </c>
      <c r="G8" s="1313">
        <v>2532234</v>
      </c>
      <c r="H8" s="1313"/>
      <c r="I8" s="954">
        <f>+$G$5*4.89%</f>
        <v>123826.2426</v>
      </c>
      <c r="J8" s="954">
        <f>+$G$5*4%</f>
        <v>101289.36</v>
      </c>
      <c r="K8" s="954">
        <f>+$G$5*2%</f>
        <v>50644.68</v>
      </c>
      <c r="L8" s="954">
        <v>15000</v>
      </c>
      <c r="M8" s="295">
        <f>SUM(G8:L8)</f>
        <v>2822994.2826</v>
      </c>
      <c r="N8" s="916">
        <f>+M8*8%</f>
        <v>225839.54260800002</v>
      </c>
      <c r="O8" s="303">
        <v>660000</v>
      </c>
      <c r="P8" s="916"/>
      <c r="Q8" s="916"/>
      <c r="R8" s="959">
        <f>SUM(M8:Q8)</f>
        <v>3708833.825208</v>
      </c>
      <c r="S8" s="959">
        <f>N8*0.1</f>
        <v>22583.954260800005</v>
      </c>
      <c r="T8" s="960">
        <f>R8+S8</f>
        <v>3731417.7794688</v>
      </c>
      <c r="U8" s="1319">
        <v>44378</v>
      </c>
      <c r="V8" s="1320">
        <v>44469</v>
      </c>
      <c r="W8" s="1321"/>
    </row>
    <row r="9" ht="18" customHeight="1">
      <c r="A9" s="1744" t="s">
        <v>30</v>
      </c>
      <c r="B9" s="1867"/>
      <c r="C9" s="1745"/>
      <c r="D9" s="1745"/>
      <c r="E9" s="1745"/>
      <c r="F9" s="1745"/>
      <c r="G9" s="234">
        <f>SUM(G7:G8)</f>
        <v>5064468</v>
      </c>
      <c r="H9" s="234">
        <f ref="H9:T9" t="shared" si="1">SUM(H7:H8)</f>
        <v>0</v>
      </c>
      <c r="I9" s="234">
        <f t="shared" si="1"/>
        <v>247652.4852</v>
      </c>
      <c r="J9" s="234">
        <f t="shared" si="1"/>
        <v>202578.72</v>
      </c>
      <c r="K9" s="234">
        <f t="shared" si="1"/>
        <v>101289.36</v>
      </c>
      <c r="L9" s="234">
        <f t="shared" si="1"/>
        <v>30000</v>
      </c>
      <c r="M9" s="234">
        <f t="shared" si="1"/>
        <v>5645988.5652</v>
      </c>
      <c r="N9" s="234">
        <f t="shared" si="1"/>
        <v>451679.08521600004</v>
      </c>
      <c r="O9" s="234">
        <f t="shared" si="1"/>
        <v>1460000</v>
      </c>
      <c r="P9" s="234">
        <f t="shared" si="1"/>
        <v>0</v>
      </c>
      <c r="Q9" s="234">
        <f t="shared" si="1"/>
        <v>0</v>
      </c>
      <c r="R9" s="234">
        <f t="shared" si="1"/>
        <v>7557667.650416</v>
      </c>
      <c r="S9" s="234">
        <f t="shared" si="1"/>
        <v>45167.90852160001</v>
      </c>
      <c r="T9" s="234">
        <f t="shared" si="1"/>
        <v>7602835.5589376</v>
      </c>
      <c r="U9" s="234"/>
      <c r="V9" s="1322"/>
    </row>
    <row r="10" ht="18" customHeight="1">
      <c r="A10" s="0" t="s">
        <v>30</v>
      </c>
      <c r="B10" s="1861"/>
      <c r="D10" s="353"/>
      <c r="E10" s="353"/>
      <c r="F10" s="353"/>
      <c r="G10" s="391"/>
      <c r="H10" s="391"/>
      <c r="I10" s="391"/>
      <c r="J10" s="391"/>
      <c r="K10" s="391"/>
      <c r="L10" s="391"/>
      <c r="M10" s="391"/>
      <c r="N10" s="391"/>
      <c r="O10" s="391"/>
      <c r="P10" s="391"/>
      <c r="Q10" s="391"/>
      <c r="R10" s="391"/>
      <c r="S10" s="391"/>
      <c r="T10" s="391"/>
      <c r="V10" s="1318"/>
    </row>
    <row r="11" ht="15.75" customHeight="1">
      <c r="A11" s="277" t="s">
        <v>30</v>
      </c>
      <c r="B11" s="1868"/>
      <c r="C11" s="277"/>
      <c r="D11" s="277"/>
      <c r="E11" s="277"/>
      <c r="F11" s="277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</row>
    <row r="12">
      <c r="A12" s="0" t="s">
        <v>30</v>
      </c>
      <c r="B12" s="1869"/>
      <c r="C12" s="264" t="str">
        <f>+'MALANG BAT AGUSTUS - OK'!C26</f>
        <v>Karawang, 16 Agustus 2021</v>
      </c>
      <c r="D12" s="270"/>
      <c r="E12" s="270"/>
      <c r="F12" s="270"/>
      <c r="G12" s="271"/>
      <c r="H12" s="271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48"/>
      <c r="V12" s="317"/>
    </row>
    <row r="13" ht="17.25" customHeight="1">
      <c r="A13" s="0" t="s">
        <v>30</v>
      </c>
      <c r="B13" s="1870"/>
      <c r="C13" s="264"/>
      <c r="D13" s="263"/>
      <c r="E13" s="264"/>
      <c r="F13" s="264"/>
      <c r="G13" s="210"/>
      <c r="H13" s="210"/>
      <c r="I13" s="270"/>
      <c r="J13" s="270"/>
      <c r="K13" s="270"/>
      <c r="L13" s="270"/>
      <c r="M13" s="270"/>
      <c r="N13" s="310"/>
      <c r="O13" s="310"/>
      <c r="P13" s="310"/>
      <c r="Q13" s="310"/>
      <c r="R13" s="270"/>
      <c r="S13" s="270"/>
      <c r="T13" s="1323"/>
      <c r="U13" s="348"/>
      <c r="V13" s="317"/>
    </row>
    <row r="14">
      <c r="A14" s="0" t="s">
        <v>30</v>
      </c>
      <c r="B14" s="1869"/>
      <c r="C14" s="264" t="s">
        <v>38</v>
      </c>
      <c r="D14" s="274"/>
      <c r="E14" s="264"/>
      <c r="F14" s="264"/>
      <c r="G14" s="275"/>
      <c r="H14" s="275"/>
      <c r="I14" s="262"/>
      <c r="J14" s="262"/>
      <c r="K14" s="262"/>
      <c r="L14" s="312"/>
      <c r="M14" s="263" t="s">
        <v>39</v>
      </c>
      <c r="N14" s="313"/>
      <c r="O14" s="313"/>
      <c r="R14" s="349"/>
      <c r="S14" s="270"/>
      <c r="T14" s="313"/>
      <c r="U14" s="348"/>
      <c r="V14" s="348"/>
    </row>
    <row r="15">
      <c r="A15" s="0" t="s">
        <v>30</v>
      </c>
      <c r="B15" s="1871"/>
      <c r="C15" s="446"/>
      <c r="D15" s="209"/>
      <c r="E15" s="208"/>
      <c r="F15" s="208"/>
      <c r="G15" s="275"/>
      <c r="H15" s="275"/>
      <c r="I15" s="262"/>
      <c r="J15" s="315"/>
      <c r="K15" s="262"/>
      <c r="L15" s="312"/>
      <c r="M15" s="262"/>
      <c r="N15" s="270"/>
      <c r="O15" s="270"/>
      <c r="P15" s="270"/>
      <c r="Q15" s="270"/>
      <c r="R15" s="349"/>
      <c r="S15" s="270"/>
      <c r="T15" s="270"/>
      <c r="U15" s="348"/>
      <c r="V15" s="348"/>
    </row>
    <row r="16">
      <c r="A16" s="0" t="s">
        <v>30</v>
      </c>
      <c r="B16" s="1871"/>
      <c r="C16" s="446"/>
      <c r="D16" s="209"/>
      <c r="E16" s="208"/>
      <c r="F16" s="208"/>
      <c r="G16" s="210"/>
      <c r="H16" s="210"/>
      <c r="I16" s="210"/>
      <c r="J16" s="270"/>
      <c r="K16" s="270"/>
      <c r="L16" s="310"/>
      <c r="M16" s="270"/>
      <c r="N16" s="270"/>
      <c r="O16" s="270"/>
      <c r="P16" s="270"/>
      <c r="Q16" s="270"/>
      <c r="R16" s="208"/>
      <c r="S16" s="270"/>
      <c r="T16" s="270"/>
      <c r="U16" s="348"/>
      <c r="V16" s="348"/>
    </row>
    <row r="17">
      <c r="A17" s="0" t="s">
        <v>30</v>
      </c>
      <c r="B17" s="1869"/>
      <c r="C17" s="445"/>
      <c r="D17" s="27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264"/>
      <c r="S17" s="270"/>
      <c r="T17" s="270"/>
      <c r="U17" s="348"/>
      <c r="V17" s="348"/>
    </row>
    <row r="18">
      <c r="A18" s="0" t="s">
        <v>30</v>
      </c>
      <c r="B18" s="1870"/>
      <c r="C18" s="264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4"/>
      <c r="S18" s="208"/>
      <c r="T18" s="270"/>
      <c r="U18" s="348"/>
      <c r="V18" s="348"/>
    </row>
    <row r="19">
      <c r="A19" s="0" t="s">
        <v>30</v>
      </c>
      <c r="B19" s="1870"/>
      <c r="C19" s="264"/>
      <c r="D19" s="264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262"/>
      <c r="P19" s="262"/>
      <c r="Q19" s="262"/>
      <c r="R19" s="264"/>
      <c r="S19" s="270"/>
      <c r="U19" s="348"/>
      <c r="V19" s="348"/>
    </row>
    <row r="20">
      <c r="A20" s="0" t="s">
        <v>30</v>
      </c>
      <c r="B20" s="1870"/>
      <c r="C20" s="264" t="s">
        <v>40</v>
      </c>
      <c r="D20" s="568"/>
      <c r="E20" s="264"/>
      <c r="F20" s="264"/>
      <c r="G20" s="275"/>
      <c r="H20" s="275"/>
      <c r="I20" s="275"/>
      <c r="J20" s="312" t="s">
        <v>41</v>
      </c>
      <c r="K20" s="263"/>
      <c r="L20" s="263"/>
      <c r="M20" s="263" t="s">
        <v>42</v>
      </c>
      <c r="O20" s="264" t="s">
        <v>43</v>
      </c>
      <c r="Q20" s="263"/>
      <c r="U20" s="350"/>
      <c r="V20" s="350"/>
    </row>
    <row r="21">
      <c r="A21" s="389" t="s">
        <v>30</v>
      </c>
      <c r="B21" s="1868"/>
      <c r="C21" s="1314"/>
      <c r="D21" s="277"/>
      <c r="E21" s="277"/>
      <c r="F21" s="388"/>
      <c r="G21" s="278"/>
      <c r="H21" s="278"/>
      <c r="I21" s="389"/>
      <c r="J21" s="389"/>
      <c r="K21" s="389"/>
      <c r="L21" s="389"/>
      <c r="M21" s="278"/>
      <c r="N21" s="389"/>
      <c r="O21" s="389"/>
      <c r="P21" s="389"/>
      <c r="Q21" s="389"/>
      <c r="R21" s="389"/>
      <c r="U21" s="1324"/>
      <c r="V21" s="1324"/>
    </row>
    <row r="22">
      <c r="A22" s="389" t="s">
        <v>30</v>
      </c>
      <c r="B22" s="1868"/>
      <c r="C22" s="1314"/>
      <c r="D22" s="277"/>
      <c r="E22" s="277"/>
      <c r="F22" s="388"/>
      <c r="G22" s="278"/>
      <c r="H22" s="278"/>
      <c r="I22" s="389"/>
      <c r="J22" s="389"/>
      <c r="K22" s="389"/>
      <c r="L22" s="389"/>
      <c r="M22" s="278"/>
      <c r="N22" s="389"/>
      <c r="O22" s="389"/>
      <c r="P22" s="389"/>
      <c r="Q22" s="389"/>
      <c r="R22" s="389"/>
      <c r="U22" s="1324"/>
      <c r="V22" s="1324"/>
    </row>
    <row r="23">
      <c r="A23" s="0" t="s">
        <v>30</v>
      </c>
      <c r="B23" s="1861"/>
      <c r="C23" s="1306"/>
    </row>
  </sheetData>
  <mergeCells>
    <mergeCell ref="A9:F9"/>
  </mergeCells>
  <printOptions horizontalCentered="1"/>
  <pageMargins left="0.3" right="0" top="0.75" bottom="0.75" header="0.30902777777777801" footer="0.30902777777777801"/>
  <pageSetup paperSize="9" scale="70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AB239"/>
  <sheetViews>
    <sheetView zoomScale="85" zoomScaleNormal="85" workbookViewId="0">
      <pane xSplit="7" ySplit="6" topLeftCell="H163" activePane="bottomRight" state="frozen"/>
      <selection pane="topRight"/>
      <selection pane="bottomLeft"/>
      <selection pane="bottomRight" activeCell="M178" sqref="M178"/>
    </sheetView>
  </sheetViews>
  <sheetFormatPr defaultColWidth="9.140625" defaultRowHeight="12" customHeight="1"/>
  <cols>
    <col min="1" max="1" width="5.7109375" customWidth="1"/>
    <col min="2" max="2" width="5.140625" customWidth="1"/>
    <col min="3" max="3" width="27.85546875" customWidth="1"/>
    <col min="4" max="4" width="14" customWidth="1"/>
    <col min="5" max="5" hidden="1" width="9.5703125" customWidth="1"/>
    <col min="6" max="6" hidden="1" width="12" customWidth="1"/>
    <col min="7" max="7" width="13.42578125" customWidth="1"/>
    <col min="8" max="8" width="12.5703125" customWidth="1"/>
    <col min="9" max="10" width="12.85546875" customWidth="1"/>
    <col min="11" max="11" width="12.42578125" customWidth="1"/>
    <col min="12" max="12" width="13" customWidth="1"/>
    <col min="13" max="13" width="13.85546875" customWidth="1"/>
    <col min="14" max="14" width="16.7109375" customWidth="1"/>
    <col min="15" max="15" width="12.5703125" customWidth="1"/>
    <col min="16" max="16" width="11.42578125" customWidth="1"/>
    <col min="17" max="17" width="12" customWidth="1"/>
    <col min="18" max="18" width="13.5703125" customWidth="1"/>
    <col min="19" max="19" width="12.140625" customWidth="1"/>
    <col min="20" max="20" width="13.85546875" customWidth="1"/>
    <col min="21" max="21" width="9.85546875" customWidth="1"/>
    <col min="22" max="22" width="10.28515625" customWidth="1"/>
    <col min="23" max="23" width="7.7109375" customWidth="1"/>
  </cols>
  <sheetData>
    <row r="1" ht="12" customHeight="1">
      <c r="A1" s="207" t="s">
        <v>0</v>
      </c>
      <c r="C1" s="209"/>
      <c r="G1" s="210"/>
      <c r="H1" s="210"/>
      <c r="M1" s="210"/>
      <c r="V1" s="317"/>
    </row>
    <row r="2" ht="12" customHeight="1">
      <c r="A2" s="207" t="s">
        <v>1804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1229"/>
      <c r="V2" s="318"/>
    </row>
    <row r="3" ht="15">
      <c r="A3" s="207" t="str">
        <f>+'MALANG BAT AGUSTUS - OK'!A3</f>
        <v>Periode Bulan Agustus  2021</v>
      </c>
      <c r="C3" s="209"/>
      <c r="G3" s="213"/>
      <c r="H3" s="213"/>
      <c r="I3" s="1219"/>
      <c r="M3" s="210"/>
      <c r="Q3" s="1228"/>
      <c r="V3" s="317"/>
    </row>
    <row r="4" ht="15">
      <c r="A4" s="207"/>
      <c r="B4" s="634"/>
      <c r="C4" s="212"/>
      <c r="D4" s="211"/>
      <c r="E4" s="211"/>
      <c r="F4" s="211"/>
      <c r="G4" s="1123"/>
      <c r="H4" s="1123"/>
      <c r="I4" s="1123">
        <v>4300479</v>
      </c>
      <c r="J4" s="1135"/>
      <c r="K4" s="1135"/>
      <c r="L4" s="1135"/>
      <c r="M4" s="1136"/>
      <c r="N4" s="1135"/>
      <c r="O4" s="1135"/>
      <c r="P4" s="1135"/>
      <c r="Q4" s="281"/>
      <c r="R4" s="281"/>
      <c r="S4" s="281"/>
      <c r="T4" s="281"/>
      <c r="U4" s="1229"/>
      <c r="V4" s="656"/>
    </row>
    <row r="5" ht="15">
      <c r="A5" s="1208"/>
      <c r="B5" s="1208"/>
      <c r="C5" s="1208"/>
      <c r="D5" s="1208"/>
      <c r="E5" s="1208"/>
      <c r="F5" s="1208"/>
      <c r="G5" s="1209"/>
      <c r="H5" s="1209"/>
      <c r="I5" s="1220"/>
      <c r="J5" s="1220"/>
      <c r="K5" s="1220"/>
      <c r="L5" s="1220"/>
      <c r="M5" s="1220"/>
      <c r="N5" s="1220"/>
      <c r="O5" s="1220">
        <v>25000</v>
      </c>
      <c r="P5" s="1220"/>
      <c r="Q5" s="1209"/>
      <c r="R5" s="1209"/>
      <c r="S5" s="1209"/>
      <c r="T5" s="1209"/>
      <c r="U5" s="1230"/>
      <c r="V5" s="1231"/>
    </row>
    <row r="6" ht="42.75" customHeight="1">
      <c r="A6" s="1210" t="s">
        <v>2</v>
      </c>
      <c r="B6" s="1211" t="s">
        <v>3</v>
      </c>
      <c r="C6" s="1211" t="s">
        <v>4</v>
      </c>
      <c r="D6" s="1211" t="s">
        <v>5</v>
      </c>
      <c r="E6" s="1211" t="s">
        <v>6</v>
      </c>
      <c r="F6" s="1212" t="s">
        <v>7</v>
      </c>
      <c r="G6" s="1213" t="s">
        <v>1805</v>
      </c>
      <c r="H6" s="219" t="s">
        <v>9</v>
      </c>
      <c r="I6" s="1221" t="s">
        <v>10</v>
      </c>
      <c r="J6" s="1222" t="s">
        <v>11</v>
      </c>
      <c r="K6" s="1222" t="s">
        <v>12</v>
      </c>
      <c r="L6" s="1223" t="s">
        <v>13</v>
      </c>
      <c r="M6" s="1223" t="s">
        <v>14</v>
      </c>
      <c r="N6" s="1044" t="s">
        <v>15</v>
      </c>
      <c r="O6" s="1224" t="s">
        <v>1536</v>
      </c>
      <c r="P6" s="1044" t="s">
        <v>17</v>
      </c>
      <c r="Q6" s="1232" t="s">
        <v>1172</v>
      </c>
      <c r="R6" s="1055" t="s">
        <v>19</v>
      </c>
      <c r="S6" s="1056" t="s">
        <v>20</v>
      </c>
      <c r="T6" s="1056" t="s">
        <v>21</v>
      </c>
      <c r="U6" s="1233" t="s">
        <v>22</v>
      </c>
      <c r="V6" s="1234" t="s">
        <v>23</v>
      </c>
    </row>
    <row r="7" ht="12" customHeight="1">
      <c r="A7" s="1027" t="s">
        <v>24</v>
      </c>
      <c r="B7" s="1529" t="s">
        <v>1806</v>
      </c>
      <c r="C7" s="1214" t="s">
        <v>1807</v>
      </c>
      <c r="D7" s="1027" t="s">
        <v>54</v>
      </c>
      <c r="E7" s="1215" t="s">
        <v>193</v>
      </c>
      <c r="F7" s="1215" t="s">
        <v>177</v>
      </c>
      <c r="G7" s="1045">
        <v>4300479</v>
      </c>
      <c r="H7" s="1045"/>
      <c r="I7" s="1225">
        <f>+$I$4*4.89%</f>
        <v>210293.4231</v>
      </c>
      <c r="J7" s="1225">
        <f>+$I$4*4%</f>
        <v>172019.16</v>
      </c>
      <c r="K7" s="1225">
        <f>+$I$4*2%</f>
        <v>86009.58</v>
      </c>
      <c r="L7" s="1225">
        <v>1667</v>
      </c>
      <c r="M7" s="295">
        <f ref="M7:M20" t="shared" si="0">SUM(G7:L7)</f>
        <v>4770468.1631</v>
      </c>
      <c r="N7" s="1226">
        <f ref="N7:N14" t="shared" si="1">+M7*8%</f>
        <v>381637.453048</v>
      </c>
      <c r="O7" s="447">
        <v>500000</v>
      </c>
      <c r="P7" s="1227">
        <v>100000</v>
      </c>
      <c r="Q7" s="447">
        <f>26*10000</f>
        <v>260000</v>
      </c>
      <c r="R7" s="1235">
        <f ref="R7:R20" t="shared" si="2">SUM(M7:Q7)</f>
        <v>6012105.616148</v>
      </c>
      <c r="S7" s="1235">
        <f ref="S7:S20" t="shared" si="3">N7*0.1</f>
        <v>38163.7453048</v>
      </c>
      <c r="T7" s="1236">
        <f ref="T7:T15" t="shared" si="4">R7+S7</f>
        <v>6050269.3614528</v>
      </c>
      <c r="U7" s="1237">
        <v>44348</v>
      </c>
      <c r="V7" s="1237">
        <v>44439</v>
      </c>
      <c r="W7" s="1062"/>
      <c r="AB7" s="1288" t="str">
        <f>+VLOOKUP(B7,'[6]SURABAYA ANTERAJA'!$C$7:$D$218,2,0)</f>
        <v>LINTANG CITRA MAHARANI</v>
      </c>
    </row>
    <row r="8" ht="12" customHeight="1">
      <c r="A8" s="1027" t="s">
        <v>24</v>
      </c>
      <c r="B8" s="1025" t="s">
        <v>1808</v>
      </c>
      <c r="C8" s="1026" t="s">
        <v>341</v>
      </c>
      <c r="D8" s="1027" t="s">
        <v>26</v>
      </c>
      <c r="E8" s="1215" t="s">
        <v>193</v>
      </c>
      <c r="F8" s="1215" t="s">
        <v>177</v>
      </c>
      <c r="G8" s="1045">
        <v>4300479</v>
      </c>
      <c r="H8" s="1045"/>
      <c r="I8" s="1225">
        <f>+$I$4*4.89%</f>
        <v>210293.4231</v>
      </c>
      <c r="J8" s="1225">
        <f>+$I$4*4%</f>
        <v>172019.16</v>
      </c>
      <c r="K8" s="1225">
        <f>+$I$4*2%</f>
        <v>86009.58</v>
      </c>
      <c r="L8" s="1225">
        <v>1667</v>
      </c>
      <c r="M8" s="295">
        <f t="shared" si="0"/>
        <v>4770468.1631</v>
      </c>
      <c r="N8" s="1226">
        <f t="shared" si="1"/>
        <v>381637.453048</v>
      </c>
      <c r="O8" s="447">
        <v>500000</v>
      </c>
      <c r="P8" s="1227">
        <v>100000</v>
      </c>
      <c r="Q8" s="1269"/>
      <c r="R8" s="1235">
        <f t="shared" si="2"/>
        <v>5752105.616148</v>
      </c>
      <c r="S8" s="1235">
        <f t="shared" si="3"/>
        <v>38163.7453048</v>
      </c>
      <c r="T8" s="1236">
        <f t="shared" si="4"/>
        <v>5790269.3614528</v>
      </c>
      <c r="U8" s="1270">
        <v>44378</v>
      </c>
      <c r="V8" s="1271">
        <v>44469</v>
      </c>
      <c r="W8" s="1062"/>
      <c r="AB8" s="1288" t="str">
        <f>+VLOOKUP(B8,'[6]SURABAYA ANTERAJA'!$C$7:$D$218,2,0)</f>
        <v>TEGUH DWI WICAKSONO </v>
      </c>
    </row>
    <row r="9" ht="12" customHeight="1">
      <c r="A9" s="1027" t="s">
        <v>24</v>
      </c>
      <c r="B9" s="358" t="s">
        <v>1809</v>
      </c>
      <c r="C9" s="1031" t="s">
        <v>1810</v>
      </c>
      <c r="D9" s="679" t="s">
        <v>26</v>
      </c>
      <c r="E9" s="589" t="s">
        <v>193</v>
      </c>
      <c r="F9" s="589" t="s">
        <v>177</v>
      </c>
      <c r="G9" s="395">
        <v>4300479</v>
      </c>
      <c r="H9" s="395"/>
      <c r="I9" s="293">
        <f>+$I$4*4.89%</f>
        <v>210293.4231</v>
      </c>
      <c r="J9" s="293">
        <f>+$I$4*4%</f>
        <v>172019.16</v>
      </c>
      <c r="K9" s="293">
        <f>+$I$4*2%</f>
        <v>86009.58</v>
      </c>
      <c r="L9" s="293">
        <v>1667</v>
      </c>
      <c r="M9" s="295">
        <f t="shared" si="0"/>
        <v>4770468.1631</v>
      </c>
      <c r="N9" s="296">
        <f t="shared" si="1"/>
        <v>381637.453048</v>
      </c>
      <c r="O9" s="447">
        <v>500000</v>
      </c>
      <c r="P9" s="447">
        <v>100000</v>
      </c>
      <c r="Q9" s="447"/>
      <c r="R9" s="328">
        <f t="shared" si="2"/>
        <v>5752105.616148</v>
      </c>
      <c r="S9" s="328">
        <f t="shared" si="3"/>
        <v>38163.7453048</v>
      </c>
      <c r="T9" s="329">
        <f t="shared" si="4"/>
        <v>5790269.3614528</v>
      </c>
      <c r="U9" s="1272">
        <v>44378</v>
      </c>
      <c r="V9" s="155">
        <v>44469</v>
      </c>
      <c r="W9" s="1169"/>
      <c r="AB9" s="1146" t="str">
        <f>+VLOOKUP(B9,'[6]SURABAYA ANTERAJA'!$C$7:$D$218,2,0)</f>
        <v>RADEN MOCHAMAD ANDRI PURNAMA PUTRA</v>
      </c>
    </row>
    <row r="10" ht="12" customHeight="1">
      <c r="A10" s="1027" t="s">
        <v>24</v>
      </c>
      <c r="B10" s="228" t="s">
        <v>1811</v>
      </c>
      <c r="C10" s="1127" t="s">
        <v>1812</v>
      </c>
      <c r="D10" s="679" t="s">
        <v>1197</v>
      </c>
      <c r="E10" s="679" t="s">
        <v>193</v>
      </c>
      <c r="F10" s="679" t="s">
        <v>177</v>
      </c>
      <c r="G10" s="395">
        <v>4300479</v>
      </c>
      <c r="H10" s="395"/>
      <c r="I10" s="293">
        <f>+$I$4*4.89%</f>
        <v>210293.4231</v>
      </c>
      <c r="J10" s="293">
        <f>+$I$4*4%</f>
        <v>172019.16</v>
      </c>
      <c r="K10" s="293">
        <f>+$I$4*2%</f>
        <v>86009.58</v>
      </c>
      <c r="L10" s="293">
        <v>1667</v>
      </c>
      <c r="M10" s="295">
        <f t="shared" si="0"/>
        <v>4770468.1631</v>
      </c>
      <c r="N10" s="296">
        <f t="shared" si="1"/>
        <v>381637.453048</v>
      </c>
      <c r="O10" s="447">
        <v>300000</v>
      </c>
      <c r="P10" s="447">
        <v>100000</v>
      </c>
      <c r="Q10" s="447"/>
      <c r="R10" s="328">
        <f t="shared" si="2"/>
        <v>5552105.616148</v>
      </c>
      <c r="S10" s="328">
        <f t="shared" si="3"/>
        <v>38163.7453048</v>
      </c>
      <c r="T10" s="329">
        <f t="shared" si="4"/>
        <v>5590269.3614528</v>
      </c>
      <c r="U10" s="1145">
        <v>44378</v>
      </c>
      <c r="V10" s="579">
        <v>44469</v>
      </c>
      <c r="W10" s="1169"/>
      <c r="X10" s="1146"/>
      <c r="Y10" s="1146"/>
      <c r="AB10" s="1146" t="str">
        <f>+VLOOKUP(B10,'[6]SURABAYA ANTERAJA'!$C$7:$D$218,2,0)</f>
        <v>STEVANUS KRISTIAN</v>
      </c>
    </row>
    <row r="11" ht="12" customHeight="1">
      <c r="A11" s="1027" t="s">
        <v>24</v>
      </c>
      <c r="B11" s="228" t="s">
        <v>1813</v>
      </c>
      <c r="C11" s="1127" t="s">
        <v>482</v>
      </c>
      <c r="D11" s="679" t="s">
        <v>1202</v>
      </c>
      <c r="E11" s="679" t="s">
        <v>193</v>
      </c>
      <c r="F11" s="679" t="s">
        <v>177</v>
      </c>
      <c r="G11" s="395">
        <v>4300479</v>
      </c>
      <c r="H11" s="395"/>
      <c r="I11" s="293">
        <f ref="I11:I20" t="shared" si="6">+$I$4*4.89%</f>
        <v>210293.4231</v>
      </c>
      <c r="J11" s="293">
        <f ref="J11:J20" t="shared" si="7">+$I$4*4%</f>
        <v>172019.16</v>
      </c>
      <c r="K11" s="293">
        <f ref="K11:K20" t="shared" si="8">+$I$4*2%</f>
        <v>86009.58</v>
      </c>
      <c r="L11" s="293">
        <v>1667</v>
      </c>
      <c r="M11" s="295">
        <f t="shared" si="0"/>
        <v>4770468.1631</v>
      </c>
      <c r="N11" s="296">
        <f t="shared" si="1"/>
        <v>381637.453048</v>
      </c>
      <c r="O11" s="447">
        <v>300000</v>
      </c>
      <c r="P11" s="447">
        <v>100000</v>
      </c>
      <c r="Q11" s="447">
        <f>8*10000</f>
        <v>80000</v>
      </c>
      <c r="R11" s="328">
        <f t="shared" si="2"/>
        <v>5632105.616148</v>
      </c>
      <c r="S11" s="328">
        <f t="shared" si="3"/>
        <v>38163.7453048</v>
      </c>
      <c r="T11" s="329">
        <f t="shared" si="4"/>
        <v>5670269.3614528</v>
      </c>
      <c r="U11" s="1272">
        <v>44378</v>
      </c>
      <c r="V11" s="155">
        <v>44469</v>
      </c>
      <c r="W11" s="1169"/>
      <c r="X11" s="1146"/>
      <c r="Y11" s="1146"/>
      <c r="AB11" s="1146" t="str">
        <f>+VLOOKUP(B11,'[6]SURABAYA ANTERAJA'!$C$7:$D$218,2,0)</f>
        <v>ARIEF EDI KASENDA </v>
      </c>
    </row>
    <row r="12" ht="12" customHeight="1">
      <c r="A12" s="1027" t="s">
        <v>24</v>
      </c>
      <c r="B12" s="228" t="s">
        <v>1814</v>
      </c>
      <c r="C12" s="1127" t="s">
        <v>393</v>
      </c>
      <c r="D12" s="679" t="s">
        <v>1815</v>
      </c>
      <c r="E12" s="679" t="s">
        <v>193</v>
      </c>
      <c r="F12" s="679" t="s">
        <v>177</v>
      </c>
      <c r="G12" s="395">
        <v>4300479</v>
      </c>
      <c r="H12" s="395"/>
      <c r="I12" s="293">
        <f t="shared" si="6"/>
        <v>210293.4231</v>
      </c>
      <c r="J12" s="293">
        <f t="shared" si="7"/>
        <v>172019.16</v>
      </c>
      <c r="K12" s="293">
        <f t="shared" si="8"/>
        <v>86009.58</v>
      </c>
      <c r="L12" s="293">
        <v>1667</v>
      </c>
      <c r="M12" s="295">
        <f t="shared" si="0"/>
        <v>4770468.1631</v>
      </c>
      <c r="N12" s="296">
        <f t="shared" si="1"/>
        <v>381637.453048</v>
      </c>
      <c r="O12" s="447">
        <v>300000</v>
      </c>
      <c r="P12" s="447">
        <v>100000</v>
      </c>
      <c r="Q12" s="447"/>
      <c r="R12" s="328">
        <f t="shared" si="2"/>
        <v>5552105.616148</v>
      </c>
      <c r="S12" s="328">
        <f t="shared" si="3"/>
        <v>38163.7453048</v>
      </c>
      <c r="T12" s="329">
        <f t="shared" si="4"/>
        <v>5590269.3614528</v>
      </c>
      <c r="U12" s="1272">
        <v>44378</v>
      </c>
      <c r="V12" s="155">
        <v>44469</v>
      </c>
      <c r="W12" s="1169"/>
      <c r="X12" s="1146"/>
      <c r="Y12" s="1146"/>
      <c r="AB12" s="1146" t="str">
        <f>+VLOOKUP(B12,'[6]SURABAYA ANTERAJA'!$C$7:$D$218,2,0)</f>
        <v>AHMAD ZAMRONI </v>
      </c>
    </row>
    <row r="13" ht="12" customHeight="1">
      <c r="A13" s="1027" t="s">
        <v>24</v>
      </c>
      <c r="B13" s="228" t="s">
        <v>1816</v>
      </c>
      <c r="C13" s="1127" t="s">
        <v>1817</v>
      </c>
      <c r="D13" s="679" t="s">
        <v>26</v>
      </c>
      <c r="E13" s="679" t="s">
        <v>193</v>
      </c>
      <c r="F13" s="679" t="s">
        <v>177</v>
      </c>
      <c r="G13" s="395">
        <v>4300479</v>
      </c>
      <c r="H13" s="395"/>
      <c r="I13" s="293">
        <f t="shared" si="6"/>
        <v>210293.4231</v>
      </c>
      <c r="J13" s="293">
        <f t="shared" si="7"/>
        <v>172019.16</v>
      </c>
      <c r="K13" s="293">
        <f t="shared" si="8"/>
        <v>86009.58</v>
      </c>
      <c r="L13" s="293">
        <v>1667</v>
      </c>
      <c r="M13" s="295">
        <f t="shared" si="0"/>
        <v>4770468.1631</v>
      </c>
      <c r="N13" s="296">
        <f t="shared" si="1"/>
        <v>381637.453048</v>
      </c>
      <c r="O13" s="447">
        <v>500000</v>
      </c>
      <c r="P13" s="447">
        <v>100000</v>
      </c>
      <c r="Q13" s="447">
        <f>13*12000</f>
        <v>156000</v>
      </c>
      <c r="R13" s="328">
        <f t="shared" si="2"/>
        <v>5908105.616148</v>
      </c>
      <c r="S13" s="328">
        <f t="shared" si="3"/>
        <v>38163.7453048</v>
      </c>
      <c r="T13" s="329">
        <f t="shared" si="4"/>
        <v>5946269.3614528</v>
      </c>
      <c r="U13" s="1272">
        <v>44409</v>
      </c>
      <c r="V13" s="155">
        <v>44500</v>
      </c>
      <c r="W13" s="1169"/>
      <c r="X13" s="1146"/>
      <c r="Y13" s="1146"/>
      <c r="AB13" s="1146" t="str">
        <f>+VLOOKUP(B13,'[6]SURABAYA ANTERAJA'!$C$7:$D$218,2,0)</f>
        <v>ERWIN SULISTIOWARNO</v>
      </c>
    </row>
    <row r="14" ht="12" customHeight="1">
      <c r="A14" s="1027" t="s">
        <v>24</v>
      </c>
      <c r="B14" s="228" t="s">
        <v>1818</v>
      </c>
      <c r="C14" s="1127" t="s">
        <v>1819</v>
      </c>
      <c r="D14" s="679" t="s">
        <v>26</v>
      </c>
      <c r="E14" s="679" t="s">
        <v>193</v>
      </c>
      <c r="F14" s="679" t="s">
        <v>177</v>
      </c>
      <c r="G14" s="395">
        <v>4300479</v>
      </c>
      <c r="H14" s="395"/>
      <c r="I14" s="293">
        <f t="shared" si="6"/>
        <v>210293.4231</v>
      </c>
      <c r="J14" s="293">
        <f t="shared" si="7"/>
        <v>172019.16</v>
      </c>
      <c r="K14" s="293">
        <f t="shared" si="8"/>
        <v>86009.58</v>
      </c>
      <c r="L14" s="293">
        <v>1667</v>
      </c>
      <c r="M14" s="295">
        <f t="shared" si="0"/>
        <v>4770468.1631</v>
      </c>
      <c r="N14" s="296">
        <f t="shared" si="1"/>
        <v>381637.453048</v>
      </c>
      <c r="O14" s="447">
        <f>500000+25000</f>
        <v>525000</v>
      </c>
      <c r="P14" s="447">
        <v>100000</v>
      </c>
      <c r="Q14" s="447">
        <f>19*12000</f>
        <v>228000</v>
      </c>
      <c r="R14" s="328">
        <f t="shared" si="2"/>
        <v>6005105.616148</v>
      </c>
      <c r="S14" s="328">
        <f t="shared" si="3"/>
        <v>38163.7453048</v>
      </c>
      <c r="T14" s="329">
        <f t="shared" si="4"/>
        <v>6043269.3614528</v>
      </c>
      <c r="U14" s="1272">
        <v>44378</v>
      </c>
      <c r="V14" s="155">
        <v>44469</v>
      </c>
      <c r="W14" s="1169"/>
      <c r="X14" s="1146"/>
      <c r="Y14" s="1146"/>
      <c r="AB14" s="1146" t="str">
        <f>+VLOOKUP(B14,'[6]SURABAYA ANTERAJA'!$C$7:$D$218,2,0)</f>
        <v>SURATNO</v>
      </c>
    </row>
    <row r="15" ht="12" customHeight="1">
      <c r="A15" s="1027" t="s">
        <v>24</v>
      </c>
      <c r="B15" s="228" t="s">
        <v>1820</v>
      </c>
      <c r="C15" s="1127" t="s">
        <v>1821</v>
      </c>
      <c r="D15" s="679" t="s">
        <v>54</v>
      </c>
      <c r="E15" s="679"/>
      <c r="F15" s="679"/>
      <c r="G15" s="395">
        <v>4300479</v>
      </c>
      <c r="H15" s="395"/>
      <c r="I15" s="293">
        <f t="shared" si="6"/>
        <v>210293.4231</v>
      </c>
      <c r="J15" s="293">
        <f t="shared" si="7"/>
        <v>172019.16</v>
      </c>
      <c r="K15" s="293">
        <f t="shared" si="8"/>
        <v>86009.58</v>
      </c>
      <c r="L15" s="293">
        <v>1667</v>
      </c>
      <c r="M15" s="295">
        <f t="shared" si="0"/>
        <v>4770468.1631</v>
      </c>
      <c r="N15" s="296">
        <f>+M15*8%</f>
        <v>381637.453048</v>
      </c>
      <c r="O15" s="447">
        <v>300000</v>
      </c>
      <c r="P15" s="447">
        <v>100000</v>
      </c>
      <c r="Q15" s="447">
        <f>13*10000</f>
        <v>130000</v>
      </c>
      <c r="R15" s="328">
        <f t="shared" si="2"/>
        <v>5682105.616148</v>
      </c>
      <c r="S15" s="328">
        <f t="shared" si="3"/>
        <v>38163.7453048</v>
      </c>
      <c r="T15" s="329">
        <f t="shared" si="4"/>
        <v>5720269.3614528</v>
      </c>
      <c r="U15" s="1272">
        <v>44389</v>
      </c>
      <c r="V15" s="155">
        <v>44469</v>
      </c>
      <c r="W15" s="1169"/>
      <c r="X15" s="1146"/>
      <c r="Y15" s="1146"/>
      <c r="AB15" s="1146" t="str">
        <f>+VLOOKUP(B15,'[6]SURABAYA ANTERAJA'!$C$7:$D$218,2,0)</f>
        <v>IVAN BRAMASTO</v>
      </c>
    </row>
    <row r="16" ht="15.75" customHeight="1">
      <c r="A16" s="1027" t="s">
        <v>31</v>
      </c>
      <c r="B16" s="1878" t="s">
        <v>1822</v>
      </c>
      <c r="C16" s="1031" t="s">
        <v>550</v>
      </c>
      <c r="D16" s="679" t="s">
        <v>1202</v>
      </c>
      <c r="E16" s="679" t="s">
        <v>193</v>
      </c>
      <c r="F16" s="679" t="s">
        <v>177</v>
      </c>
      <c r="G16" s="395">
        <v>4300479</v>
      </c>
      <c r="H16" s="395"/>
      <c r="I16" s="293">
        <f t="shared" si="6"/>
        <v>210293.4231</v>
      </c>
      <c r="J16" s="293">
        <f t="shared" si="7"/>
        <v>172019.16</v>
      </c>
      <c r="K16" s="293">
        <f t="shared" si="8"/>
        <v>86009.58</v>
      </c>
      <c r="L16" s="293">
        <v>1667</v>
      </c>
      <c r="M16" s="295">
        <f t="shared" si="0"/>
        <v>4770468.1631</v>
      </c>
      <c r="N16" s="296">
        <f ref="N16:N20" t="shared" si="10">+M16*8%</f>
        <v>381637.453048</v>
      </c>
      <c r="O16" s="447">
        <v>300000</v>
      </c>
      <c r="P16" s="447">
        <v>100000</v>
      </c>
      <c r="Q16" s="447">
        <f>16*10000</f>
        <v>160000</v>
      </c>
      <c r="R16" s="328">
        <f t="shared" si="2"/>
        <v>5712105.616148</v>
      </c>
      <c r="S16" s="328">
        <f t="shared" si="3"/>
        <v>38163.7453048</v>
      </c>
      <c r="T16" s="329">
        <f ref="T16:T20" t="shared" si="11">R16+S16</f>
        <v>5750269.3614528</v>
      </c>
      <c r="U16" s="1272">
        <v>44348</v>
      </c>
      <c r="V16" s="155">
        <v>44439</v>
      </c>
      <c r="W16" s="1169"/>
      <c r="X16" s="1146"/>
      <c r="Y16" s="1146"/>
      <c r="AB16" s="1146" t="str">
        <f>+VLOOKUP(B16,'[6]SURABAYA ANTERAJA'!$C$7:$D$218,2,0)</f>
        <v>BUDI SANTOSO </v>
      </c>
    </row>
    <row r="17" ht="18" customHeight="1">
      <c r="A17" s="1027" t="s">
        <v>24</v>
      </c>
      <c r="B17" s="1530" t="s">
        <v>56</v>
      </c>
      <c r="C17" s="925" t="s">
        <v>57</v>
      </c>
      <c r="D17" s="679" t="s">
        <v>26</v>
      </c>
      <c r="E17" s="679" t="s">
        <v>193</v>
      </c>
      <c r="F17" s="679" t="s">
        <v>177</v>
      </c>
      <c r="G17" s="395">
        <v>4700000</v>
      </c>
      <c r="H17" s="395"/>
      <c r="I17" s="293">
        <f t="shared" si="6"/>
        <v>210293.4231</v>
      </c>
      <c r="J17" s="293">
        <f t="shared" si="7"/>
        <v>172019.16</v>
      </c>
      <c r="K17" s="293">
        <f t="shared" si="8"/>
        <v>86009.58</v>
      </c>
      <c r="L17" s="958">
        <v>1667</v>
      </c>
      <c r="M17" s="295">
        <f t="shared" si="0"/>
        <v>5169989.1631</v>
      </c>
      <c r="N17" s="295">
        <f t="shared" si="10"/>
        <v>413599.133048</v>
      </c>
      <c r="O17" s="295">
        <f>500000+1150000</f>
        <v>1650000</v>
      </c>
      <c r="P17" s="447">
        <v>200000</v>
      </c>
      <c r="Q17" s="295">
        <f>27*12000</f>
        <v>324000</v>
      </c>
      <c r="R17" s="976">
        <f t="shared" si="2"/>
        <v>7757588.296148</v>
      </c>
      <c r="S17" s="976">
        <f t="shared" si="3"/>
        <v>41359.9133048</v>
      </c>
      <c r="T17" s="977">
        <f t="shared" si="11"/>
        <v>7798948.2094528</v>
      </c>
      <c r="U17" s="1273">
        <v>44348</v>
      </c>
      <c r="V17" s="1274">
        <v>44439</v>
      </c>
      <c r="X17" s="1146"/>
      <c r="Y17" s="1146"/>
      <c r="AB17" s="1146" t="str">
        <f>+VLOOKUP(B17,'[6]SURABAYA ANTERAJA'!$C$7:$D$218,2,0)</f>
        <v>NOVAN HARDIYANTO</v>
      </c>
    </row>
    <row r="18" ht="15.75" customHeight="1">
      <c r="A18" s="1027" t="s">
        <v>24</v>
      </c>
      <c r="B18" s="250">
        <v>2876</v>
      </c>
      <c r="C18" s="1248" t="s">
        <v>1823</v>
      </c>
      <c r="D18" s="1249" t="s">
        <v>26</v>
      </c>
      <c r="E18" s="1249" t="s">
        <v>193</v>
      </c>
      <c r="F18" s="1249" t="s">
        <v>177</v>
      </c>
      <c r="G18" s="307">
        <f>4300479</f>
        <v>4300479</v>
      </c>
      <c r="H18" s="307"/>
      <c r="I18" s="306">
        <f t="shared" si="6"/>
        <v>210293.4231</v>
      </c>
      <c r="J18" s="306">
        <f t="shared" si="7"/>
        <v>172019.16</v>
      </c>
      <c r="K18" s="306">
        <f t="shared" si="8"/>
        <v>86009.58</v>
      </c>
      <c r="L18" s="958">
        <v>1667</v>
      </c>
      <c r="M18" s="308">
        <f t="shared" si="0"/>
        <v>4770468.1631</v>
      </c>
      <c r="N18" s="995">
        <f t="shared" si="10"/>
        <v>381637.453048</v>
      </c>
      <c r="O18" s="1261">
        <v>175000</v>
      </c>
      <c r="P18" s="1261"/>
      <c r="Q18" s="1261"/>
      <c r="R18" s="342">
        <f t="shared" si="2"/>
        <v>5327105.616148</v>
      </c>
      <c r="S18" s="342">
        <f t="shared" si="3"/>
        <v>38163.7453048</v>
      </c>
      <c r="T18" s="343">
        <f t="shared" si="11"/>
        <v>5365269.3614528</v>
      </c>
      <c r="U18" s="1275">
        <v>44409</v>
      </c>
      <c r="V18" s="346">
        <v>44500</v>
      </c>
      <c r="W18" s="1276" t="s">
        <v>1824</v>
      </c>
      <c r="X18" s="1277"/>
      <c r="Y18" s="1277"/>
      <c r="Z18" s="1277"/>
      <c r="AA18" s="1277"/>
      <c r="AB18" s="1277" t="str">
        <f>+VLOOKUP(B18,'[6]SURABAYA ANTERAJA'!$C$7:$D$218,2,0)</f>
        <v>AL MUHAIMIN ANANDA SONY </v>
      </c>
    </row>
    <row r="19" ht="12" customHeight="1">
      <c r="A19" s="1027" t="s">
        <v>31</v>
      </c>
      <c r="B19" s="1875" t="s">
        <v>611</v>
      </c>
      <c r="C19" s="1250" t="s">
        <v>612</v>
      </c>
      <c r="D19" s="1251" t="s">
        <v>26</v>
      </c>
      <c r="E19" s="1251" t="s">
        <v>193</v>
      </c>
      <c r="F19" s="1251" t="s">
        <v>177</v>
      </c>
      <c r="G19" s="409">
        <v>0</v>
      </c>
      <c r="H19" s="409"/>
      <c r="I19" s="287"/>
      <c r="J19" s="287"/>
      <c r="K19" s="287"/>
      <c r="L19" s="287"/>
      <c r="M19" s="289">
        <f t="shared" si="0"/>
        <v>0</v>
      </c>
      <c r="N19" s="290">
        <f t="shared" si="10"/>
        <v>0</v>
      </c>
      <c r="O19" s="292">
        <v>500000</v>
      </c>
      <c r="P19" s="292">
        <v>100000</v>
      </c>
      <c r="Q19" s="292"/>
      <c r="R19" s="323">
        <f t="shared" si="2"/>
        <v>600000</v>
      </c>
      <c r="S19" s="323">
        <f t="shared" si="3"/>
        <v>0</v>
      </c>
      <c r="T19" s="324">
        <f t="shared" si="11"/>
        <v>600000</v>
      </c>
      <c r="U19" s="1278">
        <v>44409</v>
      </c>
      <c r="V19" s="325">
        <v>44408</v>
      </c>
      <c r="W19" s="1279" t="s">
        <v>1825</v>
      </c>
      <c r="X19" s="1203"/>
      <c r="Y19" s="1203"/>
      <c r="AB19" s="1203" t="e">
        <f>+VLOOKUP(B19,'[6]SURABAYA ANTERAJA'!$C$7:$D$218,2,0)</f>
        <v>#N/A</v>
      </c>
    </row>
    <row r="20" ht="15.75" customHeight="1">
      <c r="A20" s="1027" t="s">
        <v>31</v>
      </c>
      <c r="B20" s="1875" t="s">
        <v>1826</v>
      </c>
      <c r="C20" s="1250" t="s">
        <v>1827</v>
      </c>
      <c r="D20" s="1251" t="s">
        <v>1202</v>
      </c>
      <c r="E20" s="1251" t="s">
        <v>193</v>
      </c>
      <c r="F20" s="1251" t="s">
        <v>177</v>
      </c>
      <c r="G20" s="409">
        <f>4300479/31*7</f>
        <v>971075.903225806</v>
      </c>
      <c r="H20" s="409"/>
      <c r="I20" s="287">
        <f t="shared" si="6"/>
        <v>210293.4231</v>
      </c>
      <c r="J20" s="287">
        <f t="shared" si="7"/>
        <v>172019.16</v>
      </c>
      <c r="K20" s="287">
        <f t="shared" si="8"/>
        <v>86009.58</v>
      </c>
      <c r="L20" s="287">
        <v>1667</v>
      </c>
      <c r="M20" s="289">
        <f t="shared" si="0"/>
        <v>1441065.06632581</v>
      </c>
      <c r="N20" s="290">
        <f t="shared" si="10"/>
        <v>115285.205306065</v>
      </c>
      <c r="O20" s="292">
        <v>300000</v>
      </c>
      <c r="P20" s="292">
        <v>100000</v>
      </c>
      <c r="Q20" s="292"/>
      <c r="R20" s="323">
        <f t="shared" si="2"/>
        <v>1956350.27163187</v>
      </c>
      <c r="S20" s="323">
        <f t="shared" si="3"/>
        <v>11528.5205306065</v>
      </c>
      <c r="T20" s="324">
        <f t="shared" si="11"/>
        <v>1967878.79216248</v>
      </c>
      <c r="U20" s="1278">
        <v>44378</v>
      </c>
      <c r="V20" s="325">
        <v>44415</v>
      </c>
      <c r="W20" s="1279" t="s">
        <v>1828</v>
      </c>
      <c r="X20" s="1203"/>
      <c r="Y20" s="1203"/>
      <c r="Z20" s="1203"/>
      <c r="AA20" s="1203"/>
      <c r="AB20" s="1203" t="e">
        <f>+VLOOKUP(B20,'[6]SURABAYA ANTERAJA'!$C$7:$D$218,2,0)</f>
        <v>#N/A</v>
      </c>
    </row>
    <row r="21" ht="12" customHeight="1">
      <c r="A21" s="1748" t="s">
        <v>30</v>
      </c>
      <c r="B21" s="1885"/>
      <c r="C21" s="1748"/>
      <c r="D21" s="1748"/>
      <c r="E21" s="1748"/>
      <c r="F21" s="1748"/>
      <c r="G21" s="386">
        <f>SUM(G7:G20)</f>
        <v>52976344.9032258</v>
      </c>
      <c r="H21" s="386">
        <f ref="H21:T21" t="shared" si="12">SUM(H7:H20)</f>
        <v>0</v>
      </c>
      <c r="I21" s="386">
        <f t="shared" si="12"/>
        <v>2733814.5003</v>
      </c>
      <c r="J21" s="386">
        <f t="shared" si="12"/>
        <v>2236249.08</v>
      </c>
      <c r="K21" s="386">
        <f t="shared" si="12"/>
        <v>1118124.54</v>
      </c>
      <c r="L21" s="386">
        <f t="shared" si="12"/>
        <v>21671</v>
      </c>
      <c r="M21" s="386">
        <f t="shared" si="12"/>
        <v>59086204.0235258</v>
      </c>
      <c r="N21" s="386">
        <f t="shared" si="12"/>
        <v>4726896.32188207</v>
      </c>
      <c r="O21" s="386">
        <f t="shared" si="12"/>
        <v>6650000</v>
      </c>
      <c r="P21" s="386">
        <f t="shared" si="12"/>
        <v>1400000</v>
      </c>
      <c r="Q21" s="386">
        <f t="shared" si="12"/>
        <v>1338000</v>
      </c>
      <c r="R21" s="386">
        <f t="shared" si="12"/>
        <v>73201100.3454079</v>
      </c>
      <c r="S21" s="386">
        <f t="shared" si="12"/>
        <v>472689.632188206</v>
      </c>
      <c r="T21" s="386">
        <f t="shared" si="12"/>
        <v>73673789.9775961</v>
      </c>
      <c r="U21" s="1238"/>
      <c r="V21" s="332"/>
      <c r="W21" s="1239"/>
      <c r="AB21" s="1288" t="e">
        <f>+VLOOKUP(B21,'[6]SURABAYA ANTERAJA'!$C$7:$D$218,2,0)</f>
        <v>#N/A</v>
      </c>
    </row>
    <row r="22" ht="12" customHeight="1">
      <c r="A22" s="318" t="s">
        <v>30</v>
      </c>
      <c r="B22" s="1886"/>
      <c r="C22" s="1252"/>
      <c r="D22" s="318"/>
      <c r="E22" s="318"/>
      <c r="F22" s="318"/>
      <c r="G22" s="1253"/>
      <c r="H22" s="1253"/>
      <c r="I22" s="1262"/>
      <c r="J22" s="1262"/>
      <c r="K22" s="1262"/>
      <c r="L22" s="1262"/>
      <c r="M22" s="1263"/>
      <c r="N22" s="1263"/>
      <c r="O22" s="1263"/>
      <c r="P22" s="1263"/>
      <c r="Q22" s="1263"/>
      <c r="R22" s="1280"/>
      <c r="S22" s="1280"/>
      <c r="T22" s="1281"/>
      <c r="U22" s="1282"/>
      <c r="V22" s="1283"/>
      <c r="W22" s="1284"/>
    </row>
    <row r="23" ht="33" customHeight="1">
      <c r="A23" s="1254" t="s">
        <v>31</v>
      </c>
      <c r="B23" s="1883" t="s">
        <v>3</v>
      </c>
      <c r="C23" s="1255" t="s">
        <v>4</v>
      </c>
      <c r="D23" s="1255" t="s">
        <v>5</v>
      </c>
      <c r="E23" s="1255" t="s">
        <v>6</v>
      </c>
      <c r="F23" s="1256" t="s">
        <v>7</v>
      </c>
      <c r="G23" s="1213" t="s">
        <v>1805</v>
      </c>
      <c r="H23" s="219" t="s">
        <v>9</v>
      </c>
      <c r="I23" s="1264" t="s">
        <v>10</v>
      </c>
      <c r="J23" s="1265" t="s">
        <v>11</v>
      </c>
      <c r="K23" s="1265" t="s">
        <v>12</v>
      </c>
      <c r="L23" s="1266" t="s">
        <v>13</v>
      </c>
      <c r="M23" s="1266" t="s">
        <v>14</v>
      </c>
      <c r="N23" s="1267" t="s">
        <v>15</v>
      </c>
      <c r="O23" s="1268" t="s">
        <v>1536</v>
      </c>
      <c r="P23" s="1044" t="s">
        <v>17</v>
      </c>
      <c r="Q23" s="1285" t="s">
        <v>1172</v>
      </c>
      <c r="R23" s="1286" t="s">
        <v>19</v>
      </c>
      <c r="S23" s="1287" t="s">
        <v>20</v>
      </c>
      <c r="T23" s="1287" t="s">
        <v>21</v>
      </c>
      <c r="U23" s="1233" t="s">
        <v>22</v>
      </c>
      <c r="V23" s="1234" t="s">
        <v>23</v>
      </c>
    </row>
    <row r="24" ht="15.75" customHeight="1">
      <c r="A24" s="1027" t="s">
        <v>24</v>
      </c>
      <c r="B24" s="239" t="s">
        <v>1829</v>
      </c>
      <c r="C24" s="1153" t="s">
        <v>1830</v>
      </c>
      <c r="D24" s="491" t="s">
        <v>34</v>
      </c>
      <c r="E24" s="491" t="s">
        <v>193</v>
      </c>
      <c r="F24" s="491" t="s">
        <v>177</v>
      </c>
      <c r="G24" s="304">
        <v>4300479</v>
      </c>
      <c r="H24" s="1045">
        <v>0</v>
      </c>
      <c r="I24" s="298">
        <f ref="I24:I55" t="shared" si="13">+$I$4*4.89%</f>
        <v>210293.4231</v>
      </c>
      <c r="J24" s="298">
        <f ref="J24:J55" t="shared" si="14">+$I$4*4%</f>
        <v>172019.16</v>
      </c>
      <c r="K24" s="298">
        <f ref="K24:K55" t="shared" si="15">+$I$4*2%</f>
        <v>86009.58</v>
      </c>
      <c r="L24" s="298">
        <v>15000</v>
      </c>
      <c r="M24" s="295">
        <f>SUM(G24:L24)</f>
        <v>4783801.1631</v>
      </c>
      <c r="N24" s="303">
        <f ref="N24:N55" t="shared" si="16">+M24*8%</f>
        <v>382704.093048</v>
      </c>
      <c r="O24" s="399">
        <v>1030000</v>
      </c>
      <c r="P24" s="399"/>
      <c r="Q24" s="399"/>
      <c r="R24" s="335">
        <f ref="R24:R55" t="shared" si="17">SUM(M24:Q24)</f>
        <v>6196505.256148</v>
      </c>
      <c r="S24" s="335">
        <f ref="S24:S55" t="shared" si="18">N24*0.1</f>
        <v>38270.4093048</v>
      </c>
      <c r="T24" s="336">
        <f ref="T24:T55" t="shared" si="19">R24+S24</f>
        <v>6234775.6654528</v>
      </c>
      <c r="U24" s="417">
        <v>44351</v>
      </c>
      <c r="V24" s="337">
        <v>44439</v>
      </c>
      <c r="W24" s="1175"/>
      <c r="X24" s="1288"/>
      <c r="Y24" s="1288"/>
      <c r="Z24" s="1292"/>
      <c r="AA24" s="1292"/>
      <c r="AB24" s="1288" t="str">
        <f>+VLOOKUP(B24,'[6]SURABAYA ANTERAJA'!$C$7:$D$218,2,0)</f>
        <v>ABD. WACHID</v>
      </c>
    </row>
    <row r="25" ht="15.75" customHeight="1">
      <c r="A25" s="1027" t="s">
        <v>24</v>
      </c>
      <c r="B25" s="1257" t="s">
        <v>575</v>
      </c>
      <c r="C25" s="1258" t="s">
        <v>576</v>
      </c>
      <c r="D25" s="1027" t="s">
        <v>34</v>
      </c>
      <c r="E25" s="1027" t="s">
        <v>193</v>
      </c>
      <c r="F25" s="1027" t="s">
        <v>177</v>
      </c>
      <c r="G25" s="1045">
        <v>4300479</v>
      </c>
      <c r="H25" s="1045">
        <v>0</v>
      </c>
      <c r="I25" s="1225">
        <f t="shared" si="13"/>
        <v>210293.4231</v>
      </c>
      <c r="J25" s="1225">
        <f t="shared" si="14"/>
        <v>172019.16</v>
      </c>
      <c r="K25" s="1225">
        <f t="shared" si="15"/>
        <v>86009.58</v>
      </c>
      <c r="L25" s="1225">
        <v>15000</v>
      </c>
      <c r="M25" s="295">
        <f ref="M25:M88" t="shared" si="20">SUM(G25:L25)</f>
        <v>4783801.1631</v>
      </c>
      <c r="N25" s="1226">
        <f t="shared" si="16"/>
        <v>382704.093048</v>
      </c>
      <c r="O25" s="399">
        <v>810000</v>
      </c>
      <c r="P25" s="1227"/>
      <c r="Q25" s="1227"/>
      <c r="R25" s="1235">
        <f t="shared" si="17"/>
        <v>5976505.256148</v>
      </c>
      <c r="S25" s="1235">
        <f t="shared" si="18"/>
        <v>38270.4093048</v>
      </c>
      <c r="T25" s="1236">
        <f t="shared" si="19"/>
        <v>6014775.6654528</v>
      </c>
      <c r="U25" s="1270">
        <v>44378</v>
      </c>
      <c r="V25" s="1271">
        <v>44469</v>
      </c>
      <c r="W25" s="1062"/>
      <c r="X25" s="1288"/>
      <c r="Y25" s="1288"/>
      <c r="Z25" s="1293"/>
      <c r="AA25" s="1293"/>
      <c r="AB25" s="1288" t="str">
        <f>+VLOOKUP(B25,'[6]SURABAYA ANTERAJA'!$C$7:$D$218,2,0)</f>
        <v>ABDUL KHOLIQ JUNAIDI</v>
      </c>
    </row>
    <row r="26" ht="15.75" customHeight="1">
      <c r="A26" s="1027" t="s">
        <v>24</v>
      </c>
      <c r="B26" s="228">
        <v>2207</v>
      </c>
      <c r="C26" s="1127" t="s">
        <v>1831</v>
      </c>
      <c r="D26" s="679" t="s">
        <v>34</v>
      </c>
      <c r="E26" s="679" t="s">
        <v>193</v>
      </c>
      <c r="F26" s="679" t="s">
        <v>177</v>
      </c>
      <c r="G26" s="395">
        <v>4300479</v>
      </c>
      <c r="H26" s="1045">
        <v>0</v>
      </c>
      <c r="I26" s="293">
        <f t="shared" si="13"/>
        <v>210293.4231</v>
      </c>
      <c r="J26" s="293">
        <f t="shared" si="14"/>
        <v>172019.16</v>
      </c>
      <c r="K26" s="293">
        <f t="shared" si="15"/>
        <v>86009.58</v>
      </c>
      <c r="L26" s="293">
        <v>15000</v>
      </c>
      <c r="M26" s="295">
        <f t="shared" si="20"/>
        <v>4783801.1631</v>
      </c>
      <c r="N26" s="296">
        <f t="shared" si="16"/>
        <v>382704.093048</v>
      </c>
      <c r="O26" s="399">
        <v>495000</v>
      </c>
      <c r="P26" s="447"/>
      <c r="Q26" s="447"/>
      <c r="R26" s="328">
        <f t="shared" si="17"/>
        <v>5661505.256148</v>
      </c>
      <c r="S26" s="328">
        <f t="shared" si="18"/>
        <v>38270.4093048</v>
      </c>
      <c r="T26" s="329">
        <f t="shared" si="19"/>
        <v>5699775.6654528</v>
      </c>
      <c r="U26" s="1272">
        <v>44409</v>
      </c>
      <c r="V26" s="155">
        <v>44500</v>
      </c>
      <c r="W26" s="1169"/>
      <c r="X26" s="1288"/>
      <c r="Y26" s="1288"/>
      <c r="Z26" s="1294"/>
      <c r="AA26" s="1294"/>
      <c r="AB26" s="1288" t="str">
        <f>+VLOOKUP(B26,'[6]SURABAYA ANTERAJA'!$C$7:$D$218,2,0)</f>
        <v>ACHMAD EFENDI</v>
      </c>
    </row>
    <row r="27" ht="15.75" customHeight="1">
      <c r="A27" s="1027" t="s">
        <v>24</v>
      </c>
      <c r="B27" s="1257" t="s">
        <v>1832</v>
      </c>
      <c r="C27" s="1258" t="s">
        <v>1833</v>
      </c>
      <c r="D27" s="1027" t="s">
        <v>34</v>
      </c>
      <c r="E27" s="1027" t="s">
        <v>193</v>
      </c>
      <c r="F27" s="1027" t="s">
        <v>177</v>
      </c>
      <c r="G27" s="1045">
        <v>4300479</v>
      </c>
      <c r="H27" s="1045">
        <v>0</v>
      </c>
      <c r="I27" s="1225">
        <f t="shared" si="13"/>
        <v>210293.4231</v>
      </c>
      <c r="J27" s="1225">
        <f t="shared" si="14"/>
        <v>172019.16</v>
      </c>
      <c r="K27" s="1225">
        <f t="shared" si="15"/>
        <v>86009.58</v>
      </c>
      <c r="L27" s="1225">
        <v>15000</v>
      </c>
      <c r="M27" s="295">
        <f t="shared" si="20"/>
        <v>4783801.1631</v>
      </c>
      <c r="N27" s="1226">
        <f t="shared" si="16"/>
        <v>382704.093048</v>
      </c>
      <c r="O27" s="399">
        <f>+VLOOKUP(C27,[7]Summary!$C$8:$E$205,3,0)</f>
        <v>940000</v>
      </c>
      <c r="P27" s="1227"/>
      <c r="Q27" s="1227"/>
      <c r="R27" s="1235">
        <f t="shared" si="17"/>
        <v>6106505.256147999</v>
      </c>
      <c r="S27" s="1235">
        <f t="shared" si="18"/>
        <v>38270.4093048</v>
      </c>
      <c r="T27" s="1236">
        <f t="shared" si="19"/>
        <v>6144775.6654528</v>
      </c>
      <c r="U27" s="1270">
        <v>44409</v>
      </c>
      <c r="V27" s="1271">
        <v>44439</v>
      </c>
      <c r="W27" s="1062"/>
      <c r="X27" s="1288"/>
      <c r="Y27" s="1288"/>
      <c r="Z27" s="1293"/>
      <c r="AA27" s="1293"/>
      <c r="AB27" s="1288" t="str">
        <f>+VLOOKUP(B27,'[6]SURABAYA ANTERAJA'!$C$7:$D$218,2,0)</f>
        <v>ACHMAD HARIS SUTRISNO</v>
      </c>
    </row>
    <row r="28" ht="15.75" customHeight="1">
      <c r="A28" s="1027" t="s">
        <v>24</v>
      </c>
      <c r="B28" s="1257" t="s">
        <v>1834</v>
      </c>
      <c r="C28" s="1026" t="s">
        <v>1835</v>
      </c>
      <c r="D28" s="1027" t="s">
        <v>34</v>
      </c>
      <c r="E28" s="1027" t="s">
        <v>193</v>
      </c>
      <c r="F28" s="1027" t="s">
        <v>177</v>
      </c>
      <c r="G28" s="1045">
        <v>4300479</v>
      </c>
      <c r="H28" s="1045">
        <v>0</v>
      </c>
      <c r="I28" s="1225">
        <f t="shared" si="13"/>
        <v>210293.4231</v>
      </c>
      <c r="J28" s="1225">
        <f t="shared" si="14"/>
        <v>172019.16</v>
      </c>
      <c r="K28" s="1225">
        <f t="shared" si="15"/>
        <v>86009.58</v>
      </c>
      <c r="L28" s="1225">
        <v>15000</v>
      </c>
      <c r="M28" s="295">
        <f t="shared" si="20"/>
        <v>4783801.1631</v>
      </c>
      <c r="N28" s="1226">
        <f t="shared" si="16"/>
        <v>382704.093048</v>
      </c>
      <c r="O28" s="399">
        <v>757500</v>
      </c>
      <c r="P28" s="1227"/>
      <c r="Q28" s="1227"/>
      <c r="R28" s="1235">
        <f t="shared" si="17"/>
        <v>5924005.256148</v>
      </c>
      <c r="S28" s="1235">
        <f t="shared" si="18"/>
        <v>38270.4093048</v>
      </c>
      <c r="T28" s="1236">
        <f t="shared" si="19"/>
        <v>5962275.6654528</v>
      </c>
      <c r="U28" s="1270">
        <v>44378</v>
      </c>
      <c r="V28" s="1271">
        <v>44469</v>
      </c>
      <c r="W28" s="1062"/>
      <c r="X28" s="1288"/>
      <c r="Y28" s="1288"/>
      <c r="Z28" s="1293"/>
      <c r="AA28" s="1293"/>
      <c r="AB28" s="1288" t="str">
        <f>+VLOOKUP(B28,'[6]SURABAYA ANTERAJA'!$C$7:$D$218,2,0)</f>
        <v>ACHMAD INDRA CAHYADI</v>
      </c>
    </row>
    <row r="29" ht="15.75" customHeight="1">
      <c r="A29" s="1027" t="s">
        <v>24</v>
      </c>
      <c r="B29" s="239" t="s">
        <v>1836</v>
      </c>
      <c r="C29" s="1039" t="s">
        <v>1837</v>
      </c>
      <c r="D29" s="491" t="s">
        <v>34</v>
      </c>
      <c r="E29" s="491" t="s">
        <v>193</v>
      </c>
      <c r="F29" s="491" t="s">
        <v>177</v>
      </c>
      <c r="G29" s="304">
        <v>4300479</v>
      </c>
      <c r="H29" s="1045">
        <v>-172019.16</v>
      </c>
      <c r="I29" s="298">
        <f t="shared" si="13"/>
        <v>210293.4231</v>
      </c>
      <c r="J29" s="298">
        <f t="shared" si="14"/>
        <v>172019.16</v>
      </c>
      <c r="K29" s="298">
        <f t="shared" si="15"/>
        <v>86009.58</v>
      </c>
      <c r="L29" s="298">
        <v>15000</v>
      </c>
      <c r="M29" s="295">
        <f t="shared" si="20"/>
        <v>4611782.0031</v>
      </c>
      <c r="N29" s="303">
        <f t="shared" si="16"/>
        <v>368942.560248</v>
      </c>
      <c r="O29" s="399">
        <v>740000</v>
      </c>
      <c r="P29" s="399"/>
      <c r="Q29" s="399"/>
      <c r="R29" s="335">
        <f t="shared" si="17"/>
        <v>5720724.563348</v>
      </c>
      <c r="S29" s="335">
        <f t="shared" si="18"/>
        <v>36894.2560248</v>
      </c>
      <c r="T29" s="336">
        <f t="shared" si="19"/>
        <v>5757618.8193728</v>
      </c>
      <c r="U29" s="417">
        <v>44409</v>
      </c>
      <c r="V29" s="337">
        <v>44500</v>
      </c>
      <c r="W29" s="1175"/>
      <c r="X29" s="1288"/>
      <c r="Y29" s="1288"/>
      <c r="Z29" s="1292"/>
      <c r="AA29" s="1292"/>
      <c r="AB29" s="1288" t="str">
        <f>+VLOOKUP(B29,'[6]SURABAYA ANTERAJA'!$C$7:$D$218,2,0)</f>
        <v>ACHMAD FERRY.A</v>
      </c>
    </row>
    <row r="30" ht="15.75" customHeight="1">
      <c r="A30" s="1027" t="s">
        <v>24</v>
      </c>
      <c r="B30" s="239" t="s">
        <v>1838</v>
      </c>
      <c r="C30" s="1153" t="s">
        <v>1839</v>
      </c>
      <c r="D30" s="491" t="s">
        <v>34</v>
      </c>
      <c r="E30" s="491" t="s">
        <v>193</v>
      </c>
      <c r="F30" s="491" t="s">
        <v>177</v>
      </c>
      <c r="G30" s="304">
        <v>4300479</v>
      </c>
      <c r="H30" s="1045">
        <v>0</v>
      </c>
      <c r="I30" s="298">
        <f t="shared" si="13"/>
        <v>210293.4231</v>
      </c>
      <c r="J30" s="298">
        <f t="shared" si="14"/>
        <v>172019.16</v>
      </c>
      <c r="K30" s="298">
        <f t="shared" si="15"/>
        <v>86009.58</v>
      </c>
      <c r="L30" s="298">
        <v>15000</v>
      </c>
      <c r="M30" s="295">
        <f t="shared" si="20"/>
        <v>4783801.1631</v>
      </c>
      <c r="N30" s="303">
        <f t="shared" si="16"/>
        <v>382704.093048</v>
      </c>
      <c r="O30" s="399">
        <f>+VLOOKUP(C30,[7]Summary!$C$8:$E$205,3,0)</f>
        <v>750000</v>
      </c>
      <c r="P30" s="399"/>
      <c r="Q30" s="399"/>
      <c r="R30" s="335">
        <f t="shared" si="17"/>
        <v>5916505.256147999</v>
      </c>
      <c r="S30" s="335">
        <f t="shared" si="18"/>
        <v>38270.4093048</v>
      </c>
      <c r="T30" s="336">
        <f t="shared" si="19"/>
        <v>5954775.6654528</v>
      </c>
      <c r="U30" s="1174">
        <v>44409</v>
      </c>
      <c r="V30" s="337">
        <v>44500</v>
      </c>
      <c r="W30" s="1175"/>
      <c r="Z30" s="1292"/>
      <c r="AA30" s="1292"/>
      <c r="AB30" s="1288" t="str">
        <f>+VLOOKUP(B30,'[6]SURABAYA ANTERAJA'!$C$7:$D$218,2,0)</f>
        <v>ADE GUSTIAWAN</v>
      </c>
    </row>
    <row r="31" ht="15.75" customHeight="1">
      <c r="A31" s="1027" t="s">
        <v>24</v>
      </c>
      <c r="B31" s="1257" t="s">
        <v>561</v>
      </c>
      <c r="C31" s="1258" t="s">
        <v>562</v>
      </c>
      <c r="D31" s="1027" t="s">
        <v>34</v>
      </c>
      <c r="E31" s="1027" t="s">
        <v>193</v>
      </c>
      <c r="F31" s="1027" t="s">
        <v>177</v>
      </c>
      <c r="G31" s="1045">
        <v>4300479</v>
      </c>
      <c r="H31" s="1045">
        <v>-344038.32</v>
      </c>
      <c r="I31" s="1225">
        <f t="shared" si="13"/>
        <v>210293.4231</v>
      </c>
      <c r="J31" s="1225">
        <f t="shared" si="14"/>
        <v>172019.16</v>
      </c>
      <c r="K31" s="1225">
        <f t="shared" si="15"/>
        <v>86009.58</v>
      </c>
      <c r="L31" s="1225">
        <v>15000</v>
      </c>
      <c r="M31" s="295">
        <f t="shared" si="20"/>
        <v>4439762.8431</v>
      </c>
      <c r="N31" s="1226">
        <f t="shared" si="16"/>
        <v>355181.027448</v>
      </c>
      <c r="O31" s="399">
        <f>+VLOOKUP(C31,[7]Summary!$C$8:$E$205,3,0)</f>
        <v>298000</v>
      </c>
      <c r="P31" s="1227"/>
      <c r="Q31" s="1227"/>
      <c r="R31" s="1235">
        <f t="shared" si="17"/>
        <v>5092943.870548001</v>
      </c>
      <c r="S31" s="1235">
        <f t="shared" si="18"/>
        <v>35518.1027448</v>
      </c>
      <c r="T31" s="1236">
        <f t="shared" si="19"/>
        <v>5128461.973292801</v>
      </c>
      <c r="U31" s="1289">
        <v>44378</v>
      </c>
      <c r="V31" s="1271">
        <v>44469</v>
      </c>
      <c r="W31" s="1062"/>
      <c r="Z31" s="1293"/>
      <c r="AA31" s="1293"/>
      <c r="AB31" s="1288" t="str">
        <f>+VLOOKUP(B31,'[6]SURABAYA ANTERAJA'!$C$7:$D$218,2,0)</f>
        <v>ADE IRAWAN</v>
      </c>
    </row>
    <row r="32" ht="15.75" customHeight="1">
      <c r="A32" s="1027" t="s">
        <v>24</v>
      </c>
      <c r="B32" s="1025" t="s">
        <v>587</v>
      </c>
      <c r="C32" s="1026" t="s">
        <v>588</v>
      </c>
      <c r="D32" s="1027" t="s">
        <v>34</v>
      </c>
      <c r="E32" s="1215" t="s">
        <v>193</v>
      </c>
      <c r="F32" s="1215" t="s">
        <v>177</v>
      </c>
      <c r="G32" s="1045">
        <v>4300479</v>
      </c>
      <c r="H32" s="1045">
        <v>0</v>
      </c>
      <c r="I32" s="1225">
        <f t="shared" si="13"/>
        <v>210293.4231</v>
      </c>
      <c r="J32" s="1225">
        <f t="shared" si="14"/>
        <v>172019.16</v>
      </c>
      <c r="K32" s="1225">
        <f t="shared" si="15"/>
        <v>86009.58</v>
      </c>
      <c r="L32" s="1225">
        <v>15000</v>
      </c>
      <c r="M32" s="295">
        <f t="shared" si="20"/>
        <v>4783801.1631</v>
      </c>
      <c r="N32" s="1226">
        <f t="shared" si="16"/>
        <v>382704.093048</v>
      </c>
      <c r="O32" s="399">
        <f>+VLOOKUP(C32,[7]Summary!$C$8:$E$205,3,0)</f>
        <v>697500</v>
      </c>
      <c r="P32" s="1227"/>
      <c r="Q32" s="1227"/>
      <c r="R32" s="1235">
        <f t="shared" si="17"/>
        <v>5864005.256147999</v>
      </c>
      <c r="S32" s="1235">
        <f t="shared" si="18"/>
        <v>38270.4093048</v>
      </c>
      <c r="T32" s="1236">
        <f t="shared" si="19"/>
        <v>5902275.6654528</v>
      </c>
      <c r="U32" s="1270">
        <v>44378</v>
      </c>
      <c r="V32" s="1271">
        <v>44469</v>
      </c>
      <c r="W32" s="1062"/>
      <c r="Z32" s="1293"/>
      <c r="AA32" s="1293"/>
      <c r="AB32" s="1288" t="str">
        <f>+VLOOKUP(B32,'[6]SURABAYA ANTERAJA'!$C$7:$D$218,2,0)</f>
        <v>ADE OKY DWI CHRISTANTO</v>
      </c>
    </row>
    <row r="33" ht="15.75" customHeight="1">
      <c r="A33" s="1027" t="s">
        <v>24</v>
      </c>
      <c r="B33" s="358" t="s">
        <v>1840</v>
      </c>
      <c r="C33" s="1031" t="s">
        <v>1841</v>
      </c>
      <c r="D33" s="679" t="s">
        <v>34</v>
      </c>
      <c r="E33" s="589" t="s">
        <v>193</v>
      </c>
      <c r="F33" s="589" t="s">
        <v>177</v>
      </c>
      <c r="G33" s="395">
        <v>4300479</v>
      </c>
      <c r="H33" s="1045">
        <v>-344038.32</v>
      </c>
      <c r="I33" s="293">
        <f t="shared" si="13"/>
        <v>210293.4231</v>
      </c>
      <c r="J33" s="293">
        <f t="shared" si="14"/>
        <v>172019.16</v>
      </c>
      <c r="K33" s="293">
        <f t="shared" si="15"/>
        <v>86009.58</v>
      </c>
      <c r="L33" s="293">
        <v>15000</v>
      </c>
      <c r="M33" s="295">
        <f t="shared" si="20"/>
        <v>4439762.8431</v>
      </c>
      <c r="N33" s="296">
        <f t="shared" si="16"/>
        <v>355181.027448</v>
      </c>
      <c r="O33" s="399">
        <f>+VLOOKUP(C33,[7]Summary!$C$8:$E$205,3,0)</f>
        <v>840000</v>
      </c>
      <c r="P33" s="447"/>
      <c r="Q33" s="447"/>
      <c r="R33" s="328">
        <f t="shared" si="17"/>
        <v>5634943.870548001</v>
      </c>
      <c r="S33" s="328">
        <f t="shared" si="18"/>
        <v>35518.1027448</v>
      </c>
      <c r="T33" s="329">
        <f t="shared" si="19"/>
        <v>5670461.973292801</v>
      </c>
      <c r="U33" s="1272">
        <v>44378</v>
      </c>
      <c r="V33" s="155">
        <v>44469</v>
      </c>
      <c r="W33" s="1169"/>
      <c r="Z33" s="1294"/>
      <c r="AA33" s="1294"/>
      <c r="AB33" s="1288" t="str">
        <f>+VLOOKUP(B33,'[6]SURABAYA ANTERAJA'!$C$7:$D$218,2,0)</f>
        <v>AGAM RACHMAN</v>
      </c>
    </row>
    <row r="34" ht="15.75" customHeight="1">
      <c r="A34" s="1027" t="s">
        <v>24</v>
      </c>
      <c r="B34" s="1025" t="s">
        <v>1842</v>
      </c>
      <c r="C34" s="1026" t="s">
        <v>1843</v>
      </c>
      <c r="D34" s="1027" t="s">
        <v>34</v>
      </c>
      <c r="E34" s="1215" t="s">
        <v>193</v>
      </c>
      <c r="F34" s="1215" t="s">
        <v>177</v>
      </c>
      <c r="G34" s="1045">
        <v>4300479</v>
      </c>
      <c r="H34" s="1045">
        <v>0</v>
      </c>
      <c r="I34" s="1225">
        <f t="shared" si="13"/>
        <v>210293.4231</v>
      </c>
      <c r="J34" s="1225">
        <f t="shared" si="14"/>
        <v>172019.16</v>
      </c>
      <c r="K34" s="1225">
        <f t="shared" si="15"/>
        <v>86009.58</v>
      </c>
      <c r="L34" s="1225">
        <v>15000</v>
      </c>
      <c r="M34" s="295">
        <f t="shared" si="20"/>
        <v>4783801.1631</v>
      </c>
      <c r="N34" s="1226">
        <f t="shared" si="16"/>
        <v>382704.093048</v>
      </c>
      <c r="O34" s="399">
        <f>+VLOOKUP(C34,[7]Summary!$C$8:$E$205,3,0)</f>
        <v>450000</v>
      </c>
      <c r="P34" s="1227"/>
      <c r="Q34" s="1227"/>
      <c r="R34" s="1235">
        <f t="shared" si="17"/>
        <v>5616505.256147999</v>
      </c>
      <c r="S34" s="1235">
        <f t="shared" si="18"/>
        <v>38270.4093048</v>
      </c>
      <c r="T34" s="1236">
        <f t="shared" si="19"/>
        <v>5654775.6654528</v>
      </c>
      <c r="U34" s="1270">
        <v>44409</v>
      </c>
      <c r="V34" s="1271">
        <v>44439</v>
      </c>
      <c r="W34" s="1062"/>
      <c r="AB34" s="1288" t="str">
        <f>+VLOOKUP(B34,'[6]SURABAYA ANTERAJA'!$C$7:$D$218,2,0)</f>
        <v>AGUNG PRASETYO </v>
      </c>
    </row>
    <row r="35" ht="15.75" customHeight="1">
      <c r="A35" s="1027" t="s">
        <v>24</v>
      </c>
      <c r="B35" s="358" t="s">
        <v>1844</v>
      </c>
      <c r="C35" s="1031" t="s">
        <v>1845</v>
      </c>
      <c r="D35" s="679" t="s">
        <v>34</v>
      </c>
      <c r="E35" s="589" t="s">
        <v>193</v>
      </c>
      <c r="F35" s="589" t="s">
        <v>177</v>
      </c>
      <c r="G35" s="395">
        <v>4300479</v>
      </c>
      <c r="H35" s="1045">
        <v>-172019.16</v>
      </c>
      <c r="I35" s="293">
        <f t="shared" si="13"/>
        <v>210293.4231</v>
      </c>
      <c r="J35" s="293">
        <f t="shared" si="14"/>
        <v>172019.16</v>
      </c>
      <c r="K35" s="293">
        <f t="shared" si="15"/>
        <v>86009.58</v>
      </c>
      <c r="L35" s="293">
        <v>15000</v>
      </c>
      <c r="M35" s="295">
        <f t="shared" si="20"/>
        <v>4611782.0031</v>
      </c>
      <c r="N35" s="296">
        <f t="shared" si="16"/>
        <v>368942.560248</v>
      </c>
      <c r="O35" s="399">
        <f>+VLOOKUP(C35,[7]Summary!$C$8:$E$205,3,0)</f>
        <v>395000</v>
      </c>
      <c r="P35" s="447"/>
      <c r="Q35" s="447"/>
      <c r="R35" s="328">
        <f t="shared" si="17"/>
        <v>5375724.563348</v>
      </c>
      <c r="S35" s="328">
        <f t="shared" si="18"/>
        <v>36894.2560248</v>
      </c>
      <c r="T35" s="329">
        <f t="shared" si="19"/>
        <v>5412618.8193728</v>
      </c>
      <c r="U35" s="1272">
        <v>44409</v>
      </c>
      <c r="V35" s="155">
        <v>44500</v>
      </c>
      <c r="W35" s="1169"/>
      <c r="Z35" s="1294"/>
      <c r="AA35" s="1294"/>
      <c r="AB35" s="1288" t="str">
        <f>+VLOOKUP(B35,'[6]SURABAYA ANTERAJA'!$C$7:$D$218,2,0)</f>
        <v>AGUS KHOIRUL ANWAR</v>
      </c>
    </row>
    <row r="36" ht="15.75" customHeight="1">
      <c r="A36" s="1027" t="s">
        <v>24</v>
      </c>
      <c r="B36" s="245" t="s">
        <v>1846</v>
      </c>
      <c r="C36" s="1039" t="s">
        <v>1847</v>
      </c>
      <c r="D36" s="491" t="s">
        <v>34</v>
      </c>
      <c r="E36" s="366" t="s">
        <v>193</v>
      </c>
      <c r="F36" s="366" t="s">
        <v>177</v>
      </c>
      <c r="G36" s="304">
        <v>4300479</v>
      </c>
      <c r="H36" s="1045">
        <v>0</v>
      </c>
      <c r="I36" s="298">
        <f t="shared" si="13"/>
        <v>210293.4231</v>
      </c>
      <c r="J36" s="298">
        <f t="shared" si="14"/>
        <v>172019.16</v>
      </c>
      <c r="K36" s="298">
        <f t="shared" si="15"/>
        <v>86009.58</v>
      </c>
      <c r="L36" s="298">
        <v>15000</v>
      </c>
      <c r="M36" s="295">
        <f t="shared" si="20"/>
        <v>4783801.1631</v>
      </c>
      <c r="N36" s="303">
        <f t="shared" si="16"/>
        <v>382704.093048</v>
      </c>
      <c r="O36" s="399">
        <f>+VLOOKUP(C36,[7]Summary!$C$8:$E$205,3,0)</f>
        <v>700000</v>
      </c>
      <c r="P36" s="399"/>
      <c r="Q36" s="399"/>
      <c r="R36" s="335">
        <f t="shared" si="17"/>
        <v>5866505.256147999</v>
      </c>
      <c r="S36" s="335">
        <f t="shared" si="18"/>
        <v>38270.4093048</v>
      </c>
      <c r="T36" s="336">
        <f t="shared" si="19"/>
        <v>5904775.6654528</v>
      </c>
      <c r="U36" s="417">
        <v>44348</v>
      </c>
      <c r="V36" s="337">
        <v>44439</v>
      </c>
      <c r="W36" s="1290"/>
      <c r="Z36" s="1146"/>
      <c r="AA36" s="1146"/>
      <c r="AB36" s="1288" t="str">
        <f>+VLOOKUP(B36,'[6]SURABAYA ANTERAJA'!$C$7:$D$218,2,0)</f>
        <v>AGUS TRIYONO</v>
      </c>
    </row>
    <row r="37" ht="15.75" customHeight="1">
      <c r="A37" s="1027" t="s">
        <v>24</v>
      </c>
      <c r="B37" s="1025" t="s">
        <v>1848</v>
      </c>
      <c r="C37" s="1026" t="s">
        <v>652</v>
      </c>
      <c r="D37" s="1027" t="s">
        <v>34</v>
      </c>
      <c r="E37" s="1215" t="s">
        <v>193</v>
      </c>
      <c r="F37" s="1215" t="s">
        <v>177</v>
      </c>
      <c r="G37" s="1045">
        <v>4300479</v>
      </c>
      <c r="H37" s="1045">
        <v>-344038.32</v>
      </c>
      <c r="I37" s="1225">
        <f t="shared" si="13"/>
        <v>210293.4231</v>
      </c>
      <c r="J37" s="1225">
        <f t="shared" si="14"/>
        <v>172019.16</v>
      </c>
      <c r="K37" s="1225">
        <f t="shared" si="15"/>
        <v>86009.58</v>
      </c>
      <c r="L37" s="1225">
        <v>15000</v>
      </c>
      <c r="M37" s="295">
        <f t="shared" si="20"/>
        <v>4439762.8431</v>
      </c>
      <c r="N37" s="1226">
        <f t="shared" si="16"/>
        <v>355181.027448</v>
      </c>
      <c r="O37" s="399">
        <f>+VLOOKUP(C37,[7]Summary!$C$8:$E$205,3,0)</f>
        <v>630000</v>
      </c>
      <c r="P37" s="1227"/>
      <c r="Q37" s="1227"/>
      <c r="R37" s="1235">
        <f t="shared" si="17"/>
        <v>5424943.870548001</v>
      </c>
      <c r="S37" s="1235">
        <f t="shared" si="18"/>
        <v>35518.1027448</v>
      </c>
      <c r="T37" s="1236">
        <f t="shared" si="19"/>
        <v>5460461.973292801</v>
      </c>
      <c r="U37" s="1270">
        <v>44378</v>
      </c>
      <c r="V37" s="1271">
        <v>44469</v>
      </c>
      <c r="W37" s="1062"/>
      <c r="Z37" s="1293"/>
      <c r="AA37" s="1293"/>
      <c r="AB37" s="1288" t="str">
        <f>+VLOOKUP(B37,'[6]SURABAYA ANTERAJA'!$C$7:$D$218,2,0)</f>
        <v>AHMAD ARFANDI</v>
      </c>
    </row>
    <row r="38" ht="15.75" customHeight="1">
      <c r="A38" s="1027" t="s">
        <v>24</v>
      </c>
      <c r="B38" s="1025" t="s">
        <v>597</v>
      </c>
      <c r="C38" s="1026" t="s">
        <v>598</v>
      </c>
      <c r="D38" s="1027" t="s">
        <v>34</v>
      </c>
      <c r="E38" s="1215" t="s">
        <v>193</v>
      </c>
      <c r="F38" s="1215" t="s">
        <v>177</v>
      </c>
      <c r="G38" s="1045">
        <v>4300479</v>
      </c>
      <c r="H38" s="1045">
        <v>0</v>
      </c>
      <c r="I38" s="1225">
        <f t="shared" si="13"/>
        <v>210293.4231</v>
      </c>
      <c r="J38" s="1225">
        <f t="shared" si="14"/>
        <v>172019.16</v>
      </c>
      <c r="K38" s="1225">
        <f t="shared" si="15"/>
        <v>86009.58</v>
      </c>
      <c r="L38" s="1225">
        <v>15000</v>
      </c>
      <c r="M38" s="295">
        <f t="shared" si="20"/>
        <v>4783801.1631</v>
      </c>
      <c r="N38" s="1226">
        <f t="shared" si="16"/>
        <v>382704.093048</v>
      </c>
      <c r="O38" s="399">
        <f>+VLOOKUP(C38,[7]Summary!$C$8:$E$205,3,0)</f>
        <v>720000</v>
      </c>
      <c r="P38" s="1227"/>
      <c r="Q38" s="1227"/>
      <c r="R38" s="1235">
        <f t="shared" si="17"/>
        <v>5886505.256147999</v>
      </c>
      <c r="S38" s="1235">
        <f t="shared" si="18"/>
        <v>38270.4093048</v>
      </c>
      <c r="T38" s="1236">
        <f t="shared" si="19"/>
        <v>5924775.6654528</v>
      </c>
      <c r="U38" s="1270">
        <v>44409</v>
      </c>
      <c r="V38" s="1271">
        <v>44500</v>
      </c>
      <c r="W38" s="1062"/>
      <c r="Z38" s="1293"/>
      <c r="AA38" s="1293"/>
      <c r="AB38" s="1288" t="str">
        <f>+VLOOKUP(B38,'[6]SURABAYA ANTERAJA'!$C$7:$D$218,2,0)</f>
        <v>AHMAD HAFIDON</v>
      </c>
    </row>
    <row r="39" ht="15.75" customHeight="1">
      <c r="A39" s="1027" t="s">
        <v>24</v>
      </c>
      <c r="B39" s="358" t="s">
        <v>1849</v>
      </c>
      <c r="C39" s="1031" t="s">
        <v>1850</v>
      </c>
      <c r="D39" s="679" t="s">
        <v>34</v>
      </c>
      <c r="E39" s="589" t="s">
        <v>193</v>
      </c>
      <c r="F39" s="589" t="s">
        <v>177</v>
      </c>
      <c r="G39" s="395">
        <v>4300479</v>
      </c>
      <c r="H39" s="1045">
        <v>-688076.64</v>
      </c>
      <c r="I39" s="293">
        <f t="shared" si="13"/>
        <v>210293.4231</v>
      </c>
      <c r="J39" s="293">
        <f t="shared" si="14"/>
        <v>172019.16</v>
      </c>
      <c r="K39" s="293">
        <f t="shared" si="15"/>
        <v>86009.58</v>
      </c>
      <c r="L39" s="293">
        <v>15000</v>
      </c>
      <c r="M39" s="295">
        <f t="shared" si="20"/>
        <v>4095724.5231</v>
      </c>
      <c r="N39" s="296">
        <f t="shared" si="16"/>
        <v>327657.961848</v>
      </c>
      <c r="O39" s="399">
        <f>+VLOOKUP(C39,[7]Summary!$C$8:$E$205,3,0)</f>
        <v>375000</v>
      </c>
      <c r="P39" s="447"/>
      <c r="Q39" s="447"/>
      <c r="R39" s="328">
        <f t="shared" si="17"/>
        <v>4798382.484948</v>
      </c>
      <c r="S39" s="328">
        <f t="shared" si="18"/>
        <v>32765.7961848</v>
      </c>
      <c r="T39" s="329">
        <f t="shared" si="19"/>
        <v>4831148.2811328</v>
      </c>
      <c r="U39" s="1272">
        <v>44409</v>
      </c>
      <c r="V39" s="155">
        <v>44500</v>
      </c>
      <c r="W39" s="1169"/>
      <c r="Z39" s="1294"/>
      <c r="AA39" s="1294"/>
      <c r="AB39" s="1288" t="str">
        <f>+VLOOKUP(B39,'[6]SURABAYA ANTERAJA'!$C$7:$D$218,2,0)</f>
        <v>AHMAD RIZAL HANAFI</v>
      </c>
    </row>
    <row r="40" ht="15.75" customHeight="1">
      <c r="A40" s="1027" t="s">
        <v>24</v>
      </c>
      <c r="B40" s="1025" t="s">
        <v>623</v>
      </c>
      <c r="C40" s="1026" t="s">
        <v>624</v>
      </c>
      <c r="D40" s="1027" t="s">
        <v>34</v>
      </c>
      <c r="E40" s="1215" t="s">
        <v>193</v>
      </c>
      <c r="F40" s="1215" t="s">
        <v>177</v>
      </c>
      <c r="G40" s="1045">
        <v>4300479</v>
      </c>
      <c r="H40" s="1045">
        <v>-344038.32</v>
      </c>
      <c r="I40" s="1225">
        <f t="shared" si="13"/>
        <v>210293.4231</v>
      </c>
      <c r="J40" s="1225">
        <f t="shared" si="14"/>
        <v>172019.16</v>
      </c>
      <c r="K40" s="1225">
        <f t="shared" si="15"/>
        <v>86009.58</v>
      </c>
      <c r="L40" s="1225">
        <v>15000</v>
      </c>
      <c r="M40" s="295">
        <f t="shared" si="20"/>
        <v>4439762.8431</v>
      </c>
      <c r="N40" s="1226">
        <f t="shared" si="16"/>
        <v>355181.027448</v>
      </c>
      <c r="O40" s="399">
        <v>520000</v>
      </c>
      <c r="P40" s="1227"/>
      <c r="Q40" s="1227"/>
      <c r="R40" s="1235">
        <f t="shared" si="17"/>
        <v>5314943.870548</v>
      </c>
      <c r="S40" s="1235">
        <f t="shared" si="18"/>
        <v>35518.1027448</v>
      </c>
      <c r="T40" s="1236">
        <f t="shared" si="19"/>
        <v>5350461.9732928</v>
      </c>
      <c r="U40" s="1270">
        <v>44409</v>
      </c>
      <c r="V40" s="1271">
        <v>44500</v>
      </c>
      <c r="W40" s="1062"/>
      <c r="Z40" s="1293"/>
      <c r="AA40" s="1293"/>
      <c r="AB40" s="1288" t="str">
        <f>+VLOOKUP(B40,'[6]SURABAYA ANTERAJA'!$C$7:$D$218,2,0)</f>
        <v>ACHMAD ROFIQ FIRMANSYAH</v>
      </c>
    </row>
    <row r="41" ht="15.75" customHeight="1">
      <c r="A41" s="1027" t="s">
        <v>24</v>
      </c>
      <c r="B41" s="1025" t="s">
        <v>1851</v>
      </c>
      <c r="C41" s="1026" t="s">
        <v>1852</v>
      </c>
      <c r="D41" s="1027" t="s">
        <v>34</v>
      </c>
      <c r="E41" s="1215" t="s">
        <v>193</v>
      </c>
      <c r="F41" s="1215" t="s">
        <v>177</v>
      </c>
      <c r="G41" s="1045">
        <v>4300479</v>
      </c>
      <c r="H41" s="1045">
        <v>0</v>
      </c>
      <c r="I41" s="1225">
        <f t="shared" si="13"/>
        <v>210293.4231</v>
      </c>
      <c r="J41" s="1225">
        <f t="shared" si="14"/>
        <v>172019.16</v>
      </c>
      <c r="K41" s="1225">
        <f t="shared" si="15"/>
        <v>86009.58</v>
      </c>
      <c r="L41" s="1225">
        <v>15000</v>
      </c>
      <c r="M41" s="295">
        <f t="shared" si="20"/>
        <v>4783801.1631</v>
      </c>
      <c r="N41" s="1226">
        <f t="shared" si="16"/>
        <v>382704.093048</v>
      </c>
      <c r="O41" s="399">
        <f>+VLOOKUP(C41,[7]Summary!$C$8:$E$205,3,0)</f>
        <v>545000</v>
      </c>
      <c r="P41" s="1227"/>
      <c r="Q41" s="1227"/>
      <c r="R41" s="1235">
        <f t="shared" si="17"/>
        <v>5711505.256147999</v>
      </c>
      <c r="S41" s="1235">
        <f t="shared" si="18"/>
        <v>38270.4093048</v>
      </c>
      <c r="T41" s="1236">
        <f t="shared" si="19"/>
        <v>5749775.6654528</v>
      </c>
      <c r="U41" s="1270">
        <v>44409</v>
      </c>
      <c r="V41" s="1271">
        <v>44439</v>
      </c>
      <c r="W41" s="1062"/>
      <c r="Z41" s="1293"/>
      <c r="AA41" s="1293"/>
      <c r="AB41" s="1288" t="str">
        <f>+VLOOKUP(B41,'[6]SURABAYA ANTERAJA'!$C$7:$D$218,2,0)</f>
        <v>AHMAD SAMSUDIN</v>
      </c>
    </row>
    <row r="42" ht="15.75" customHeight="1">
      <c r="A42" s="1027" t="s">
        <v>24</v>
      </c>
      <c r="B42" s="1025" t="s">
        <v>1853</v>
      </c>
      <c r="C42" s="1026" t="s">
        <v>1854</v>
      </c>
      <c r="D42" s="1027" t="s">
        <v>34</v>
      </c>
      <c r="E42" s="1215" t="s">
        <v>193</v>
      </c>
      <c r="F42" s="1215" t="s">
        <v>177</v>
      </c>
      <c r="G42" s="1045">
        <v>4300479</v>
      </c>
      <c r="H42" s="1045">
        <v>0</v>
      </c>
      <c r="I42" s="1225">
        <f t="shared" si="13"/>
        <v>210293.4231</v>
      </c>
      <c r="J42" s="1225">
        <f t="shared" si="14"/>
        <v>172019.16</v>
      </c>
      <c r="K42" s="1225">
        <f t="shared" si="15"/>
        <v>86009.58</v>
      </c>
      <c r="L42" s="1225">
        <v>15000</v>
      </c>
      <c r="M42" s="295">
        <f t="shared" si="20"/>
        <v>4783801.1631</v>
      </c>
      <c r="N42" s="1226">
        <f t="shared" si="16"/>
        <v>382704.093048</v>
      </c>
      <c r="O42" s="399">
        <f>+VLOOKUP(C42,[7]Summary!$C$8:$E$205,3,0)</f>
        <v>762500</v>
      </c>
      <c r="P42" s="1227"/>
      <c r="Q42" s="1227"/>
      <c r="R42" s="1235">
        <f t="shared" si="17"/>
        <v>5929005.256147999</v>
      </c>
      <c r="S42" s="1235">
        <f t="shared" si="18"/>
        <v>38270.4093048</v>
      </c>
      <c r="T42" s="1236">
        <f t="shared" si="19"/>
        <v>5967275.6654528</v>
      </c>
      <c r="U42" s="1270">
        <v>44378</v>
      </c>
      <c r="V42" s="1271">
        <v>44469</v>
      </c>
      <c r="W42" s="1062"/>
      <c r="AB42" s="1288" t="str">
        <f>+VLOOKUP(B42,'[6]SURABAYA ANTERAJA'!$C$7:$D$218,2,0)</f>
        <v>AHMAD WAHID </v>
      </c>
    </row>
    <row r="43" ht="15.75" customHeight="1">
      <c r="A43" s="1027" t="s">
        <v>24</v>
      </c>
      <c r="B43" s="358" t="s">
        <v>1855</v>
      </c>
      <c r="C43" s="1031" t="s">
        <v>1856</v>
      </c>
      <c r="D43" s="679" t="s">
        <v>34</v>
      </c>
      <c r="E43" s="589" t="s">
        <v>193</v>
      </c>
      <c r="F43" s="589" t="s">
        <v>177</v>
      </c>
      <c r="G43" s="395">
        <v>4300479</v>
      </c>
      <c r="H43" s="1045">
        <v>-172019.16</v>
      </c>
      <c r="I43" s="293">
        <f t="shared" si="13"/>
        <v>210293.4231</v>
      </c>
      <c r="J43" s="293">
        <f t="shared" si="14"/>
        <v>172019.16</v>
      </c>
      <c r="K43" s="293">
        <f t="shared" si="15"/>
        <v>86009.58</v>
      </c>
      <c r="L43" s="293">
        <v>15000</v>
      </c>
      <c r="M43" s="295">
        <f t="shared" si="20"/>
        <v>4611782.0031</v>
      </c>
      <c r="N43" s="296">
        <f t="shared" si="16"/>
        <v>368942.560248</v>
      </c>
      <c r="O43" s="399">
        <f>+VLOOKUP(C43,[7]Summary!$C$8:$E$205,3,0)</f>
        <v>277000</v>
      </c>
      <c r="P43" s="447"/>
      <c r="Q43" s="447"/>
      <c r="R43" s="328">
        <f t="shared" si="17"/>
        <v>5257724.563348</v>
      </c>
      <c r="S43" s="328">
        <f t="shared" si="18"/>
        <v>36894.2560248</v>
      </c>
      <c r="T43" s="329">
        <f t="shared" si="19"/>
        <v>5294618.8193728</v>
      </c>
      <c r="U43" s="1272">
        <v>44378</v>
      </c>
      <c r="V43" s="155">
        <v>44469</v>
      </c>
      <c r="W43" s="1169"/>
      <c r="Z43" s="1294"/>
      <c r="AA43" s="1294"/>
      <c r="AB43" s="1288" t="str">
        <f>+VLOOKUP(B43,'[6]SURABAYA ANTERAJA'!$C$7:$D$218,2,0)</f>
        <v>ALVIN AINUR ROISYI</v>
      </c>
    </row>
    <row r="44" ht="15.75" customHeight="1">
      <c r="A44" s="1027" t="s">
        <v>24</v>
      </c>
      <c r="B44" s="358" t="s">
        <v>1857</v>
      </c>
      <c r="C44" s="1031" t="s">
        <v>1858</v>
      </c>
      <c r="D44" s="679" t="s">
        <v>34</v>
      </c>
      <c r="E44" s="589" t="s">
        <v>193</v>
      </c>
      <c r="F44" s="589" t="s">
        <v>177</v>
      </c>
      <c r="G44" s="395">
        <v>4300479</v>
      </c>
      <c r="H44" s="1259"/>
      <c r="I44" s="293">
        <f t="shared" si="13"/>
        <v>210293.4231</v>
      </c>
      <c r="J44" s="293">
        <f t="shared" si="14"/>
        <v>172019.16</v>
      </c>
      <c r="K44" s="293">
        <f t="shared" si="15"/>
        <v>86009.58</v>
      </c>
      <c r="L44" s="293">
        <v>15000</v>
      </c>
      <c r="M44" s="295">
        <f t="shared" si="20"/>
        <v>4783801.1631</v>
      </c>
      <c r="N44" s="296">
        <f t="shared" si="16"/>
        <v>382704.093048</v>
      </c>
      <c r="O44" s="399">
        <f>+VLOOKUP(C44,[7]Summary!$C$8:$E$205,3,0)</f>
        <v>525000</v>
      </c>
      <c r="P44" s="447"/>
      <c r="Q44" s="447"/>
      <c r="R44" s="328">
        <f t="shared" si="17"/>
        <v>5691505.256147999</v>
      </c>
      <c r="S44" s="328">
        <f t="shared" si="18"/>
        <v>38270.4093048</v>
      </c>
      <c r="T44" s="329">
        <f t="shared" si="19"/>
        <v>5729775.6654528</v>
      </c>
      <c r="U44" s="1272">
        <v>44378</v>
      </c>
      <c r="V44" s="155">
        <v>44469</v>
      </c>
      <c r="W44" s="1169"/>
      <c r="Z44" s="1294"/>
      <c r="AA44" s="1294"/>
      <c r="AB44" s="1288" t="str">
        <f>+VLOOKUP(B44,'[6]SURABAYA ANTERAJA'!$C$7:$D$218,2,0)</f>
        <v>ANDI SUSANTO</v>
      </c>
    </row>
    <row r="45" ht="15.75" customHeight="1">
      <c r="A45" s="1027" t="s">
        <v>24</v>
      </c>
      <c r="B45" s="245" t="s">
        <v>1859</v>
      </c>
      <c r="C45" s="1039" t="s">
        <v>1860</v>
      </c>
      <c r="D45" s="491" t="s">
        <v>34</v>
      </c>
      <c r="E45" s="366" t="s">
        <v>193</v>
      </c>
      <c r="F45" s="366" t="s">
        <v>177</v>
      </c>
      <c r="G45" s="304">
        <v>4300479</v>
      </c>
      <c r="H45" s="1045">
        <v>-344038.32</v>
      </c>
      <c r="I45" s="298">
        <f t="shared" si="13"/>
        <v>210293.4231</v>
      </c>
      <c r="J45" s="298">
        <f t="shared" si="14"/>
        <v>172019.16</v>
      </c>
      <c r="K45" s="298">
        <f t="shared" si="15"/>
        <v>86009.58</v>
      </c>
      <c r="L45" s="298">
        <v>15000</v>
      </c>
      <c r="M45" s="295">
        <f t="shared" si="20"/>
        <v>4439762.8431</v>
      </c>
      <c r="N45" s="303">
        <f t="shared" si="16"/>
        <v>355181.027448</v>
      </c>
      <c r="O45" s="399">
        <v>47000</v>
      </c>
      <c r="P45" s="399"/>
      <c r="Q45" s="399"/>
      <c r="R45" s="335">
        <f t="shared" si="17"/>
        <v>4841943.870548</v>
      </c>
      <c r="S45" s="335">
        <f t="shared" si="18"/>
        <v>35518.1027448</v>
      </c>
      <c r="T45" s="336">
        <f t="shared" si="19"/>
        <v>4877461.9732928</v>
      </c>
      <c r="U45" s="417">
        <v>44409</v>
      </c>
      <c r="V45" s="337">
        <v>44500</v>
      </c>
      <c r="W45" s="1175"/>
      <c r="Z45" s="1292"/>
      <c r="AA45" s="1292"/>
      <c r="AB45" s="1288" t="str">
        <f>+VLOOKUP(B45,'[6]SURABAYA ANTERAJA'!$C$7:$D$218,2,0)</f>
        <v>ANDRIAS BASKORO .F</v>
      </c>
    </row>
    <row r="46" ht="15.75" customHeight="1" s="1613" customFormat="1">
      <c r="A46" s="1710" t="s">
        <v>24</v>
      </c>
      <c r="B46" s="1711" t="s">
        <v>1861</v>
      </c>
      <c r="C46" s="1712" t="s">
        <v>1862</v>
      </c>
      <c r="D46" s="1710" t="s">
        <v>34</v>
      </c>
      <c r="E46" s="1713" t="s">
        <v>193</v>
      </c>
      <c r="F46" s="1713" t="s">
        <v>177</v>
      </c>
      <c r="G46" s="1719">
        <f>4300479/31*15</f>
        <v>2080876.93548387</v>
      </c>
      <c r="H46" s="1606">
        <v>0</v>
      </c>
      <c r="I46" s="1605"/>
      <c r="J46" s="1605"/>
      <c r="K46" s="1605"/>
      <c r="L46" s="1605"/>
      <c r="M46" s="1607">
        <f t="shared" si="20"/>
        <v>2080876.93548387</v>
      </c>
      <c r="N46" s="1608">
        <f t="shared" si="16"/>
        <v>166470.15483871</v>
      </c>
      <c r="O46" s="1714">
        <f>+VLOOKUP(C46,[7]Summary!$C$8:$E$205,3,0)</f>
        <v>200000</v>
      </c>
      <c r="P46" s="1714"/>
      <c r="Q46" s="1714"/>
      <c r="R46" s="1609">
        <f t="shared" si="17"/>
        <v>2447347.09032258</v>
      </c>
      <c r="S46" s="1609">
        <f t="shared" si="18"/>
        <v>16647.015483871</v>
      </c>
      <c r="T46" s="1610">
        <f t="shared" si="19"/>
        <v>2463994.1058064513</v>
      </c>
      <c r="U46" s="1715">
        <v>44378</v>
      </c>
      <c r="V46" s="1716">
        <v>44407</v>
      </c>
      <c r="W46" s="1720" t="s">
        <v>1863</v>
      </c>
      <c r="Z46" s="1717"/>
      <c r="AA46" s="1717"/>
      <c r="AB46" s="1718" t="str">
        <f>+VLOOKUP(B46,'[6]SURABAYA ANTERAJA'!$C$7:$D$218,2,0)</f>
        <v>ANWAR FARID</v>
      </c>
    </row>
    <row r="47" ht="15.75" customHeight="1">
      <c r="A47" s="1027" t="s">
        <v>24</v>
      </c>
      <c r="B47" s="1531" t="s">
        <v>1864</v>
      </c>
      <c r="C47" s="1258" t="s">
        <v>1865</v>
      </c>
      <c r="D47" s="1027" t="s">
        <v>34</v>
      </c>
      <c r="E47" s="1027" t="s">
        <v>193</v>
      </c>
      <c r="F47" s="1027" t="s">
        <v>177</v>
      </c>
      <c r="G47" s="1045">
        <v>4300479</v>
      </c>
      <c r="H47" s="1045">
        <v>0</v>
      </c>
      <c r="I47" s="1225">
        <f t="shared" si="13"/>
        <v>210293.4231</v>
      </c>
      <c r="J47" s="1225">
        <f t="shared" si="14"/>
        <v>172019.16</v>
      </c>
      <c r="K47" s="1225">
        <f t="shared" si="15"/>
        <v>86009.58</v>
      </c>
      <c r="L47" s="1225">
        <v>15000</v>
      </c>
      <c r="M47" s="295">
        <f t="shared" si="20"/>
        <v>4783801.1631</v>
      </c>
      <c r="N47" s="1226">
        <f t="shared" si="16"/>
        <v>382704.093048</v>
      </c>
      <c r="O47" s="399">
        <v>1740000</v>
      </c>
      <c r="P47" s="1227"/>
      <c r="Q47" s="1227"/>
      <c r="R47" s="1235">
        <f t="shared" si="17"/>
        <v>6906505.256148</v>
      </c>
      <c r="S47" s="1235">
        <f t="shared" si="18"/>
        <v>38270.4093048</v>
      </c>
      <c r="T47" s="1236">
        <f t="shared" si="19"/>
        <v>6944775.6654528</v>
      </c>
      <c r="U47" s="1289">
        <v>44409</v>
      </c>
      <c r="V47" s="1271">
        <v>44439</v>
      </c>
      <c r="W47" s="1062"/>
      <c r="Z47" s="1293"/>
      <c r="AA47" s="1293"/>
      <c r="AB47" s="1288" t="str">
        <f>+VLOOKUP(B47,'[6]SURABAYA ANTERAJA'!$C$7:$D$218,2,0)</f>
        <v>ARI BEGWANTO</v>
      </c>
    </row>
    <row r="48" ht="15.75" customHeight="1">
      <c r="A48" s="1027" t="s">
        <v>24</v>
      </c>
      <c r="B48" s="239" t="s">
        <v>1866</v>
      </c>
      <c r="C48" s="1153" t="s">
        <v>1867</v>
      </c>
      <c r="D48" s="491" t="s">
        <v>34</v>
      </c>
      <c r="E48" s="491" t="s">
        <v>193</v>
      </c>
      <c r="F48" s="491" t="s">
        <v>177</v>
      </c>
      <c r="G48" s="304">
        <v>4300479</v>
      </c>
      <c r="H48" s="1045">
        <v>0</v>
      </c>
      <c r="I48" s="298">
        <f t="shared" si="13"/>
        <v>210293.4231</v>
      </c>
      <c r="J48" s="298">
        <f t="shared" si="14"/>
        <v>172019.16</v>
      </c>
      <c r="K48" s="298">
        <f t="shared" si="15"/>
        <v>86009.58</v>
      </c>
      <c r="L48" s="298">
        <v>15000</v>
      </c>
      <c r="M48" s="295">
        <f t="shared" si="20"/>
        <v>4783801.1631</v>
      </c>
      <c r="N48" s="303">
        <f t="shared" si="16"/>
        <v>382704.093048</v>
      </c>
      <c r="O48" s="399">
        <f>+VLOOKUP(C48,[7]Summary!$C$8:$E$205,3,0)</f>
        <v>570000</v>
      </c>
      <c r="P48" s="399"/>
      <c r="Q48" s="399"/>
      <c r="R48" s="335">
        <f t="shared" si="17"/>
        <v>5736505.256147999</v>
      </c>
      <c r="S48" s="335">
        <f t="shared" si="18"/>
        <v>38270.4093048</v>
      </c>
      <c r="T48" s="336">
        <f t="shared" si="19"/>
        <v>5774775.6654528</v>
      </c>
      <c r="U48" s="1174">
        <v>44409</v>
      </c>
      <c r="V48" s="337">
        <v>44500</v>
      </c>
      <c r="W48" s="1175"/>
      <c r="Z48" s="1292"/>
      <c r="AA48" s="1292"/>
      <c r="AB48" s="1288" t="str">
        <f>+VLOOKUP(B48,'[6]SURABAYA ANTERAJA'!$C$7:$D$218,2,0)</f>
        <v>ARI GUNAWAN</v>
      </c>
    </row>
    <row r="49" ht="15.75" customHeight="1">
      <c r="A49" s="1027" t="s">
        <v>24</v>
      </c>
      <c r="B49" s="239" t="s">
        <v>1868</v>
      </c>
      <c r="C49" s="1153" t="s">
        <v>1869</v>
      </c>
      <c r="D49" s="491" t="s">
        <v>34</v>
      </c>
      <c r="E49" s="491" t="s">
        <v>193</v>
      </c>
      <c r="F49" s="491" t="s">
        <v>177</v>
      </c>
      <c r="G49" s="304">
        <v>4300479</v>
      </c>
      <c r="H49" s="1259"/>
      <c r="I49" s="298">
        <f t="shared" si="13"/>
        <v>210293.4231</v>
      </c>
      <c r="J49" s="298">
        <f t="shared" si="14"/>
        <v>172019.16</v>
      </c>
      <c r="K49" s="298">
        <f t="shared" si="15"/>
        <v>86009.58</v>
      </c>
      <c r="L49" s="298">
        <v>15000</v>
      </c>
      <c r="M49" s="295">
        <f t="shared" si="20"/>
        <v>4783801.1631</v>
      </c>
      <c r="N49" s="303">
        <f t="shared" si="16"/>
        <v>382704.093048</v>
      </c>
      <c r="O49" s="399">
        <f>+VLOOKUP(C49,[7]Summary!$C$8:$E$205,3,0)</f>
        <v>305000</v>
      </c>
      <c r="P49" s="399"/>
      <c r="Q49" s="399"/>
      <c r="R49" s="335">
        <f t="shared" si="17"/>
        <v>5471505.256147999</v>
      </c>
      <c r="S49" s="335">
        <f t="shared" si="18"/>
        <v>38270.4093048</v>
      </c>
      <c r="T49" s="336">
        <f t="shared" si="19"/>
        <v>5509775.6654528</v>
      </c>
      <c r="U49" s="1174">
        <v>44354</v>
      </c>
      <c r="V49" s="337">
        <v>44439</v>
      </c>
      <c r="W49" s="1175"/>
      <c r="Z49" s="1292"/>
      <c r="AA49" s="1292"/>
      <c r="AB49" s="1288" t="str">
        <f>+VLOOKUP(B49,'[6]SURABAYA ANTERAJA'!$C$7:$D$218,2,0)</f>
        <v>ARI WIBOWO</v>
      </c>
    </row>
    <row r="50" ht="15.75" customHeight="1">
      <c r="A50" s="1027" t="s">
        <v>24</v>
      </c>
      <c r="B50" s="1257" t="s">
        <v>1870</v>
      </c>
      <c r="C50" s="1258" t="s">
        <v>1871</v>
      </c>
      <c r="D50" s="1027" t="s">
        <v>34</v>
      </c>
      <c r="E50" s="1027" t="s">
        <v>193</v>
      </c>
      <c r="F50" s="1027" t="s">
        <v>177</v>
      </c>
      <c r="G50" s="1045">
        <v>4300479</v>
      </c>
      <c r="H50" s="1045">
        <v>-344038.32</v>
      </c>
      <c r="I50" s="1225">
        <f t="shared" si="13"/>
        <v>210293.4231</v>
      </c>
      <c r="J50" s="1225">
        <f t="shared" si="14"/>
        <v>172019.16</v>
      </c>
      <c r="K50" s="1225">
        <f t="shared" si="15"/>
        <v>86009.58</v>
      </c>
      <c r="L50" s="1225">
        <v>15000</v>
      </c>
      <c r="M50" s="295">
        <f t="shared" si="20"/>
        <v>4439762.8431</v>
      </c>
      <c r="N50" s="1226">
        <f t="shared" si="16"/>
        <v>355181.027448</v>
      </c>
      <c r="O50" s="399">
        <v>680000</v>
      </c>
      <c r="P50" s="1227"/>
      <c r="Q50" s="1227"/>
      <c r="R50" s="1235">
        <f t="shared" si="17"/>
        <v>5474943.870548</v>
      </c>
      <c r="S50" s="1235">
        <f t="shared" si="18"/>
        <v>35518.1027448</v>
      </c>
      <c r="T50" s="1236">
        <f t="shared" si="19"/>
        <v>5510461.9732928</v>
      </c>
      <c r="U50" s="1289">
        <v>44409</v>
      </c>
      <c r="V50" s="1271">
        <v>44439</v>
      </c>
      <c r="W50" s="1062"/>
      <c r="Z50" s="1293"/>
      <c r="AA50" s="1293"/>
      <c r="AB50" s="1288" t="str">
        <f>+VLOOKUP(B50,'[6]SURABAYA ANTERAJA'!$C$7:$D$218,2,0)</f>
        <v>ARIF SULISTIO</v>
      </c>
    </row>
    <row r="51" ht="15.75" customHeight="1">
      <c r="A51" s="1027" t="s">
        <v>24</v>
      </c>
      <c r="B51" s="1025" t="s">
        <v>573</v>
      </c>
      <c r="C51" s="1026" t="s">
        <v>574</v>
      </c>
      <c r="D51" s="1027" t="s">
        <v>34</v>
      </c>
      <c r="E51" s="1027" t="s">
        <v>193</v>
      </c>
      <c r="F51" s="1027" t="s">
        <v>177</v>
      </c>
      <c r="G51" s="1045">
        <v>4300479</v>
      </c>
      <c r="H51" s="1045">
        <v>-344038.32</v>
      </c>
      <c r="I51" s="1225">
        <f t="shared" si="13"/>
        <v>210293.4231</v>
      </c>
      <c r="J51" s="1225">
        <f t="shared" si="14"/>
        <v>172019.16</v>
      </c>
      <c r="K51" s="1225">
        <f t="shared" si="15"/>
        <v>86009.58</v>
      </c>
      <c r="L51" s="1225">
        <v>15000</v>
      </c>
      <c r="M51" s="295">
        <f t="shared" si="20"/>
        <v>4439762.8431</v>
      </c>
      <c r="N51" s="1226">
        <f t="shared" si="16"/>
        <v>355181.027448</v>
      </c>
      <c r="O51" s="399">
        <f>+VLOOKUP(C51,[7]Summary!$C$8:$E$205,3,0)</f>
        <v>314000</v>
      </c>
      <c r="P51" s="1227"/>
      <c r="Q51" s="1227"/>
      <c r="R51" s="1235">
        <f t="shared" si="17"/>
        <v>5108943.870548001</v>
      </c>
      <c r="S51" s="1235">
        <f t="shared" si="18"/>
        <v>35518.1027448</v>
      </c>
      <c r="T51" s="1236">
        <f t="shared" si="19"/>
        <v>5144461.973292801</v>
      </c>
      <c r="U51" s="1270">
        <v>44378</v>
      </c>
      <c r="V51" s="1271">
        <v>44469</v>
      </c>
      <c r="W51" s="1062"/>
      <c r="Z51" s="1293"/>
      <c r="AA51" s="1293"/>
      <c r="AB51" s="1288" t="str">
        <f>+VLOOKUP(B51,'[6]SURABAYA ANTERAJA'!$C$7:$D$218,2,0)</f>
        <v>ARIS SETIYAWAN</v>
      </c>
    </row>
    <row r="52" ht="15.75" customHeight="1">
      <c r="A52" s="1027" t="s">
        <v>24</v>
      </c>
      <c r="B52" s="358">
        <v>2211</v>
      </c>
      <c r="C52" s="1031" t="s">
        <v>1872</v>
      </c>
      <c r="D52" s="679" t="s">
        <v>34</v>
      </c>
      <c r="E52" s="679" t="s">
        <v>193</v>
      </c>
      <c r="F52" s="679" t="s">
        <v>177</v>
      </c>
      <c r="G52" s="395">
        <v>4300479</v>
      </c>
      <c r="H52" s="1045">
        <v>0</v>
      </c>
      <c r="I52" s="293">
        <f t="shared" si="13"/>
        <v>210293.4231</v>
      </c>
      <c r="J52" s="293">
        <f t="shared" si="14"/>
        <v>172019.16</v>
      </c>
      <c r="K52" s="293">
        <f t="shared" si="15"/>
        <v>86009.58</v>
      </c>
      <c r="L52" s="293">
        <v>15000</v>
      </c>
      <c r="M52" s="295">
        <f t="shared" si="20"/>
        <v>4783801.1631</v>
      </c>
      <c r="N52" s="296">
        <f t="shared" si="16"/>
        <v>382704.093048</v>
      </c>
      <c r="O52" s="399">
        <f>+VLOOKUP(C52,[7]Summary!$C$8:$E$205,3,0)</f>
        <v>350000</v>
      </c>
      <c r="P52" s="447"/>
      <c r="Q52" s="447"/>
      <c r="R52" s="328">
        <f t="shared" si="17"/>
        <v>5516505.256147999</v>
      </c>
      <c r="S52" s="328">
        <f t="shared" si="18"/>
        <v>38270.4093048</v>
      </c>
      <c r="T52" s="329">
        <f t="shared" si="19"/>
        <v>5554775.6654528</v>
      </c>
      <c r="U52" s="1272">
        <v>44409</v>
      </c>
      <c r="V52" s="155">
        <v>44500</v>
      </c>
      <c r="W52" s="1169"/>
      <c r="Z52" s="1294"/>
      <c r="AA52" s="1294"/>
      <c r="AB52" s="1288" t="str">
        <f>+VLOOKUP(B52,'[6]SURABAYA ANTERAJA'!$C$7:$D$218,2,0)</f>
        <v>ARYO BRAMASTA</v>
      </c>
    </row>
    <row r="53" ht="15.75" customHeight="1">
      <c r="A53" s="1027" t="s">
        <v>24</v>
      </c>
      <c r="B53" s="1025" t="s">
        <v>1873</v>
      </c>
      <c r="C53" s="1026" t="s">
        <v>1874</v>
      </c>
      <c r="D53" s="1027" t="s">
        <v>34</v>
      </c>
      <c r="E53" s="1027" t="s">
        <v>193</v>
      </c>
      <c r="F53" s="1027" t="s">
        <v>177</v>
      </c>
      <c r="G53" s="1045">
        <v>4300479</v>
      </c>
      <c r="H53" s="1045">
        <v>0</v>
      </c>
      <c r="I53" s="1225">
        <f t="shared" si="13"/>
        <v>210293.4231</v>
      </c>
      <c r="J53" s="1225">
        <f t="shared" si="14"/>
        <v>172019.16</v>
      </c>
      <c r="K53" s="1225">
        <f t="shared" si="15"/>
        <v>86009.58</v>
      </c>
      <c r="L53" s="1225">
        <v>15000</v>
      </c>
      <c r="M53" s="295">
        <f t="shared" si="20"/>
        <v>4783801.1631</v>
      </c>
      <c r="N53" s="1226">
        <f t="shared" si="16"/>
        <v>382704.093048</v>
      </c>
      <c r="O53" s="399">
        <f>+VLOOKUP(C53,[7]Summary!$C$8:$E$205,3,0)</f>
        <v>291000</v>
      </c>
      <c r="P53" s="1227"/>
      <c r="Q53" s="1227"/>
      <c r="R53" s="1235">
        <f t="shared" si="17"/>
        <v>5457505.256147999</v>
      </c>
      <c r="S53" s="1235">
        <f t="shared" si="18"/>
        <v>38270.4093048</v>
      </c>
      <c r="T53" s="1236">
        <f t="shared" si="19"/>
        <v>5495775.6654528</v>
      </c>
      <c r="U53" s="1270">
        <v>44378</v>
      </c>
      <c r="V53" s="1271">
        <v>44469</v>
      </c>
      <c r="W53" s="1062"/>
      <c r="Z53" s="1293"/>
      <c r="AA53" s="1293"/>
      <c r="AB53" s="1288" t="str">
        <f>+VLOOKUP(B53,'[6]SURABAYA ANTERAJA'!$C$7:$D$218,2,0)</f>
        <v>AYUB GALEH BINTARIANTO</v>
      </c>
    </row>
    <row r="54" ht="15.75" customHeight="1">
      <c r="A54" s="1027" t="s">
        <v>24</v>
      </c>
      <c r="B54" s="1025" t="s">
        <v>408</v>
      </c>
      <c r="C54" s="1026" t="s">
        <v>1875</v>
      </c>
      <c r="D54" s="1027" t="s">
        <v>34</v>
      </c>
      <c r="E54" s="1027" t="s">
        <v>193</v>
      </c>
      <c r="F54" s="1027" t="s">
        <v>177</v>
      </c>
      <c r="G54" s="1045">
        <v>4300479</v>
      </c>
      <c r="H54" s="1045">
        <v>-516057.48</v>
      </c>
      <c r="I54" s="1225">
        <f t="shared" si="13"/>
        <v>210293.4231</v>
      </c>
      <c r="J54" s="1225">
        <f t="shared" si="14"/>
        <v>172019.16</v>
      </c>
      <c r="K54" s="1225">
        <f t="shared" si="15"/>
        <v>86009.58</v>
      </c>
      <c r="L54" s="1225">
        <v>15000</v>
      </c>
      <c r="M54" s="295">
        <f t="shared" si="20"/>
        <v>4267743.6831</v>
      </c>
      <c r="N54" s="1226">
        <f t="shared" si="16"/>
        <v>341419.494648</v>
      </c>
      <c r="O54" s="399">
        <f>+VLOOKUP(C54,[7]Summary!$C$8:$E$205,3,0)</f>
        <v>390000</v>
      </c>
      <c r="P54" s="1227"/>
      <c r="Q54" s="1227"/>
      <c r="R54" s="1235">
        <f t="shared" si="17"/>
        <v>4999163.177748</v>
      </c>
      <c r="S54" s="1235">
        <f t="shared" si="18"/>
        <v>34141.9494648</v>
      </c>
      <c r="T54" s="1236">
        <f t="shared" si="19"/>
        <v>5033305.1272128</v>
      </c>
      <c r="U54" s="1270">
        <v>44378</v>
      </c>
      <c r="V54" s="1271">
        <v>44469</v>
      </c>
      <c r="W54" s="1062"/>
      <c r="AB54" s="1288" t="str">
        <f>+VLOOKUP(B54,'[6]SURABAYA ANTERAJA'!$C$7:$D$218,2,0)</f>
        <v>BAGAS ADITYA PUTRA PRATAMA </v>
      </c>
    </row>
    <row r="55" ht="15.75" customHeight="1">
      <c r="A55" s="1027" t="s">
        <v>24</v>
      </c>
      <c r="B55" s="1025" t="s">
        <v>617</v>
      </c>
      <c r="C55" s="1026" t="s">
        <v>618</v>
      </c>
      <c r="D55" s="1027" t="s">
        <v>34</v>
      </c>
      <c r="E55" s="1027" t="s">
        <v>193</v>
      </c>
      <c r="F55" s="1027" t="s">
        <v>177</v>
      </c>
      <c r="G55" s="1045">
        <v>4300479</v>
      </c>
      <c r="H55" s="1045">
        <v>-172019.16</v>
      </c>
      <c r="I55" s="1225">
        <f t="shared" si="13"/>
        <v>210293.4231</v>
      </c>
      <c r="J55" s="1225">
        <f t="shared" si="14"/>
        <v>172019.16</v>
      </c>
      <c r="K55" s="1225">
        <f t="shared" si="15"/>
        <v>86009.58</v>
      </c>
      <c r="L55" s="1225">
        <v>15000</v>
      </c>
      <c r="M55" s="295">
        <f t="shared" si="20"/>
        <v>4611782.0031</v>
      </c>
      <c r="N55" s="1226">
        <f t="shared" si="16"/>
        <v>368942.560248</v>
      </c>
      <c r="O55" s="399">
        <f>+VLOOKUP(C55,[7]Summary!$C$8:$E$205,3,0)</f>
        <v>315000</v>
      </c>
      <c r="P55" s="1227"/>
      <c r="Q55" s="1227"/>
      <c r="R55" s="1235">
        <f t="shared" si="17"/>
        <v>5295724.563348</v>
      </c>
      <c r="S55" s="1235">
        <f t="shared" si="18"/>
        <v>36894.2560248</v>
      </c>
      <c r="T55" s="1236">
        <f t="shared" si="19"/>
        <v>5332618.8193728</v>
      </c>
      <c r="U55" s="1270">
        <v>44409</v>
      </c>
      <c r="V55" s="1271">
        <v>44500</v>
      </c>
      <c r="W55" s="1062"/>
      <c r="Z55" s="1293"/>
      <c r="AA55" s="1293"/>
      <c r="AB55" s="1288" t="str">
        <f>+VLOOKUP(B55,'[6]SURABAYA ANTERAJA'!$C$7:$D$218,2,0)</f>
        <v>BAMBAN SATRIAWAN</v>
      </c>
    </row>
    <row r="56" ht="15.75" customHeight="1">
      <c r="A56" s="1027" t="s">
        <v>24</v>
      </c>
      <c r="B56" s="245" t="s">
        <v>1876</v>
      </c>
      <c r="C56" s="1039" t="s">
        <v>1877</v>
      </c>
      <c r="D56" s="491" t="s">
        <v>34</v>
      </c>
      <c r="E56" s="491" t="s">
        <v>193</v>
      </c>
      <c r="F56" s="491" t="s">
        <v>177</v>
      </c>
      <c r="G56" s="304">
        <v>4300479</v>
      </c>
      <c r="H56" s="1045">
        <v>0</v>
      </c>
      <c r="I56" s="298">
        <f ref="I56:I87" t="shared" si="22">+$I$4*4.89%</f>
        <v>210293.4231</v>
      </c>
      <c r="J56" s="298">
        <f ref="J56:J87" t="shared" si="23">+$I$4*4%</f>
        <v>172019.16</v>
      </c>
      <c r="K56" s="298">
        <f ref="K56:K87" t="shared" si="24">+$I$4*2%</f>
        <v>86009.58</v>
      </c>
      <c r="L56" s="298">
        <v>15000</v>
      </c>
      <c r="M56" s="295">
        <f t="shared" si="20"/>
        <v>4783801.1631</v>
      </c>
      <c r="N56" s="303">
        <f ref="N56:N87" t="shared" si="25">+M56*8%</f>
        <v>382704.093048</v>
      </c>
      <c r="O56" s="399">
        <v>286000</v>
      </c>
      <c r="P56" s="399"/>
      <c r="Q56" s="399"/>
      <c r="R56" s="335">
        <f ref="R56:R87" t="shared" si="26">SUM(M56:Q56)</f>
        <v>5452505.256148</v>
      </c>
      <c r="S56" s="335">
        <f ref="S56:S87" t="shared" si="27">N56*0.1</f>
        <v>38270.4093048</v>
      </c>
      <c r="T56" s="336">
        <f ref="T56:T87" t="shared" si="28">R56+S56</f>
        <v>5490775.6654528</v>
      </c>
      <c r="U56" s="417">
        <v>44345</v>
      </c>
      <c r="V56" s="337">
        <v>44439</v>
      </c>
      <c r="W56" s="1175"/>
      <c r="Z56" s="1292"/>
      <c r="AA56" s="1292"/>
      <c r="AB56" s="1288" t="str">
        <f>+VLOOKUP(B56,'[6]SURABAYA ANTERAJA'!$C$7:$D$218,2,0)</f>
        <v>BAMBANG ADI MERDEKA</v>
      </c>
    </row>
    <row r="57" ht="15.75" customHeight="1">
      <c r="A57" s="1027" t="s">
        <v>24</v>
      </c>
      <c r="B57" s="1025" t="s">
        <v>1878</v>
      </c>
      <c r="C57" s="1026" t="s">
        <v>1879</v>
      </c>
      <c r="D57" s="1027" t="s">
        <v>34</v>
      </c>
      <c r="E57" s="1027" t="s">
        <v>193</v>
      </c>
      <c r="F57" s="1027" t="s">
        <v>177</v>
      </c>
      <c r="G57" s="1045">
        <v>4300479</v>
      </c>
      <c r="H57" s="1045">
        <v>0</v>
      </c>
      <c r="I57" s="1225">
        <f t="shared" si="22"/>
        <v>210293.4231</v>
      </c>
      <c r="J57" s="1225">
        <f t="shared" si="23"/>
        <v>172019.16</v>
      </c>
      <c r="K57" s="1225">
        <f t="shared" si="24"/>
        <v>86009.58</v>
      </c>
      <c r="L57" s="1225">
        <v>15000</v>
      </c>
      <c r="M57" s="295">
        <f t="shared" si="20"/>
        <v>4783801.1631</v>
      </c>
      <c r="N57" s="1226">
        <f t="shared" si="25"/>
        <v>382704.093048</v>
      </c>
      <c r="O57" s="399">
        <f>+VLOOKUP(C57,[7]Summary!$C$8:$E$205,3,0)</f>
        <v>464000</v>
      </c>
      <c r="P57" s="1227"/>
      <c r="Q57" s="1227"/>
      <c r="R57" s="1235">
        <f t="shared" si="26"/>
        <v>5630505.256147999</v>
      </c>
      <c r="S57" s="1235">
        <f t="shared" si="27"/>
        <v>38270.4093048</v>
      </c>
      <c r="T57" s="1236">
        <f t="shared" si="28"/>
        <v>5668775.6654528</v>
      </c>
      <c r="U57" s="1270">
        <v>44378</v>
      </c>
      <c r="V57" s="1271">
        <v>44469</v>
      </c>
      <c r="W57" s="1062"/>
      <c r="Z57" s="1293"/>
      <c r="AA57" s="1293"/>
      <c r="AB57" s="1288" t="str">
        <f>+VLOOKUP(B57,'[6]SURABAYA ANTERAJA'!$C$7:$D$218,2,0)</f>
        <v>BARI ISKANDAR</v>
      </c>
    </row>
    <row r="58" ht="15.75" customHeight="1">
      <c r="A58" s="1027" t="s">
        <v>24</v>
      </c>
      <c r="B58" s="1025" t="s">
        <v>1880</v>
      </c>
      <c r="C58" s="1026" t="s">
        <v>1881</v>
      </c>
      <c r="D58" s="1027" t="s">
        <v>34</v>
      </c>
      <c r="E58" s="1215" t="s">
        <v>193</v>
      </c>
      <c r="F58" s="1215" t="s">
        <v>177</v>
      </c>
      <c r="G58" s="1045">
        <v>4300479</v>
      </c>
      <c r="H58" s="1045">
        <v>-172019.16</v>
      </c>
      <c r="I58" s="1225">
        <f t="shared" si="22"/>
        <v>210293.4231</v>
      </c>
      <c r="J58" s="1225">
        <f t="shared" si="23"/>
        <v>172019.16</v>
      </c>
      <c r="K58" s="1225">
        <f t="shared" si="24"/>
        <v>86009.58</v>
      </c>
      <c r="L58" s="1225">
        <v>15000</v>
      </c>
      <c r="M58" s="295">
        <f t="shared" si="20"/>
        <v>4611782.0031</v>
      </c>
      <c r="N58" s="1226">
        <f t="shared" si="25"/>
        <v>368942.560248</v>
      </c>
      <c r="O58" s="399">
        <f>+VLOOKUP(C58,[7]Summary!$C$8:$E$205,3,0)</f>
        <v>525000</v>
      </c>
      <c r="P58" s="1227"/>
      <c r="Q58" s="1227"/>
      <c r="R58" s="1235">
        <f t="shared" si="26"/>
        <v>5505724.563348</v>
      </c>
      <c r="S58" s="1235">
        <f t="shared" si="27"/>
        <v>36894.2560248</v>
      </c>
      <c r="T58" s="1236">
        <f t="shared" si="28"/>
        <v>5542618.8193728</v>
      </c>
      <c r="U58" s="1270">
        <v>44409</v>
      </c>
      <c r="V58" s="1271">
        <v>44439</v>
      </c>
      <c r="W58" s="1062"/>
      <c r="X58" s="1288"/>
      <c r="Y58" s="1288"/>
      <c r="AB58" s="1288" t="str">
        <f>+VLOOKUP(B58,'[6]SURABAYA ANTERAJA'!$C$7:$D$218,2,0)</f>
        <v>BAYU DIAN ARISANDI</v>
      </c>
    </row>
    <row r="59" ht="15.75" customHeight="1">
      <c r="A59" s="1027" t="s">
        <v>24</v>
      </c>
      <c r="B59" s="228">
        <v>2205</v>
      </c>
      <c r="C59" s="1127" t="s">
        <v>1882</v>
      </c>
      <c r="D59" s="679" t="s">
        <v>34</v>
      </c>
      <c r="E59" s="679" t="s">
        <v>193</v>
      </c>
      <c r="F59" s="679" t="s">
        <v>177</v>
      </c>
      <c r="G59" s="395">
        <v>4300479</v>
      </c>
      <c r="H59" s="1045">
        <v>0</v>
      </c>
      <c r="I59" s="293">
        <f t="shared" si="22"/>
        <v>210293.4231</v>
      </c>
      <c r="J59" s="293">
        <f t="shared" si="23"/>
        <v>172019.16</v>
      </c>
      <c r="K59" s="293">
        <f t="shared" si="24"/>
        <v>86009.58</v>
      </c>
      <c r="L59" s="293">
        <v>15000</v>
      </c>
      <c r="M59" s="295">
        <f t="shared" si="20"/>
        <v>4783801.1631</v>
      </c>
      <c r="N59" s="296">
        <f t="shared" si="25"/>
        <v>382704.093048</v>
      </c>
      <c r="O59" s="399">
        <f>+VLOOKUP(C59,[7]Summary!$C$8:$E$205,3,0)</f>
        <v>975000</v>
      </c>
      <c r="P59" s="447"/>
      <c r="Q59" s="447"/>
      <c r="R59" s="328">
        <f t="shared" si="26"/>
        <v>6141505.256147999</v>
      </c>
      <c r="S59" s="328">
        <f t="shared" si="27"/>
        <v>38270.4093048</v>
      </c>
      <c r="T59" s="329">
        <f t="shared" si="28"/>
        <v>6179775.6654528</v>
      </c>
      <c r="U59" s="1272">
        <v>44409</v>
      </c>
      <c r="V59" s="155">
        <v>44500</v>
      </c>
      <c r="W59" s="1169"/>
      <c r="X59" s="1288"/>
      <c r="Y59" s="1288"/>
      <c r="Z59" s="1294"/>
      <c r="AA59" s="1294"/>
      <c r="AB59" s="1288" t="str">
        <f>+VLOOKUP(B59,'[6]SURABAYA ANTERAJA'!$C$7:$D$218,2,0)</f>
        <v>BENI SETIAWAN</v>
      </c>
    </row>
    <row r="60" ht="15.75" customHeight="1">
      <c r="A60" s="1027" t="s">
        <v>24</v>
      </c>
      <c r="B60" s="1257" t="s">
        <v>1883</v>
      </c>
      <c r="C60" s="1260" t="s">
        <v>1884</v>
      </c>
      <c r="D60" s="1027" t="s">
        <v>34</v>
      </c>
      <c r="E60" s="1027" t="s">
        <v>193</v>
      </c>
      <c r="F60" s="1027" t="s">
        <v>177</v>
      </c>
      <c r="G60" s="1045">
        <v>4300479</v>
      </c>
      <c r="H60" s="1045">
        <v>-172019.16</v>
      </c>
      <c r="I60" s="1225">
        <f t="shared" si="22"/>
        <v>210293.4231</v>
      </c>
      <c r="J60" s="1225">
        <f t="shared" si="23"/>
        <v>172019.16</v>
      </c>
      <c r="K60" s="1225">
        <f t="shared" si="24"/>
        <v>86009.58</v>
      </c>
      <c r="L60" s="1225">
        <v>15000</v>
      </c>
      <c r="M60" s="295">
        <f t="shared" si="20"/>
        <v>4611782.0031</v>
      </c>
      <c r="N60" s="1226">
        <f t="shared" si="25"/>
        <v>368942.560248</v>
      </c>
      <c r="O60" s="399">
        <f>+VLOOKUP(C60,[7]Summary!$C$8:$E$205,3,0)</f>
        <v>407000</v>
      </c>
      <c r="P60" s="1227"/>
      <c r="Q60" s="1227"/>
      <c r="R60" s="1235">
        <f t="shared" si="26"/>
        <v>5387724.563348</v>
      </c>
      <c r="S60" s="1235">
        <f t="shared" si="27"/>
        <v>36894.2560248</v>
      </c>
      <c r="T60" s="1236">
        <f t="shared" si="28"/>
        <v>5424618.8193728</v>
      </c>
      <c r="U60" s="1237">
        <v>44378</v>
      </c>
      <c r="V60" s="1291">
        <v>44469</v>
      </c>
      <c r="W60" s="1062"/>
      <c r="X60" s="1288"/>
      <c r="Y60" s="1288"/>
      <c r="Z60" s="1288"/>
      <c r="AA60" s="1288"/>
      <c r="AB60" s="1288" t="str">
        <f>+VLOOKUP(B60,'[6]SURABAYA ANTERAJA'!$C$7:$D$218,2,0)</f>
        <v>BILLY DIMAS DANU BARATA</v>
      </c>
    </row>
    <row r="61" ht="15.75" customHeight="1">
      <c r="A61" s="1027" t="s">
        <v>24</v>
      </c>
      <c r="B61" s="1257" t="s">
        <v>1885</v>
      </c>
      <c r="C61" s="1258" t="s">
        <v>1886</v>
      </c>
      <c r="D61" s="1027" t="s">
        <v>34</v>
      </c>
      <c r="E61" s="1027" t="s">
        <v>193</v>
      </c>
      <c r="F61" s="1027" t="s">
        <v>177</v>
      </c>
      <c r="G61" s="1045">
        <v>4300479</v>
      </c>
      <c r="H61" s="1045">
        <v>0</v>
      </c>
      <c r="I61" s="1225">
        <f t="shared" si="22"/>
        <v>210293.4231</v>
      </c>
      <c r="J61" s="1225">
        <f t="shared" si="23"/>
        <v>172019.16</v>
      </c>
      <c r="K61" s="1225">
        <f t="shared" si="24"/>
        <v>86009.58</v>
      </c>
      <c r="L61" s="1225">
        <v>15000</v>
      </c>
      <c r="M61" s="295">
        <f t="shared" si="20"/>
        <v>4783801.1631</v>
      </c>
      <c r="N61" s="1226">
        <f t="shared" si="25"/>
        <v>382704.093048</v>
      </c>
      <c r="O61" s="399">
        <f>+VLOOKUP(C61,[7]Summary!$C$8:$E$205,3,0)</f>
        <v>720000</v>
      </c>
      <c r="P61" s="1227"/>
      <c r="Q61" s="1227"/>
      <c r="R61" s="1235">
        <f t="shared" si="26"/>
        <v>5886505.256147999</v>
      </c>
      <c r="S61" s="1235">
        <f t="shared" si="27"/>
        <v>38270.4093048</v>
      </c>
      <c r="T61" s="1236">
        <f t="shared" si="28"/>
        <v>5924775.6654528</v>
      </c>
      <c r="U61" s="1270">
        <v>44378</v>
      </c>
      <c r="V61" s="1271">
        <v>44469</v>
      </c>
      <c r="W61" s="1062"/>
      <c r="X61" s="1288"/>
      <c r="Y61" s="1288"/>
      <c r="Z61" s="1288"/>
      <c r="AA61" s="1288"/>
      <c r="AB61" s="1288" t="str">
        <f>+VLOOKUP(B61,'[6]SURABAYA ANTERAJA'!$C$7:$D$218,2,0)</f>
        <v>BOY CAROLIN </v>
      </c>
    </row>
    <row r="62" ht="15.75" customHeight="1">
      <c r="A62" s="1027" t="s">
        <v>24</v>
      </c>
      <c r="B62" s="1257" t="s">
        <v>1887</v>
      </c>
      <c r="C62" s="1258" t="s">
        <v>1888</v>
      </c>
      <c r="D62" s="1027" t="s">
        <v>34</v>
      </c>
      <c r="E62" s="1027" t="s">
        <v>193</v>
      </c>
      <c r="F62" s="1027" t="s">
        <v>177</v>
      </c>
      <c r="G62" s="1045">
        <v>4300479</v>
      </c>
      <c r="H62" s="1045">
        <v>-172019.16</v>
      </c>
      <c r="I62" s="1225">
        <f t="shared" si="22"/>
        <v>210293.4231</v>
      </c>
      <c r="J62" s="1225">
        <f t="shared" si="23"/>
        <v>172019.16</v>
      </c>
      <c r="K62" s="1225">
        <f t="shared" si="24"/>
        <v>86009.58</v>
      </c>
      <c r="L62" s="1225">
        <v>15000</v>
      </c>
      <c r="M62" s="295">
        <f t="shared" si="20"/>
        <v>4611782.0031</v>
      </c>
      <c r="N62" s="1226">
        <f t="shared" si="25"/>
        <v>368942.560248</v>
      </c>
      <c r="O62" s="399">
        <f>+VLOOKUP(C62,[7]Summary!$C$8:$E$205,3,0)</f>
        <v>49000</v>
      </c>
      <c r="P62" s="1227"/>
      <c r="Q62" s="1227"/>
      <c r="R62" s="1235">
        <f t="shared" si="26"/>
        <v>5029724.563348</v>
      </c>
      <c r="S62" s="1235">
        <f t="shared" si="27"/>
        <v>36894.2560248</v>
      </c>
      <c r="T62" s="1236">
        <f t="shared" si="28"/>
        <v>5066618.8193728</v>
      </c>
      <c r="U62" s="1270">
        <v>44378</v>
      </c>
      <c r="V62" s="1271">
        <v>44469</v>
      </c>
      <c r="W62" s="1062"/>
      <c r="X62" s="1288"/>
      <c r="Y62" s="1288"/>
      <c r="AB62" s="1288" t="str">
        <f>+VLOOKUP(B62,'[6]SURABAYA ANTERAJA'!$C$7:$D$218,2,0)</f>
        <v>BUDI MARDIANTO</v>
      </c>
    </row>
    <row r="63" ht="15.75" customHeight="1">
      <c r="A63" s="1027" t="s">
        <v>24</v>
      </c>
      <c r="B63" s="228" t="s">
        <v>1889</v>
      </c>
      <c r="C63" s="1127" t="s">
        <v>1890</v>
      </c>
      <c r="D63" s="679" t="s">
        <v>34</v>
      </c>
      <c r="E63" s="679" t="s">
        <v>193</v>
      </c>
      <c r="F63" s="679" t="s">
        <v>177</v>
      </c>
      <c r="G63" s="395">
        <v>4300479</v>
      </c>
      <c r="H63" s="1045">
        <v>-172019.16</v>
      </c>
      <c r="I63" s="293">
        <f t="shared" si="22"/>
        <v>210293.4231</v>
      </c>
      <c r="J63" s="293">
        <f t="shared" si="23"/>
        <v>172019.16</v>
      </c>
      <c r="K63" s="293">
        <f t="shared" si="24"/>
        <v>86009.58</v>
      </c>
      <c r="L63" s="293">
        <v>15000</v>
      </c>
      <c r="M63" s="295">
        <f t="shared" si="20"/>
        <v>4611782.0031</v>
      </c>
      <c r="N63" s="296">
        <f t="shared" si="25"/>
        <v>368942.560248</v>
      </c>
      <c r="O63" s="399">
        <f>+VLOOKUP(C63,[7]Summary!$C$8:$E$205,3,0)</f>
        <v>360000</v>
      </c>
      <c r="P63" s="447"/>
      <c r="Q63" s="447"/>
      <c r="R63" s="328">
        <f t="shared" si="26"/>
        <v>5340724.563348</v>
      </c>
      <c r="S63" s="328">
        <f t="shared" si="27"/>
        <v>36894.2560248</v>
      </c>
      <c r="T63" s="329">
        <f t="shared" si="28"/>
        <v>5377618.8193728</v>
      </c>
      <c r="U63" s="1272">
        <v>44409</v>
      </c>
      <c r="V63" s="155">
        <v>44500</v>
      </c>
      <c r="W63" s="1169"/>
      <c r="X63" s="1288"/>
      <c r="Y63" s="1288"/>
      <c r="Z63" s="1294"/>
      <c r="AA63" s="1294"/>
      <c r="AB63" s="1288" t="str">
        <f>+VLOOKUP(B63,'[6]SURABAYA ANTERAJA'!$C$7:$D$218,2,0)</f>
        <v>CAHYO ADJI SAPUTRO</v>
      </c>
    </row>
    <row r="64" ht="15.75" customHeight="1">
      <c r="A64" s="1027" t="s">
        <v>24</v>
      </c>
      <c r="B64" s="1025" t="s">
        <v>603</v>
      </c>
      <c r="C64" s="1026" t="s">
        <v>604</v>
      </c>
      <c r="D64" s="1027" t="s">
        <v>34</v>
      </c>
      <c r="E64" s="1215" t="s">
        <v>193</v>
      </c>
      <c r="F64" s="1215" t="s">
        <v>177</v>
      </c>
      <c r="G64" s="1045">
        <v>4300479</v>
      </c>
      <c r="H64" s="1045">
        <v>0</v>
      </c>
      <c r="I64" s="1225">
        <f t="shared" si="22"/>
        <v>210293.4231</v>
      </c>
      <c r="J64" s="1225">
        <f t="shared" si="23"/>
        <v>172019.16</v>
      </c>
      <c r="K64" s="1225">
        <f t="shared" si="24"/>
        <v>86009.58</v>
      </c>
      <c r="L64" s="1225">
        <v>15000</v>
      </c>
      <c r="M64" s="295">
        <f t="shared" si="20"/>
        <v>4783801.1631</v>
      </c>
      <c r="N64" s="1226">
        <f t="shared" si="25"/>
        <v>382704.093048</v>
      </c>
      <c r="O64" s="399">
        <f>+VLOOKUP(C64,[7]Summary!$C$8:$E$205,3,0)</f>
        <v>170000</v>
      </c>
      <c r="P64" s="1227"/>
      <c r="Q64" s="1227"/>
      <c r="R64" s="1235">
        <f t="shared" si="26"/>
        <v>5336505.256147999</v>
      </c>
      <c r="S64" s="1235">
        <f t="shared" si="27"/>
        <v>38270.4093048</v>
      </c>
      <c r="T64" s="1236">
        <f t="shared" si="28"/>
        <v>5374775.6654528</v>
      </c>
      <c r="U64" s="1270">
        <v>44409</v>
      </c>
      <c r="V64" s="1271">
        <v>44500</v>
      </c>
      <c r="W64" s="1062"/>
      <c r="X64" s="1288"/>
      <c r="Y64" s="1288"/>
      <c r="AB64" s="1288" t="str">
        <f>+VLOOKUP(B64,'[6]SURABAYA ANTERAJA'!$C$7:$D$218,2,0)</f>
        <v>CATUR LANGGENG WIBISONO</v>
      </c>
    </row>
    <row r="65" ht="15.75" customHeight="1">
      <c r="A65" s="1027" t="s">
        <v>24</v>
      </c>
      <c r="B65" s="245" t="s">
        <v>1891</v>
      </c>
      <c r="C65" s="1039" t="s">
        <v>1165</v>
      </c>
      <c r="D65" s="491" t="s">
        <v>34</v>
      </c>
      <c r="E65" s="366" t="s">
        <v>193</v>
      </c>
      <c r="F65" s="366" t="s">
        <v>177</v>
      </c>
      <c r="G65" s="304">
        <v>4300479</v>
      </c>
      <c r="H65" s="1045">
        <v>0</v>
      </c>
      <c r="I65" s="298">
        <f t="shared" si="22"/>
        <v>210293.4231</v>
      </c>
      <c r="J65" s="298">
        <f t="shared" si="23"/>
        <v>172019.16</v>
      </c>
      <c r="K65" s="298">
        <f t="shared" si="24"/>
        <v>86009.58</v>
      </c>
      <c r="L65" s="298">
        <v>15000</v>
      </c>
      <c r="M65" s="295">
        <f t="shared" si="20"/>
        <v>4783801.1631</v>
      </c>
      <c r="N65" s="303">
        <f t="shared" si="25"/>
        <v>382704.093048</v>
      </c>
      <c r="O65" s="399">
        <v>75000</v>
      </c>
      <c r="P65" s="399"/>
      <c r="Q65" s="399"/>
      <c r="R65" s="335">
        <f t="shared" si="26"/>
        <v>5241505.256148</v>
      </c>
      <c r="S65" s="335">
        <f t="shared" si="27"/>
        <v>38270.4093048</v>
      </c>
      <c r="T65" s="336">
        <f t="shared" si="28"/>
        <v>5279775.6654528</v>
      </c>
      <c r="U65" s="417">
        <v>44341</v>
      </c>
      <c r="V65" s="337">
        <v>44439</v>
      </c>
      <c r="W65" s="1175"/>
      <c r="X65" s="1288"/>
      <c r="Y65" s="1288"/>
      <c r="Z65" s="1292"/>
      <c r="AA65" s="1292"/>
      <c r="AB65" s="1288" t="str">
        <f>+VLOOKUP(B65,'[6]SURABAYA ANTERAJA'!$C$7:$D$218,2,0)</f>
        <v>DANANG SETIAWAN</v>
      </c>
    </row>
    <row r="66" ht="15.75" customHeight="1">
      <c r="A66" s="1027" t="s">
        <v>24</v>
      </c>
      <c r="B66" s="239" t="s">
        <v>1892</v>
      </c>
      <c r="C66" s="1153" t="s">
        <v>1893</v>
      </c>
      <c r="D66" s="491" t="s">
        <v>34</v>
      </c>
      <c r="E66" s="491" t="s">
        <v>193</v>
      </c>
      <c r="F66" s="491" t="s">
        <v>177</v>
      </c>
      <c r="G66" s="304">
        <v>4300479</v>
      </c>
      <c r="H66" s="1045">
        <v>0</v>
      </c>
      <c r="I66" s="298">
        <f t="shared" si="22"/>
        <v>210293.4231</v>
      </c>
      <c r="J66" s="298">
        <f t="shared" si="23"/>
        <v>172019.16</v>
      </c>
      <c r="K66" s="298">
        <f t="shared" si="24"/>
        <v>86009.58</v>
      </c>
      <c r="L66" s="298">
        <v>15000</v>
      </c>
      <c r="M66" s="295">
        <f t="shared" si="20"/>
        <v>4783801.1631</v>
      </c>
      <c r="N66" s="303">
        <f t="shared" si="25"/>
        <v>382704.093048</v>
      </c>
      <c r="O66" s="399">
        <v>425000</v>
      </c>
      <c r="P66" s="399"/>
      <c r="Q66" s="399"/>
      <c r="R66" s="335">
        <f t="shared" si="26"/>
        <v>5591505.256148</v>
      </c>
      <c r="S66" s="335">
        <f t="shared" si="27"/>
        <v>38270.4093048</v>
      </c>
      <c r="T66" s="336">
        <f t="shared" si="28"/>
        <v>5629775.6654528</v>
      </c>
      <c r="U66" s="417">
        <v>44409</v>
      </c>
      <c r="V66" s="337">
        <v>44500</v>
      </c>
      <c r="W66" s="1175"/>
      <c r="X66" s="1288"/>
      <c r="Y66" s="1288"/>
      <c r="Z66" s="1292"/>
      <c r="AA66" s="1292"/>
      <c r="AB66" s="1288" t="str">
        <f>+VLOOKUP(B66,'[6]SURABAYA ANTERAJA'!$C$7:$D$218,2,0)</f>
        <v>DANI EKA PRASETYO</v>
      </c>
    </row>
    <row r="67" ht="15.75" customHeight="1">
      <c r="A67" s="1027" t="s">
        <v>24</v>
      </c>
      <c r="B67" s="228" t="s">
        <v>1894</v>
      </c>
      <c r="C67" s="1127" t="s">
        <v>1895</v>
      </c>
      <c r="D67" s="679" t="s">
        <v>34</v>
      </c>
      <c r="E67" s="679" t="s">
        <v>193</v>
      </c>
      <c r="F67" s="679" t="s">
        <v>177</v>
      </c>
      <c r="G67" s="395">
        <v>4300479</v>
      </c>
      <c r="H67" s="1045">
        <v>-688076.64</v>
      </c>
      <c r="I67" s="293">
        <f t="shared" si="22"/>
        <v>210293.4231</v>
      </c>
      <c r="J67" s="293">
        <f t="shared" si="23"/>
        <v>172019.16</v>
      </c>
      <c r="K67" s="293">
        <f t="shared" si="24"/>
        <v>86009.58</v>
      </c>
      <c r="L67" s="293">
        <v>15000</v>
      </c>
      <c r="M67" s="295">
        <f t="shared" si="20"/>
        <v>4095724.5231</v>
      </c>
      <c r="N67" s="296">
        <f t="shared" si="25"/>
        <v>327657.961848</v>
      </c>
      <c r="O67" s="399">
        <f>+VLOOKUP(C67,[7]Summary!$C$8:$E$205,3,0)</f>
        <v>445000</v>
      </c>
      <c r="P67" s="447"/>
      <c r="Q67" s="447"/>
      <c r="R67" s="328">
        <f t="shared" si="26"/>
        <v>4868382.484948</v>
      </c>
      <c r="S67" s="328">
        <f t="shared" si="27"/>
        <v>32765.7961848</v>
      </c>
      <c r="T67" s="329">
        <f t="shared" si="28"/>
        <v>4901148.2811328</v>
      </c>
      <c r="U67" s="1272">
        <v>44378</v>
      </c>
      <c r="V67" s="155">
        <v>44469</v>
      </c>
      <c r="W67" s="1169"/>
      <c r="X67" s="1288"/>
      <c r="Y67" s="1288"/>
      <c r="Z67" s="1294"/>
      <c r="AA67" s="1294"/>
      <c r="AB67" s="1288" t="str">
        <f>+VLOOKUP(B67,'[6]SURABAYA ANTERAJA'!$C$7:$D$218,2,0)</f>
        <v>DAVID DARMAWAN</v>
      </c>
    </row>
    <row r="68" ht="15.75" customHeight="1">
      <c r="A68" s="1027" t="s">
        <v>24</v>
      </c>
      <c r="B68" s="1025" t="s">
        <v>1896</v>
      </c>
      <c r="C68" s="1026" t="s">
        <v>1897</v>
      </c>
      <c r="D68" s="1027" t="s">
        <v>34</v>
      </c>
      <c r="E68" s="1215" t="s">
        <v>193</v>
      </c>
      <c r="F68" s="1215" t="s">
        <v>177</v>
      </c>
      <c r="G68" s="1045">
        <v>4300479</v>
      </c>
      <c r="H68" s="1045">
        <v>-172019.16</v>
      </c>
      <c r="I68" s="1225">
        <f t="shared" si="22"/>
        <v>210293.4231</v>
      </c>
      <c r="J68" s="1225">
        <f t="shared" si="23"/>
        <v>172019.16</v>
      </c>
      <c r="K68" s="1225">
        <f t="shared" si="24"/>
        <v>86009.58</v>
      </c>
      <c r="L68" s="1225">
        <v>15000</v>
      </c>
      <c r="M68" s="295">
        <f t="shared" si="20"/>
        <v>4611782.0031</v>
      </c>
      <c r="N68" s="1226">
        <f t="shared" si="25"/>
        <v>368942.560248</v>
      </c>
      <c r="O68" s="399">
        <f>+VLOOKUP(C68,[7]Summary!$C$8:$E$205,3,0)</f>
        <v>930000</v>
      </c>
      <c r="P68" s="1227"/>
      <c r="Q68" s="1227"/>
      <c r="R68" s="1235">
        <f t="shared" si="26"/>
        <v>5910724.563348</v>
      </c>
      <c r="S68" s="1235">
        <f t="shared" si="27"/>
        <v>36894.2560248</v>
      </c>
      <c r="T68" s="1236">
        <f t="shared" si="28"/>
        <v>5947618.8193728</v>
      </c>
      <c r="U68" s="1270">
        <v>44378</v>
      </c>
      <c r="V68" s="1271">
        <v>44469</v>
      </c>
      <c r="W68" s="1062"/>
      <c r="X68" s="1288"/>
      <c r="Y68" s="1288"/>
      <c r="Z68" s="1288"/>
      <c r="AA68" s="1288"/>
      <c r="AB68" s="1288" t="str">
        <f>+VLOOKUP(B68,'[6]SURABAYA ANTERAJA'!$C$7:$D$218,2,0)</f>
        <v>DEDE ADAM NUGIE NUGRAHA </v>
      </c>
    </row>
    <row r="69" ht="15.75" customHeight="1">
      <c r="A69" s="1027" t="s">
        <v>24</v>
      </c>
      <c r="B69" s="245" t="s">
        <v>1898</v>
      </c>
      <c r="C69" s="1039" t="s">
        <v>1899</v>
      </c>
      <c r="D69" s="491" t="s">
        <v>34</v>
      </c>
      <c r="E69" s="366" t="s">
        <v>193</v>
      </c>
      <c r="F69" s="366" t="s">
        <v>177</v>
      </c>
      <c r="G69" s="304">
        <v>4300479</v>
      </c>
      <c r="H69" s="1045">
        <v>0</v>
      </c>
      <c r="I69" s="298">
        <f t="shared" si="22"/>
        <v>210293.4231</v>
      </c>
      <c r="J69" s="298">
        <f t="shared" si="23"/>
        <v>172019.16</v>
      </c>
      <c r="K69" s="298">
        <f t="shared" si="24"/>
        <v>86009.58</v>
      </c>
      <c r="L69" s="298">
        <v>15000</v>
      </c>
      <c r="M69" s="295">
        <f t="shared" si="20"/>
        <v>4783801.1631</v>
      </c>
      <c r="N69" s="303">
        <f t="shared" si="25"/>
        <v>382704.093048</v>
      </c>
      <c r="O69" s="399">
        <f>+VLOOKUP(C69,[7]Summary!$C$8:$E$205,3,0)</f>
        <v>485000</v>
      </c>
      <c r="P69" s="399"/>
      <c r="Q69" s="399"/>
      <c r="R69" s="335">
        <f t="shared" si="26"/>
        <v>5651505.256147999</v>
      </c>
      <c r="S69" s="335">
        <f t="shared" si="27"/>
        <v>38270.4093048</v>
      </c>
      <c r="T69" s="336">
        <f t="shared" si="28"/>
        <v>5689775.6654528</v>
      </c>
      <c r="U69" s="417">
        <v>44391</v>
      </c>
      <c r="V69" s="337">
        <v>44469</v>
      </c>
      <c r="W69" s="1290"/>
      <c r="X69" s="1288"/>
      <c r="Y69" s="1288"/>
      <c r="Z69" s="1146"/>
      <c r="AA69" s="1146"/>
      <c r="AB69" s="1288" t="str">
        <f>+VLOOKUP(B69,'[6]SURABAYA ANTERAJA'!$C$7:$D$218,2,0)</f>
        <v>DEDI SUCAHYONO</v>
      </c>
    </row>
    <row r="70" ht="15.75" customHeight="1">
      <c r="A70" s="1027" t="s">
        <v>24</v>
      </c>
      <c r="B70" s="1257" t="s">
        <v>1900</v>
      </c>
      <c r="C70" s="1258" t="s">
        <v>646</v>
      </c>
      <c r="D70" s="1027" t="s">
        <v>34</v>
      </c>
      <c r="E70" s="1027" t="s">
        <v>193</v>
      </c>
      <c r="F70" s="1027" t="s">
        <v>177</v>
      </c>
      <c r="G70" s="1045">
        <v>4300479</v>
      </c>
      <c r="H70" s="1045">
        <v>0</v>
      </c>
      <c r="I70" s="1225">
        <f t="shared" si="22"/>
        <v>210293.4231</v>
      </c>
      <c r="J70" s="1225">
        <f t="shared" si="23"/>
        <v>172019.16</v>
      </c>
      <c r="K70" s="1225">
        <f t="shared" si="24"/>
        <v>86009.58</v>
      </c>
      <c r="L70" s="1225">
        <v>15000</v>
      </c>
      <c r="M70" s="295">
        <f t="shared" si="20"/>
        <v>4783801.1631</v>
      </c>
      <c r="N70" s="1226">
        <f t="shared" si="25"/>
        <v>382704.093048</v>
      </c>
      <c r="O70" s="399">
        <f>+VLOOKUP(C70,[7]Summary!$C$8:$E$205,3,0)</f>
        <v>700000</v>
      </c>
      <c r="P70" s="1227"/>
      <c r="Q70" s="1227"/>
      <c r="R70" s="1235">
        <f t="shared" si="26"/>
        <v>5866505.256147999</v>
      </c>
      <c r="S70" s="1235">
        <f t="shared" si="27"/>
        <v>38270.4093048</v>
      </c>
      <c r="T70" s="1236">
        <f t="shared" si="28"/>
        <v>5904775.6654528</v>
      </c>
      <c r="U70" s="1270">
        <v>44378</v>
      </c>
      <c r="V70" s="1271">
        <v>44469</v>
      </c>
      <c r="W70" s="1062"/>
      <c r="X70" s="1288"/>
      <c r="Y70" s="1288"/>
      <c r="AB70" s="1288" t="str">
        <f>+VLOOKUP(B70,'[6]SURABAYA ANTERAJA'!$C$7:$D$218,2,0)</f>
        <v>DEDY PERMADI</v>
      </c>
    </row>
    <row r="71" ht="15.75" customHeight="1">
      <c r="A71" s="1027" t="s">
        <v>24</v>
      </c>
      <c r="B71" s="228" t="s">
        <v>1901</v>
      </c>
      <c r="C71" s="1127" t="s">
        <v>1902</v>
      </c>
      <c r="D71" s="679" t="s">
        <v>34</v>
      </c>
      <c r="E71" s="679" t="s">
        <v>193</v>
      </c>
      <c r="F71" s="679" t="s">
        <v>177</v>
      </c>
      <c r="G71" s="395">
        <v>4300479</v>
      </c>
      <c r="H71" s="1045">
        <v>-172019.16</v>
      </c>
      <c r="I71" s="293">
        <f t="shared" si="22"/>
        <v>210293.4231</v>
      </c>
      <c r="J71" s="293">
        <f t="shared" si="23"/>
        <v>172019.16</v>
      </c>
      <c r="K71" s="293">
        <f t="shared" si="24"/>
        <v>86009.58</v>
      </c>
      <c r="L71" s="293">
        <v>15000</v>
      </c>
      <c r="M71" s="295">
        <f t="shared" si="20"/>
        <v>4611782.0031</v>
      </c>
      <c r="N71" s="296">
        <f t="shared" si="25"/>
        <v>368942.560248</v>
      </c>
      <c r="O71" s="399">
        <f>+VLOOKUP(C71,[7]Summary!$C$8:$E$205,3,0)</f>
        <v>700000</v>
      </c>
      <c r="P71" s="447"/>
      <c r="Q71" s="447"/>
      <c r="R71" s="328">
        <f t="shared" si="26"/>
        <v>5680724.563348</v>
      </c>
      <c r="S71" s="328">
        <f t="shared" si="27"/>
        <v>36894.2560248</v>
      </c>
      <c r="T71" s="329">
        <f t="shared" si="28"/>
        <v>5717618.8193728</v>
      </c>
      <c r="U71" s="1272">
        <v>44378</v>
      </c>
      <c r="V71" s="155">
        <v>44469</v>
      </c>
      <c r="W71" s="1169"/>
      <c r="X71" s="1288"/>
      <c r="Y71" s="1288"/>
      <c r="Z71" s="1294"/>
      <c r="AA71" s="1294"/>
      <c r="AB71" s="1288" t="str">
        <f>+VLOOKUP(B71,'[6]SURABAYA ANTERAJA'!$C$7:$D$218,2,0)</f>
        <v>DENI KURNIAWAN</v>
      </c>
    </row>
    <row r="72" ht="15.75" customHeight="1">
      <c r="A72" s="1027" t="s">
        <v>24</v>
      </c>
      <c r="B72" s="228" t="s">
        <v>1903</v>
      </c>
      <c r="C72" s="1127" t="s">
        <v>1904</v>
      </c>
      <c r="D72" s="679" t="s">
        <v>34</v>
      </c>
      <c r="E72" s="679" t="s">
        <v>193</v>
      </c>
      <c r="F72" s="679" t="s">
        <v>177</v>
      </c>
      <c r="G72" s="395">
        <v>4300479</v>
      </c>
      <c r="H72" s="1045">
        <v>-172019.16</v>
      </c>
      <c r="I72" s="293">
        <f t="shared" si="22"/>
        <v>210293.4231</v>
      </c>
      <c r="J72" s="293">
        <f t="shared" si="23"/>
        <v>172019.16</v>
      </c>
      <c r="K72" s="293">
        <f t="shared" si="24"/>
        <v>86009.58</v>
      </c>
      <c r="L72" s="293">
        <v>15000</v>
      </c>
      <c r="M72" s="295">
        <f t="shared" si="20"/>
        <v>4611782.0031</v>
      </c>
      <c r="N72" s="296">
        <f t="shared" si="25"/>
        <v>368942.560248</v>
      </c>
      <c r="O72" s="399">
        <f>+VLOOKUP(C72,[7]Summary!$C$8:$E$205,3,0)</f>
        <v>845000</v>
      </c>
      <c r="P72" s="447"/>
      <c r="Q72" s="447"/>
      <c r="R72" s="328">
        <f t="shared" si="26"/>
        <v>5825724.563348</v>
      </c>
      <c r="S72" s="328">
        <f t="shared" si="27"/>
        <v>36894.2560248</v>
      </c>
      <c r="T72" s="329">
        <f t="shared" si="28"/>
        <v>5862618.8193728</v>
      </c>
      <c r="U72" s="1272">
        <v>44409</v>
      </c>
      <c r="V72" s="155">
        <v>44500</v>
      </c>
      <c r="W72" s="1169"/>
      <c r="X72" s="1288"/>
      <c r="Y72" s="1288"/>
      <c r="Z72" s="1294"/>
      <c r="AA72" s="1294"/>
      <c r="AB72" s="1288" t="str">
        <f>+VLOOKUP(B72,'[6]SURABAYA ANTERAJA'!$C$7:$D$218,2,0)</f>
        <v>DERI ARVIANTO</v>
      </c>
    </row>
    <row r="73" ht="15.75" customHeight="1">
      <c r="A73" s="1027" t="s">
        <v>24</v>
      </c>
      <c r="B73" s="1257" t="s">
        <v>1905</v>
      </c>
      <c r="C73" s="1258" t="s">
        <v>1906</v>
      </c>
      <c r="D73" s="1027" t="s">
        <v>34</v>
      </c>
      <c r="E73" s="1027" t="s">
        <v>193</v>
      </c>
      <c r="F73" s="1027" t="s">
        <v>177</v>
      </c>
      <c r="G73" s="1045">
        <v>4300479</v>
      </c>
      <c r="H73" s="1259"/>
      <c r="I73" s="1225">
        <f t="shared" si="22"/>
        <v>210293.4231</v>
      </c>
      <c r="J73" s="1225">
        <f t="shared" si="23"/>
        <v>172019.16</v>
      </c>
      <c r="K73" s="1225">
        <f t="shared" si="24"/>
        <v>86009.58</v>
      </c>
      <c r="L73" s="1225">
        <v>15000</v>
      </c>
      <c r="M73" s="295">
        <f t="shared" si="20"/>
        <v>4783801.1631</v>
      </c>
      <c r="N73" s="1226">
        <f t="shared" si="25"/>
        <v>382704.093048</v>
      </c>
      <c r="O73" s="399">
        <f>+VLOOKUP(C73,[7]Summary!$C$8:$E$205,3,0)</f>
        <v>570000</v>
      </c>
      <c r="P73" s="1227"/>
      <c r="Q73" s="1227"/>
      <c r="R73" s="1235">
        <f t="shared" si="26"/>
        <v>5736505.256147999</v>
      </c>
      <c r="S73" s="1235">
        <f t="shared" si="27"/>
        <v>38270.4093048</v>
      </c>
      <c r="T73" s="1236">
        <f t="shared" si="28"/>
        <v>5774775.6654528</v>
      </c>
      <c r="U73" s="1270">
        <v>44378</v>
      </c>
      <c r="V73" s="1271">
        <v>44469</v>
      </c>
      <c r="W73" s="1062"/>
      <c r="X73" s="1288"/>
      <c r="Y73" s="1288"/>
      <c r="AB73" s="1288" t="str">
        <f>+VLOOKUP(B73,'[6]SURABAYA ANTERAJA'!$C$7:$D$218,2,0)</f>
        <v>DIAN AGUS SUSANTO</v>
      </c>
    </row>
    <row r="74" ht="15.75" customHeight="1">
      <c r="A74" s="1027" t="s">
        <v>24</v>
      </c>
      <c r="B74" s="239" t="s">
        <v>1907</v>
      </c>
      <c r="C74" s="1153" t="s">
        <v>1908</v>
      </c>
      <c r="D74" s="491" t="s">
        <v>34</v>
      </c>
      <c r="E74" s="491" t="s">
        <v>193</v>
      </c>
      <c r="F74" s="491" t="s">
        <v>177</v>
      </c>
      <c r="G74" s="304">
        <v>4300479</v>
      </c>
      <c r="H74" s="1045">
        <v>-172019.16</v>
      </c>
      <c r="I74" s="298">
        <f t="shared" si="22"/>
        <v>210293.4231</v>
      </c>
      <c r="J74" s="298">
        <f t="shared" si="23"/>
        <v>172019.16</v>
      </c>
      <c r="K74" s="298">
        <f t="shared" si="24"/>
        <v>86009.58</v>
      </c>
      <c r="L74" s="298">
        <v>15000</v>
      </c>
      <c r="M74" s="295">
        <f t="shared" si="20"/>
        <v>4611782.0031</v>
      </c>
      <c r="N74" s="303">
        <f t="shared" si="25"/>
        <v>368942.560248</v>
      </c>
      <c r="O74" s="399">
        <v>365000</v>
      </c>
      <c r="P74" s="399"/>
      <c r="Q74" s="399"/>
      <c r="R74" s="335">
        <f t="shared" si="26"/>
        <v>5345724.563348</v>
      </c>
      <c r="S74" s="335">
        <f t="shared" si="27"/>
        <v>36894.2560248</v>
      </c>
      <c r="T74" s="336">
        <f t="shared" si="28"/>
        <v>5382618.8193728</v>
      </c>
      <c r="U74" s="417">
        <v>44383</v>
      </c>
      <c r="V74" s="337">
        <v>44469</v>
      </c>
      <c r="W74" s="1290"/>
      <c r="X74" s="1288"/>
      <c r="Y74" s="1288"/>
      <c r="Z74" s="1146"/>
      <c r="AA74" s="1146"/>
      <c r="AB74" s="1288" t="str">
        <f>+VLOOKUP(B74,'[6]SURABAYA ANTERAJA'!$C$7:$D$218,2,0)</f>
        <v>DIAN RAHMAT HERMANSYAH</v>
      </c>
    </row>
    <row r="75" ht="15.75" customHeight="1">
      <c r="A75" s="1027" t="s">
        <v>24</v>
      </c>
      <c r="B75" s="1257" t="s">
        <v>579</v>
      </c>
      <c r="C75" s="1258" t="s">
        <v>580</v>
      </c>
      <c r="D75" s="1027" t="s">
        <v>34</v>
      </c>
      <c r="E75" s="1027" t="s">
        <v>193</v>
      </c>
      <c r="F75" s="1027" t="s">
        <v>177</v>
      </c>
      <c r="G75" s="1045">
        <v>4300479</v>
      </c>
      <c r="H75" s="1045">
        <v>0</v>
      </c>
      <c r="I75" s="1225">
        <f t="shared" si="22"/>
        <v>210293.4231</v>
      </c>
      <c r="J75" s="1225">
        <f t="shared" si="23"/>
        <v>172019.16</v>
      </c>
      <c r="K75" s="1225">
        <f t="shared" si="24"/>
        <v>86009.58</v>
      </c>
      <c r="L75" s="1225">
        <v>15000</v>
      </c>
      <c r="M75" s="295">
        <f t="shared" si="20"/>
        <v>4783801.1631</v>
      </c>
      <c r="N75" s="1226">
        <f t="shared" si="25"/>
        <v>382704.093048</v>
      </c>
      <c r="O75" s="399">
        <f>+VLOOKUP(C75,[7]Summary!$C$8:$E$205,3,0)</f>
        <v>1102500</v>
      </c>
      <c r="P75" s="1227"/>
      <c r="Q75" s="1227"/>
      <c r="R75" s="1235">
        <f t="shared" si="26"/>
        <v>6269005.256147999</v>
      </c>
      <c r="S75" s="1235">
        <f t="shared" si="27"/>
        <v>38270.4093048</v>
      </c>
      <c r="T75" s="1236">
        <f t="shared" si="28"/>
        <v>6307275.6654528</v>
      </c>
      <c r="U75" s="1270">
        <v>44378</v>
      </c>
      <c r="V75" s="1271">
        <v>44469</v>
      </c>
      <c r="W75" s="1062"/>
      <c r="X75" s="1288"/>
      <c r="Y75" s="1288"/>
      <c r="AB75" s="1288" t="str">
        <f>+VLOOKUP(B75,'[6]SURABAYA ANTERAJA'!$C$7:$D$218,2,0)</f>
        <v>DIKA SUSANTO</v>
      </c>
    </row>
    <row r="76" ht="15.75" customHeight="1">
      <c r="A76" s="1027" t="s">
        <v>24</v>
      </c>
      <c r="B76" s="239" t="s">
        <v>1909</v>
      </c>
      <c r="C76" s="1153" t="s">
        <v>1910</v>
      </c>
      <c r="D76" s="491" t="s">
        <v>34</v>
      </c>
      <c r="E76" s="491" t="s">
        <v>193</v>
      </c>
      <c r="F76" s="491" t="s">
        <v>177</v>
      </c>
      <c r="G76" s="304">
        <v>4300479</v>
      </c>
      <c r="H76" s="1045">
        <v>0</v>
      </c>
      <c r="I76" s="298">
        <f t="shared" si="22"/>
        <v>210293.4231</v>
      </c>
      <c r="J76" s="298">
        <f t="shared" si="23"/>
        <v>172019.16</v>
      </c>
      <c r="K76" s="298">
        <f t="shared" si="24"/>
        <v>86009.58</v>
      </c>
      <c r="L76" s="298">
        <v>15000</v>
      </c>
      <c r="M76" s="295">
        <f t="shared" si="20"/>
        <v>4783801.1631</v>
      </c>
      <c r="N76" s="303">
        <f t="shared" si="25"/>
        <v>382704.093048</v>
      </c>
      <c r="O76" s="399">
        <v>670000</v>
      </c>
      <c r="P76" s="399"/>
      <c r="Q76" s="399"/>
      <c r="R76" s="335">
        <f t="shared" si="26"/>
        <v>5836505.256148</v>
      </c>
      <c r="S76" s="335">
        <f t="shared" si="27"/>
        <v>38270.4093048</v>
      </c>
      <c r="T76" s="336">
        <f t="shared" si="28"/>
        <v>5874775.6654528</v>
      </c>
      <c r="U76" s="417">
        <v>44354</v>
      </c>
      <c r="V76" s="337">
        <v>44439</v>
      </c>
      <c r="W76" s="1175"/>
      <c r="X76" s="1288"/>
      <c r="Y76" s="1288"/>
      <c r="Z76" s="1292"/>
      <c r="AA76" s="1292"/>
      <c r="AB76" s="1288" t="str">
        <f>+VLOOKUP(B76,'[6]SURABAYA ANTERAJA'!$C$7:$D$218,2,0)</f>
        <v>DIMAS PRAMANA SUHARDI</v>
      </c>
    </row>
    <row r="77" ht="15.75" customHeight="1">
      <c r="A77" s="1027" t="s">
        <v>24</v>
      </c>
      <c r="B77" s="1257" t="s">
        <v>1911</v>
      </c>
      <c r="C77" s="1258" t="s">
        <v>1912</v>
      </c>
      <c r="D77" s="1027" t="s">
        <v>34</v>
      </c>
      <c r="E77" s="1027" t="s">
        <v>193</v>
      </c>
      <c r="F77" s="1027" t="s">
        <v>177</v>
      </c>
      <c r="G77" s="1045">
        <v>4300479</v>
      </c>
      <c r="H77" s="1045">
        <v>-172019.16</v>
      </c>
      <c r="I77" s="1225">
        <f t="shared" si="22"/>
        <v>210293.4231</v>
      </c>
      <c r="J77" s="1225">
        <f t="shared" si="23"/>
        <v>172019.16</v>
      </c>
      <c r="K77" s="1225">
        <f t="shared" si="24"/>
        <v>86009.58</v>
      </c>
      <c r="L77" s="1225">
        <v>15000</v>
      </c>
      <c r="M77" s="295">
        <f t="shared" si="20"/>
        <v>4611782.0031</v>
      </c>
      <c r="N77" s="1226">
        <f t="shared" si="25"/>
        <v>368942.560248</v>
      </c>
      <c r="O77" s="399">
        <v>567500</v>
      </c>
      <c r="P77" s="1227"/>
      <c r="Q77" s="1227"/>
      <c r="R77" s="1235">
        <f t="shared" si="26"/>
        <v>5548224.563348</v>
      </c>
      <c r="S77" s="1235">
        <f t="shared" si="27"/>
        <v>36894.2560248</v>
      </c>
      <c r="T77" s="1236">
        <f t="shared" si="28"/>
        <v>5585118.8193728</v>
      </c>
      <c r="U77" s="1270">
        <v>44378</v>
      </c>
      <c r="V77" s="1271">
        <v>44469</v>
      </c>
      <c r="W77" s="1062"/>
      <c r="X77" s="1288"/>
      <c r="Y77" s="1288"/>
      <c r="AB77" s="1288" t="str">
        <f>+VLOOKUP(B77,'[6]SURABAYA ANTERAJA'!$C$7:$D$218,2,0)</f>
        <v>DJOHAN IRAWAN </v>
      </c>
    </row>
    <row r="78" ht="15.75" customHeight="1">
      <c r="A78" s="1027" t="s">
        <v>24</v>
      </c>
      <c r="B78" s="1257" t="s">
        <v>581</v>
      </c>
      <c r="C78" s="1258" t="s">
        <v>582</v>
      </c>
      <c r="D78" s="1027" t="s">
        <v>34</v>
      </c>
      <c r="E78" s="1027" t="s">
        <v>193</v>
      </c>
      <c r="F78" s="1027" t="s">
        <v>177</v>
      </c>
      <c r="G78" s="1045">
        <v>4300479</v>
      </c>
      <c r="H78" s="1045">
        <v>-344038.32</v>
      </c>
      <c r="I78" s="1225">
        <f t="shared" si="22"/>
        <v>210293.4231</v>
      </c>
      <c r="J78" s="1225">
        <f t="shared" si="23"/>
        <v>172019.16</v>
      </c>
      <c r="K78" s="1225">
        <f t="shared" si="24"/>
        <v>86009.58</v>
      </c>
      <c r="L78" s="1225">
        <v>15000</v>
      </c>
      <c r="M78" s="295">
        <f t="shared" si="20"/>
        <v>4439762.8431</v>
      </c>
      <c r="N78" s="1226">
        <f t="shared" si="25"/>
        <v>355181.027448</v>
      </c>
      <c r="O78" s="399">
        <f>+VLOOKUP(C78,[7]Summary!$C$8:$E$205,3,0)</f>
        <v>1000000</v>
      </c>
      <c r="P78" s="1227"/>
      <c r="Q78" s="1227"/>
      <c r="R78" s="1235">
        <f t="shared" si="26"/>
        <v>5794943.870548001</v>
      </c>
      <c r="S78" s="1235">
        <f t="shared" si="27"/>
        <v>35518.1027448</v>
      </c>
      <c r="T78" s="1236">
        <f t="shared" si="28"/>
        <v>5830461.973292801</v>
      </c>
      <c r="U78" s="1270">
        <v>44378</v>
      </c>
      <c r="V78" s="1271">
        <v>44469</v>
      </c>
      <c r="W78" s="1062"/>
      <c r="X78" s="1288"/>
      <c r="Y78" s="1288"/>
      <c r="AB78" s="1288" t="str">
        <f>+VLOOKUP(B78,'[6]SURABAYA ANTERAJA'!$C$7:$D$218,2,0)</f>
        <v>DODIK FAJARIANTO</v>
      </c>
    </row>
    <row r="79" ht="15.75" customHeight="1">
      <c r="A79" s="1027" t="s">
        <v>24</v>
      </c>
      <c r="B79" s="1257" t="s">
        <v>1913</v>
      </c>
      <c r="C79" s="1258" t="s">
        <v>1914</v>
      </c>
      <c r="D79" s="1027" t="s">
        <v>34</v>
      </c>
      <c r="E79" s="1027" t="s">
        <v>193</v>
      </c>
      <c r="F79" s="1027" t="s">
        <v>177</v>
      </c>
      <c r="G79" s="1045">
        <v>4300479</v>
      </c>
      <c r="H79" s="1045">
        <v>-172019.16</v>
      </c>
      <c r="I79" s="1225">
        <f t="shared" si="22"/>
        <v>210293.4231</v>
      </c>
      <c r="J79" s="1225">
        <f t="shared" si="23"/>
        <v>172019.16</v>
      </c>
      <c r="K79" s="1225">
        <f t="shared" si="24"/>
        <v>86009.58</v>
      </c>
      <c r="L79" s="1225">
        <v>15000</v>
      </c>
      <c r="M79" s="295">
        <f t="shared" si="20"/>
        <v>4611782.0031</v>
      </c>
      <c r="N79" s="1226">
        <f t="shared" si="25"/>
        <v>368942.560248</v>
      </c>
      <c r="O79" s="399">
        <v>316000</v>
      </c>
      <c r="P79" s="1227"/>
      <c r="Q79" s="1227"/>
      <c r="R79" s="1235">
        <f t="shared" si="26"/>
        <v>5296724.563348</v>
      </c>
      <c r="S79" s="1235">
        <f t="shared" si="27"/>
        <v>36894.2560248</v>
      </c>
      <c r="T79" s="1236">
        <f t="shared" si="28"/>
        <v>5333618.8193728</v>
      </c>
      <c r="U79" s="1270">
        <v>44378</v>
      </c>
      <c r="V79" s="1271">
        <v>44469</v>
      </c>
      <c r="W79" s="1062"/>
      <c r="X79" s="1288"/>
      <c r="Y79" s="1288"/>
      <c r="AB79" s="1288" t="str">
        <f>+VLOOKUP(B79,'[6]SURABAYA ANTERAJA'!$C$7:$D$218,2,0)</f>
        <v>DODY HARTONO</v>
      </c>
    </row>
    <row r="80" ht="15.75" customHeight="1">
      <c r="A80" s="1027" t="s">
        <v>24</v>
      </c>
      <c r="B80" s="239" t="s">
        <v>1915</v>
      </c>
      <c r="C80" s="1153" t="s">
        <v>1916</v>
      </c>
      <c r="D80" s="491" t="s">
        <v>34</v>
      </c>
      <c r="E80" s="491" t="s">
        <v>193</v>
      </c>
      <c r="F80" s="491" t="s">
        <v>177</v>
      </c>
      <c r="G80" s="304">
        <v>4300479</v>
      </c>
      <c r="H80" s="1045">
        <v>-344038.32</v>
      </c>
      <c r="I80" s="298">
        <f t="shared" si="22"/>
        <v>210293.4231</v>
      </c>
      <c r="J80" s="298">
        <f t="shared" si="23"/>
        <v>172019.16</v>
      </c>
      <c r="K80" s="298">
        <f t="shared" si="24"/>
        <v>86009.58</v>
      </c>
      <c r="L80" s="298">
        <v>15000</v>
      </c>
      <c r="M80" s="295">
        <f t="shared" si="20"/>
        <v>4439762.8431</v>
      </c>
      <c r="N80" s="303">
        <f t="shared" si="25"/>
        <v>355181.027448</v>
      </c>
      <c r="O80" s="399">
        <f>+VLOOKUP(C80,[7]Summary!$C$8:$E$205,3,0)</f>
        <v>455000</v>
      </c>
      <c r="P80" s="399"/>
      <c r="Q80" s="399"/>
      <c r="R80" s="335">
        <f t="shared" si="26"/>
        <v>5249943.870548001</v>
      </c>
      <c r="S80" s="335">
        <f t="shared" si="27"/>
        <v>35518.1027448</v>
      </c>
      <c r="T80" s="336">
        <f t="shared" si="28"/>
        <v>5285461.973292801</v>
      </c>
      <c r="U80" s="417">
        <v>44351</v>
      </c>
      <c r="V80" s="337">
        <v>44450</v>
      </c>
      <c r="W80" s="1290"/>
      <c r="X80" s="1288"/>
      <c r="Y80" s="1288"/>
      <c r="Z80" s="1146"/>
      <c r="AA80" s="1146"/>
      <c r="AB80" s="1288" t="str">
        <f>+VLOOKUP(B80,'[6]SURABAYA ANTERAJA'!$C$7:$D$218,2,0)</f>
        <v>DWI SETIAWAN</v>
      </c>
    </row>
    <row r="81" ht="15.75" customHeight="1">
      <c r="A81" s="1027" t="s">
        <v>24</v>
      </c>
      <c r="B81" s="239" t="s">
        <v>1917</v>
      </c>
      <c r="C81" s="1153" t="s">
        <v>1918</v>
      </c>
      <c r="D81" s="491" t="s">
        <v>34</v>
      </c>
      <c r="E81" s="491" t="s">
        <v>193</v>
      </c>
      <c r="F81" s="491" t="s">
        <v>177</v>
      </c>
      <c r="G81" s="304">
        <v>4300479</v>
      </c>
      <c r="H81" s="1045">
        <v>0</v>
      </c>
      <c r="I81" s="298">
        <f t="shared" si="22"/>
        <v>210293.4231</v>
      </c>
      <c r="J81" s="298">
        <f t="shared" si="23"/>
        <v>172019.16</v>
      </c>
      <c r="K81" s="298">
        <f t="shared" si="24"/>
        <v>86009.58</v>
      </c>
      <c r="L81" s="298">
        <v>15000</v>
      </c>
      <c r="M81" s="295">
        <f t="shared" si="20"/>
        <v>4783801.1631</v>
      </c>
      <c r="N81" s="303">
        <f t="shared" si="25"/>
        <v>382704.093048</v>
      </c>
      <c r="O81" s="399">
        <v>404500</v>
      </c>
      <c r="P81" s="399"/>
      <c r="Q81" s="399"/>
      <c r="R81" s="335">
        <f t="shared" si="26"/>
        <v>5571005.256148</v>
      </c>
      <c r="S81" s="335">
        <f t="shared" si="27"/>
        <v>38270.4093048</v>
      </c>
      <c r="T81" s="336">
        <f t="shared" si="28"/>
        <v>5609275.6654528</v>
      </c>
      <c r="U81" s="417">
        <v>44409</v>
      </c>
      <c r="V81" s="337">
        <v>44500</v>
      </c>
      <c r="W81" s="1175"/>
      <c r="X81" s="1288"/>
      <c r="Y81" s="1288"/>
      <c r="Z81" s="1292"/>
      <c r="AA81" s="1292"/>
      <c r="AB81" s="1288" t="str">
        <f>+VLOOKUP(B81,'[6]SURABAYA ANTERAJA'!$C$7:$D$218,2,0)</f>
        <v>EDI PUTRA RAHARJO</v>
      </c>
    </row>
    <row r="82" ht="15.75" customHeight="1">
      <c r="A82" s="1027" t="s">
        <v>24</v>
      </c>
      <c r="B82" s="239" t="s">
        <v>1919</v>
      </c>
      <c r="C82" s="1153" t="s">
        <v>1920</v>
      </c>
      <c r="D82" s="491" t="s">
        <v>34</v>
      </c>
      <c r="E82" s="491" t="s">
        <v>193</v>
      </c>
      <c r="F82" s="491" t="s">
        <v>177</v>
      </c>
      <c r="G82" s="304">
        <v>4300479</v>
      </c>
      <c r="H82" s="1045">
        <v>-172019.16</v>
      </c>
      <c r="I82" s="298">
        <f t="shared" si="22"/>
        <v>210293.4231</v>
      </c>
      <c r="J82" s="298">
        <f t="shared" si="23"/>
        <v>172019.16</v>
      </c>
      <c r="K82" s="298">
        <f t="shared" si="24"/>
        <v>86009.58</v>
      </c>
      <c r="L82" s="298">
        <v>15000</v>
      </c>
      <c r="M82" s="295">
        <f t="shared" si="20"/>
        <v>4611782.0031</v>
      </c>
      <c r="N82" s="303">
        <f t="shared" si="25"/>
        <v>368942.560248</v>
      </c>
      <c r="O82" s="399">
        <f>+VLOOKUP(C82,[7]Summary!$C$8:$E$205,3,0)</f>
        <v>610000</v>
      </c>
      <c r="P82" s="399"/>
      <c r="Q82" s="399"/>
      <c r="R82" s="335">
        <f t="shared" si="26"/>
        <v>5590724.563348</v>
      </c>
      <c r="S82" s="335">
        <f t="shared" si="27"/>
        <v>36894.2560248</v>
      </c>
      <c r="T82" s="336">
        <f t="shared" si="28"/>
        <v>5627618.8193728</v>
      </c>
      <c r="U82" s="417">
        <v>44341</v>
      </c>
      <c r="V82" s="337">
        <v>44439</v>
      </c>
      <c r="W82" s="1175"/>
      <c r="X82" s="1288"/>
      <c r="Y82" s="1288"/>
      <c r="Z82" s="1292"/>
      <c r="AA82" s="1292"/>
      <c r="AB82" s="1288" t="str">
        <f>+VLOOKUP(B82,'[6]SURABAYA ANTERAJA'!$C$7:$D$218,2,0)</f>
        <v>EDO BAYU HARI SAPUTRA</v>
      </c>
    </row>
    <row r="83" ht="15.75" customHeight="1">
      <c r="A83" s="1027" t="s">
        <v>24</v>
      </c>
      <c r="B83" s="1257" t="s">
        <v>1921</v>
      </c>
      <c r="C83" s="1258" t="s">
        <v>496</v>
      </c>
      <c r="D83" s="1027" t="s">
        <v>34</v>
      </c>
      <c r="E83" s="1027" t="s">
        <v>193</v>
      </c>
      <c r="F83" s="1027" t="s">
        <v>177</v>
      </c>
      <c r="G83" s="1045">
        <v>4300479</v>
      </c>
      <c r="H83" s="1045">
        <v>0</v>
      </c>
      <c r="I83" s="1225">
        <f t="shared" si="22"/>
        <v>210293.4231</v>
      </c>
      <c r="J83" s="1225">
        <f t="shared" si="23"/>
        <v>172019.16</v>
      </c>
      <c r="K83" s="1225">
        <f t="shared" si="24"/>
        <v>86009.58</v>
      </c>
      <c r="L83" s="1225">
        <v>15000</v>
      </c>
      <c r="M83" s="295">
        <f t="shared" si="20"/>
        <v>4783801.1631</v>
      </c>
      <c r="N83" s="1226">
        <f t="shared" si="25"/>
        <v>382704.093048</v>
      </c>
      <c r="O83" s="399">
        <v>900000</v>
      </c>
      <c r="P83" s="1227"/>
      <c r="Q83" s="1227"/>
      <c r="R83" s="1235">
        <f t="shared" si="26"/>
        <v>6066505.256148</v>
      </c>
      <c r="S83" s="1235">
        <f t="shared" si="27"/>
        <v>38270.4093048</v>
      </c>
      <c r="T83" s="1236">
        <f t="shared" si="28"/>
        <v>6104775.6654528</v>
      </c>
      <c r="U83" s="1270">
        <v>44378</v>
      </c>
      <c r="V83" s="1271">
        <v>44469</v>
      </c>
      <c r="W83" s="1062"/>
      <c r="X83" s="1288"/>
      <c r="Y83" s="1288"/>
      <c r="Z83" s="1288"/>
      <c r="AA83" s="1288"/>
      <c r="AB83" s="1288" t="str">
        <f>+VLOOKUP(B83,'[6]SURABAYA ANTERAJA'!$C$7:$D$218,2,0)</f>
        <v>EDWIN WIDYANTO </v>
      </c>
    </row>
    <row r="84" ht="15.75" customHeight="1">
      <c r="A84" s="1027" t="s">
        <v>24</v>
      </c>
      <c r="B84" s="228">
        <v>2206</v>
      </c>
      <c r="C84" s="1127" t="s">
        <v>1922</v>
      </c>
      <c r="D84" s="679" t="s">
        <v>34</v>
      </c>
      <c r="E84" s="679" t="s">
        <v>193</v>
      </c>
      <c r="F84" s="679" t="s">
        <v>177</v>
      </c>
      <c r="G84" s="395">
        <v>4300479</v>
      </c>
      <c r="H84" s="1045">
        <v>0</v>
      </c>
      <c r="I84" s="293">
        <f t="shared" si="22"/>
        <v>210293.4231</v>
      </c>
      <c r="J84" s="293">
        <f t="shared" si="23"/>
        <v>172019.16</v>
      </c>
      <c r="K84" s="293">
        <f t="shared" si="24"/>
        <v>86009.58</v>
      </c>
      <c r="L84" s="293">
        <v>15000</v>
      </c>
      <c r="M84" s="295">
        <f t="shared" si="20"/>
        <v>4783801.1631</v>
      </c>
      <c r="N84" s="296">
        <f t="shared" si="25"/>
        <v>382704.093048</v>
      </c>
      <c r="O84" s="399">
        <f>+VLOOKUP(C84,[7]Summary!$C$8:$E$205,3,0)</f>
        <v>920000</v>
      </c>
      <c r="P84" s="447"/>
      <c r="Q84" s="447"/>
      <c r="R84" s="328">
        <f t="shared" si="26"/>
        <v>6086505.256147999</v>
      </c>
      <c r="S84" s="328">
        <f t="shared" si="27"/>
        <v>38270.4093048</v>
      </c>
      <c r="T84" s="329">
        <f t="shared" si="28"/>
        <v>6124775.6654528</v>
      </c>
      <c r="U84" s="1272">
        <v>44409</v>
      </c>
      <c r="V84" s="155">
        <v>44500</v>
      </c>
      <c r="W84" s="1169"/>
      <c r="X84" s="1288"/>
      <c r="Y84" s="1288"/>
      <c r="Z84" s="1294"/>
      <c r="AA84" s="1294"/>
      <c r="AB84" s="1288" t="str">
        <f>+VLOOKUP(B84,'[6]SURABAYA ANTERAJA'!$C$7:$D$218,2,0)</f>
        <v>EDY SUSANTO</v>
      </c>
    </row>
    <row r="85" ht="15.75" customHeight="1">
      <c r="A85" s="1027" t="s">
        <v>24</v>
      </c>
      <c r="B85" s="1257" t="s">
        <v>1923</v>
      </c>
      <c r="C85" s="1258" t="s">
        <v>1924</v>
      </c>
      <c r="D85" s="1027" t="s">
        <v>34</v>
      </c>
      <c r="E85" s="1027" t="s">
        <v>193</v>
      </c>
      <c r="F85" s="1027" t="s">
        <v>177</v>
      </c>
      <c r="G85" s="1045">
        <v>4300479</v>
      </c>
      <c r="H85" s="1045">
        <v>-172019.16</v>
      </c>
      <c r="I85" s="1225">
        <f t="shared" si="22"/>
        <v>210293.4231</v>
      </c>
      <c r="J85" s="1225">
        <f t="shared" si="23"/>
        <v>172019.16</v>
      </c>
      <c r="K85" s="1225">
        <f t="shared" si="24"/>
        <v>86009.58</v>
      </c>
      <c r="L85" s="1225">
        <v>15000</v>
      </c>
      <c r="M85" s="295">
        <f t="shared" si="20"/>
        <v>4611782.0031</v>
      </c>
      <c r="N85" s="1226">
        <f t="shared" si="25"/>
        <v>368942.560248</v>
      </c>
      <c r="O85" s="399">
        <v>975000</v>
      </c>
      <c r="P85" s="1227"/>
      <c r="Q85" s="1227"/>
      <c r="R85" s="1235">
        <f t="shared" si="26"/>
        <v>5955724.563348</v>
      </c>
      <c r="S85" s="1235">
        <f t="shared" si="27"/>
        <v>36894.2560248</v>
      </c>
      <c r="T85" s="1236">
        <f t="shared" si="28"/>
        <v>5992618.8193728</v>
      </c>
      <c r="U85" s="1270">
        <v>44348</v>
      </c>
      <c r="V85" s="1271">
        <v>44439</v>
      </c>
      <c r="W85" s="1062"/>
      <c r="X85" s="1288"/>
      <c r="Y85" s="1288"/>
      <c r="AB85" s="1288" t="str">
        <f>+VLOOKUP(B85,'[6]SURABAYA ANTERAJA'!$C$7:$D$218,2,0)</f>
        <v>EFENDI SUPIKIR </v>
      </c>
    </row>
    <row r="86" ht="15.75" customHeight="1">
      <c r="A86" s="1027" t="s">
        <v>24</v>
      </c>
      <c r="B86" s="1257" t="s">
        <v>1925</v>
      </c>
      <c r="C86" s="1258" t="s">
        <v>1926</v>
      </c>
      <c r="D86" s="1027" t="s">
        <v>34</v>
      </c>
      <c r="E86" s="1027" t="s">
        <v>193</v>
      </c>
      <c r="F86" s="1027" t="s">
        <v>177</v>
      </c>
      <c r="G86" s="1045">
        <v>4300479</v>
      </c>
      <c r="H86" s="1045">
        <v>-344038.32</v>
      </c>
      <c r="I86" s="1225">
        <f t="shared" si="22"/>
        <v>210293.4231</v>
      </c>
      <c r="J86" s="1225">
        <f t="shared" si="23"/>
        <v>172019.16</v>
      </c>
      <c r="K86" s="1225">
        <f t="shared" si="24"/>
        <v>86009.58</v>
      </c>
      <c r="L86" s="1225">
        <v>15000</v>
      </c>
      <c r="M86" s="295">
        <f t="shared" si="20"/>
        <v>4439762.8431</v>
      </c>
      <c r="N86" s="1226">
        <f t="shared" si="25"/>
        <v>355181.027448</v>
      </c>
      <c r="O86" s="399">
        <f>+VLOOKUP(C86,[7]Summary!$C$8:$E$205,3,0)</f>
        <v>173000</v>
      </c>
      <c r="P86" s="1227"/>
      <c r="Q86" s="1227"/>
      <c r="R86" s="1235">
        <f t="shared" si="26"/>
        <v>4967943.870548001</v>
      </c>
      <c r="S86" s="1235">
        <f t="shared" si="27"/>
        <v>35518.1027448</v>
      </c>
      <c r="T86" s="1236">
        <f t="shared" si="28"/>
        <v>5003461.973292801</v>
      </c>
      <c r="U86" s="1270">
        <v>44378</v>
      </c>
      <c r="V86" s="1271">
        <v>44469</v>
      </c>
      <c r="W86" s="1062"/>
      <c r="X86" s="1288"/>
      <c r="Y86" s="1288"/>
      <c r="AB86" s="1288" t="str">
        <f>+VLOOKUP(B86,'[6]SURABAYA ANTERAJA'!$C$7:$D$218,2,0)</f>
        <v>EKO KUSDIANTORO</v>
      </c>
    </row>
    <row r="87" ht="15.75" customHeight="1">
      <c r="A87" s="1027" t="s">
        <v>24</v>
      </c>
      <c r="B87" s="1531" t="s">
        <v>1927</v>
      </c>
      <c r="C87" s="1258" t="s">
        <v>219</v>
      </c>
      <c r="D87" s="1027" t="s">
        <v>34</v>
      </c>
      <c r="E87" s="1027" t="s">
        <v>193</v>
      </c>
      <c r="F87" s="1027" t="s">
        <v>177</v>
      </c>
      <c r="G87" s="1045">
        <v>4300479</v>
      </c>
      <c r="H87" s="1045">
        <v>0</v>
      </c>
      <c r="I87" s="1225">
        <f t="shared" si="22"/>
        <v>210293.4231</v>
      </c>
      <c r="J87" s="1225">
        <f t="shared" si="23"/>
        <v>172019.16</v>
      </c>
      <c r="K87" s="1225">
        <f t="shared" si="24"/>
        <v>86009.58</v>
      </c>
      <c r="L87" s="1225">
        <v>15000</v>
      </c>
      <c r="M87" s="295">
        <f t="shared" si="20"/>
        <v>4783801.1631</v>
      </c>
      <c r="N87" s="1226">
        <f t="shared" si="25"/>
        <v>382704.093048</v>
      </c>
      <c r="O87" s="399">
        <f>+VLOOKUP(C87,[7]Summary!$C$8:$E$205,3,0)</f>
        <v>425000</v>
      </c>
      <c r="P87" s="1227"/>
      <c r="Q87" s="1227"/>
      <c r="R87" s="1235">
        <f t="shared" si="26"/>
        <v>5591505.256147999</v>
      </c>
      <c r="S87" s="1235">
        <f t="shared" si="27"/>
        <v>38270.4093048</v>
      </c>
      <c r="T87" s="1236">
        <f t="shared" si="28"/>
        <v>5629775.6654528</v>
      </c>
      <c r="U87" s="1270">
        <v>44348</v>
      </c>
      <c r="V87" s="1271">
        <v>44439</v>
      </c>
      <c r="W87" s="1062"/>
      <c r="X87" s="1288"/>
      <c r="Y87" s="1288"/>
      <c r="Z87" s="1288"/>
      <c r="AA87" s="1288"/>
      <c r="AB87" s="1288" t="str">
        <f>+VLOOKUP(B87,'[6]SURABAYA ANTERAJA'!$C$7:$D$218,2,0)</f>
        <v>EKO RAHMAT FITRI DIONO</v>
      </c>
    </row>
    <row r="88" ht="15.75" customHeight="1">
      <c r="A88" s="1027" t="s">
        <v>24</v>
      </c>
      <c r="B88" s="239" t="s">
        <v>1928</v>
      </c>
      <c r="C88" s="1153" t="s">
        <v>1929</v>
      </c>
      <c r="D88" s="491" t="s">
        <v>34</v>
      </c>
      <c r="E88" s="491" t="s">
        <v>193</v>
      </c>
      <c r="F88" s="491" t="s">
        <v>177</v>
      </c>
      <c r="G88" s="304">
        <v>4300479</v>
      </c>
      <c r="H88" s="1045">
        <v>-172019.16</v>
      </c>
      <c r="I88" s="298">
        <f ref="I88:I119" t="shared" si="29">+$I$4*4.89%</f>
        <v>210293.4231</v>
      </c>
      <c r="J88" s="298">
        <f ref="J88:J119" t="shared" si="30">+$I$4*4%</f>
        <v>172019.16</v>
      </c>
      <c r="K88" s="298">
        <f ref="K88:K119" t="shared" si="31">+$I$4*2%</f>
        <v>86009.58</v>
      </c>
      <c r="L88" s="298">
        <v>15000</v>
      </c>
      <c r="M88" s="295">
        <f t="shared" si="20"/>
        <v>4611782.0031</v>
      </c>
      <c r="N88" s="303">
        <f ref="N88:N119" t="shared" si="32">+M88*8%</f>
        <v>368942.560248</v>
      </c>
      <c r="O88" s="399">
        <f>+VLOOKUP(C88,[7]Summary!$C$8:$E$205,3,0)</f>
        <v>1075000</v>
      </c>
      <c r="P88" s="399"/>
      <c r="Q88" s="399"/>
      <c r="R88" s="335">
        <f ref="R88:R119" t="shared" si="33">SUM(M88:Q88)</f>
        <v>6055724.563348</v>
      </c>
      <c r="S88" s="335">
        <f ref="S88:S119" t="shared" si="34">N88*0.1</f>
        <v>36894.2560248</v>
      </c>
      <c r="T88" s="336">
        <f ref="T88:T119" t="shared" si="35">R88+S88</f>
        <v>6092618.8193728</v>
      </c>
      <c r="U88" s="417">
        <v>44340</v>
      </c>
      <c r="V88" s="337">
        <v>44439</v>
      </c>
      <c r="W88" s="1175"/>
      <c r="X88" s="1288"/>
      <c r="Y88" s="1288"/>
      <c r="Z88" s="1292"/>
      <c r="AA88" s="1292"/>
      <c r="AB88" s="1288" t="str">
        <f>+VLOOKUP(B88,'[6]SURABAYA ANTERAJA'!$C$7:$D$218,2,0)</f>
        <v>EKO SUSILO</v>
      </c>
    </row>
    <row r="89" ht="15.75" customHeight="1">
      <c r="A89" s="1027" t="s">
        <v>24</v>
      </c>
      <c r="B89" s="1257" t="s">
        <v>1930</v>
      </c>
      <c r="C89" s="1258" t="s">
        <v>1931</v>
      </c>
      <c r="D89" s="1027" t="s">
        <v>34</v>
      </c>
      <c r="E89" s="1027" t="s">
        <v>193</v>
      </c>
      <c r="F89" s="1027" t="s">
        <v>177</v>
      </c>
      <c r="G89" s="1045">
        <v>4300479</v>
      </c>
      <c r="H89" s="1259"/>
      <c r="I89" s="1225">
        <f t="shared" si="29"/>
        <v>210293.4231</v>
      </c>
      <c r="J89" s="1225">
        <f t="shared" si="30"/>
        <v>172019.16</v>
      </c>
      <c r="K89" s="1225">
        <f t="shared" si="31"/>
        <v>86009.58</v>
      </c>
      <c r="L89" s="1225">
        <v>15000</v>
      </c>
      <c r="M89" s="295">
        <f ref="M89:M152" t="shared" si="36">SUM(G89:L89)</f>
        <v>4783801.1631</v>
      </c>
      <c r="N89" s="1226">
        <f t="shared" si="32"/>
        <v>382704.093048</v>
      </c>
      <c r="O89" s="399">
        <f>+VLOOKUP(C89,[7]Summary!$C$8:$E$205,3,0)</f>
        <v>470000</v>
      </c>
      <c r="P89" s="1227"/>
      <c r="Q89" s="1227"/>
      <c r="R89" s="1235">
        <f t="shared" si="33"/>
        <v>5636505.256147999</v>
      </c>
      <c r="S89" s="1235">
        <f t="shared" si="34"/>
        <v>38270.4093048</v>
      </c>
      <c r="T89" s="1236">
        <f t="shared" si="35"/>
        <v>5674775.6654528</v>
      </c>
      <c r="U89" s="1270">
        <v>44378</v>
      </c>
      <c r="V89" s="1271">
        <v>44469</v>
      </c>
      <c r="W89" s="1062"/>
      <c r="X89" s="1288"/>
      <c r="Y89" s="1288"/>
      <c r="AB89" s="1288" t="str">
        <f>+VLOOKUP(B89,'[6]SURABAYA ANTERAJA'!$C$7:$D$218,2,0)</f>
        <v>EKO WAHYU PRAKOSO</v>
      </c>
    </row>
    <row r="90" ht="15.75" customHeight="1">
      <c r="A90" s="1027" t="s">
        <v>24</v>
      </c>
      <c r="B90" s="1025" t="s">
        <v>1932</v>
      </c>
      <c r="C90" s="1026" t="s">
        <v>1933</v>
      </c>
      <c r="D90" s="1027" t="s">
        <v>34</v>
      </c>
      <c r="E90" s="1215" t="s">
        <v>193</v>
      </c>
      <c r="F90" s="1215" t="s">
        <v>177</v>
      </c>
      <c r="G90" s="1045">
        <v>4300479</v>
      </c>
      <c r="H90" s="1045">
        <v>-172019.16</v>
      </c>
      <c r="I90" s="1225">
        <f t="shared" si="29"/>
        <v>210293.4231</v>
      </c>
      <c r="J90" s="1225">
        <f t="shared" si="30"/>
        <v>172019.16</v>
      </c>
      <c r="K90" s="1225">
        <f t="shared" si="31"/>
        <v>86009.58</v>
      </c>
      <c r="L90" s="1225">
        <v>15000</v>
      </c>
      <c r="M90" s="295">
        <f t="shared" si="36"/>
        <v>4611782.0031</v>
      </c>
      <c r="N90" s="1226">
        <f t="shared" si="32"/>
        <v>368942.560248</v>
      </c>
      <c r="O90" s="399">
        <f>+VLOOKUP(C90,[7]Summary!$C$8:$E$205,3,0)</f>
        <v>515000</v>
      </c>
      <c r="P90" s="1227"/>
      <c r="Q90" s="1227"/>
      <c r="R90" s="1235">
        <f t="shared" si="33"/>
        <v>5495724.563348</v>
      </c>
      <c r="S90" s="1235">
        <f t="shared" si="34"/>
        <v>36894.2560248</v>
      </c>
      <c r="T90" s="1236">
        <f t="shared" si="35"/>
        <v>5532618.8193728</v>
      </c>
      <c r="U90" s="1270">
        <v>44378</v>
      </c>
      <c r="V90" s="1271">
        <v>44469</v>
      </c>
      <c r="W90" s="1062"/>
      <c r="X90" s="1288"/>
      <c r="Y90" s="1288"/>
      <c r="AB90" s="1288" t="str">
        <f>+VLOOKUP(B90,'[6]SURABAYA ANTERAJA'!$C$7:$D$218,2,0)</f>
        <v>ERIK FIRMANSYAH</v>
      </c>
    </row>
    <row r="91" ht="15.75" customHeight="1">
      <c r="A91" s="1027" t="s">
        <v>24</v>
      </c>
      <c r="B91" s="228" t="s">
        <v>1934</v>
      </c>
      <c r="C91" s="1127" t="s">
        <v>1935</v>
      </c>
      <c r="D91" s="679" t="s">
        <v>34</v>
      </c>
      <c r="E91" s="679" t="s">
        <v>193</v>
      </c>
      <c r="F91" s="679" t="s">
        <v>177</v>
      </c>
      <c r="G91" s="395">
        <v>4300479</v>
      </c>
      <c r="H91" s="1045">
        <v>0</v>
      </c>
      <c r="I91" s="293">
        <f t="shared" si="29"/>
        <v>210293.4231</v>
      </c>
      <c r="J91" s="293">
        <f t="shared" si="30"/>
        <v>172019.16</v>
      </c>
      <c r="K91" s="293">
        <f t="shared" si="31"/>
        <v>86009.58</v>
      </c>
      <c r="L91" s="293">
        <v>15000</v>
      </c>
      <c r="M91" s="295">
        <f t="shared" si="36"/>
        <v>4783801.1631</v>
      </c>
      <c r="N91" s="296">
        <f t="shared" si="32"/>
        <v>382704.093048</v>
      </c>
      <c r="O91" s="399">
        <v>1890000</v>
      </c>
      <c r="P91" s="447"/>
      <c r="Q91" s="447"/>
      <c r="R91" s="328">
        <f t="shared" si="33"/>
        <v>7056505.256148</v>
      </c>
      <c r="S91" s="328">
        <f t="shared" si="34"/>
        <v>38270.4093048</v>
      </c>
      <c r="T91" s="329">
        <f t="shared" si="35"/>
        <v>7094775.6654528</v>
      </c>
      <c r="U91" s="1272">
        <v>44378</v>
      </c>
      <c r="V91" s="155">
        <v>44469</v>
      </c>
      <c r="W91" s="1169"/>
      <c r="X91" s="1288"/>
      <c r="Y91" s="1288"/>
      <c r="Z91" s="1294"/>
      <c r="AA91" s="1294"/>
      <c r="AB91" s="1288" t="str">
        <f>+VLOOKUP(B91,'[6]SURABAYA ANTERAJA'!$C$7:$D$218,2,0)</f>
        <v>ERIK OKTAIL</v>
      </c>
    </row>
    <row r="92" ht="15.75" customHeight="1">
      <c r="A92" s="1027" t="s">
        <v>24</v>
      </c>
      <c r="B92" s="1257" t="s">
        <v>1936</v>
      </c>
      <c r="C92" s="1258" t="s">
        <v>1937</v>
      </c>
      <c r="D92" s="1027" t="s">
        <v>34</v>
      </c>
      <c r="E92" s="1027" t="s">
        <v>193</v>
      </c>
      <c r="F92" s="1027" t="s">
        <v>177</v>
      </c>
      <c r="G92" s="1045">
        <v>4300479</v>
      </c>
      <c r="H92" s="1045">
        <v>-516057.48</v>
      </c>
      <c r="I92" s="1225">
        <f t="shared" si="29"/>
        <v>210293.4231</v>
      </c>
      <c r="J92" s="1225">
        <f t="shared" si="30"/>
        <v>172019.16</v>
      </c>
      <c r="K92" s="1225">
        <f t="shared" si="31"/>
        <v>86009.58</v>
      </c>
      <c r="L92" s="1225">
        <v>15000</v>
      </c>
      <c r="M92" s="295">
        <f t="shared" si="36"/>
        <v>4267743.6831</v>
      </c>
      <c r="N92" s="1226">
        <f t="shared" si="32"/>
        <v>341419.494648</v>
      </c>
      <c r="O92" s="399">
        <f>+VLOOKUP(C92,[7]Summary!$C$8:$E$205,3,0)</f>
        <v>620000</v>
      </c>
      <c r="P92" s="1227"/>
      <c r="Q92" s="1227"/>
      <c r="R92" s="1235">
        <f t="shared" si="33"/>
        <v>5229163.177748</v>
      </c>
      <c r="S92" s="1235">
        <f t="shared" si="34"/>
        <v>34141.9494648</v>
      </c>
      <c r="T92" s="1236">
        <f t="shared" si="35"/>
        <v>5263305.1272128</v>
      </c>
      <c r="U92" s="1270">
        <v>44378</v>
      </c>
      <c r="V92" s="1271">
        <v>44469</v>
      </c>
      <c r="W92" s="1062"/>
      <c r="X92" s="1288"/>
      <c r="Y92" s="1288"/>
      <c r="AB92" s="1288" t="str">
        <f>+VLOOKUP(B92,'[6]SURABAYA ANTERAJA'!$C$7:$D$218,2,0)</f>
        <v>FAHMI HIDAYATULLAH</v>
      </c>
    </row>
    <row r="93" ht="15.75" customHeight="1">
      <c r="A93" s="1027" t="s">
        <v>24</v>
      </c>
      <c r="B93" s="1257" t="s">
        <v>1938</v>
      </c>
      <c r="C93" s="1258" t="s">
        <v>1939</v>
      </c>
      <c r="D93" s="1027" t="s">
        <v>34</v>
      </c>
      <c r="E93" s="1027" t="s">
        <v>193</v>
      </c>
      <c r="F93" s="1027" t="s">
        <v>177</v>
      </c>
      <c r="G93" s="1045">
        <v>4300479</v>
      </c>
      <c r="H93" s="1045">
        <v>-172019.16</v>
      </c>
      <c r="I93" s="1225">
        <f t="shared" si="29"/>
        <v>210293.4231</v>
      </c>
      <c r="J93" s="1225">
        <f t="shared" si="30"/>
        <v>172019.16</v>
      </c>
      <c r="K93" s="1225">
        <f t="shared" si="31"/>
        <v>86009.58</v>
      </c>
      <c r="L93" s="1225">
        <v>15000</v>
      </c>
      <c r="M93" s="295">
        <f t="shared" si="36"/>
        <v>4611782.0031</v>
      </c>
      <c r="N93" s="1226">
        <f t="shared" si="32"/>
        <v>368942.560248</v>
      </c>
      <c r="O93" s="399">
        <f>+VLOOKUP(C93,[7]Summary!$C$8:$E$205,3,0)</f>
        <v>430000</v>
      </c>
      <c r="P93" s="1227"/>
      <c r="Q93" s="1227"/>
      <c r="R93" s="1235">
        <f t="shared" si="33"/>
        <v>5410724.563348</v>
      </c>
      <c r="S93" s="1235">
        <f t="shared" si="34"/>
        <v>36894.2560248</v>
      </c>
      <c r="T93" s="1236">
        <f t="shared" si="35"/>
        <v>5447618.8193728</v>
      </c>
      <c r="U93" s="1270">
        <v>44378</v>
      </c>
      <c r="V93" s="1271">
        <v>44469</v>
      </c>
      <c r="W93" s="1062"/>
      <c r="X93" s="1288"/>
      <c r="Y93" s="1288"/>
      <c r="AB93" s="1288" t="str">
        <f>+VLOOKUP(B93,'[6]SURABAYA ANTERAJA'!$C$7:$D$218,2,0)</f>
        <v>FAIZAL AKBARI</v>
      </c>
    </row>
    <row r="94" ht="15.75" customHeight="1">
      <c r="A94" s="1027" t="s">
        <v>24</v>
      </c>
      <c r="B94" s="1257" t="s">
        <v>563</v>
      </c>
      <c r="C94" s="1258" t="s">
        <v>564</v>
      </c>
      <c r="D94" s="1027" t="s">
        <v>34</v>
      </c>
      <c r="E94" s="1027" t="s">
        <v>193</v>
      </c>
      <c r="F94" s="1027" t="s">
        <v>177</v>
      </c>
      <c r="G94" s="1045">
        <v>4300479</v>
      </c>
      <c r="H94" s="1045">
        <v>0</v>
      </c>
      <c r="I94" s="1225">
        <f t="shared" si="29"/>
        <v>210293.4231</v>
      </c>
      <c r="J94" s="1225">
        <f t="shared" si="30"/>
        <v>172019.16</v>
      </c>
      <c r="K94" s="1225">
        <f t="shared" si="31"/>
        <v>86009.58</v>
      </c>
      <c r="L94" s="1225">
        <v>15000</v>
      </c>
      <c r="M94" s="295">
        <f t="shared" si="36"/>
        <v>4783801.1631</v>
      </c>
      <c r="N94" s="1226">
        <f t="shared" si="32"/>
        <v>382704.093048</v>
      </c>
      <c r="O94" s="399">
        <f>+VLOOKUP(C94,[7]Summary!$C$8:$E$205,3,0)</f>
        <v>335000</v>
      </c>
      <c r="P94" s="1227"/>
      <c r="Q94" s="1227"/>
      <c r="R94" s="1235">
        <f t="shared" si="33"/>
        <v>5501505.256147999</v>
      </c>
      <c r="S94" s="1235">
        <f t="shared" si="34"/>
        <v>38270.4093048</v>
      </c>
      <c r="T94" s="1236">
        <f t="shared" si="35"/>
        <v>5539775.6654528</v>
      </c>
      <c r="U94" s="1270">
        <v>44378</v>
      </c>
      <c r="V94" s="1271">
        <v>44469</v>
      </c>
      <c r="W94" s="1062"/>
      <c r="X94" s="1288"/>
      <c r="Y94" s="1288"/>
      <c r="AB94" s="1288" t="str">
        <f>+VLOOKUP(B94,'[6]SURABAYA ANTERAJA'!$C$7:$D$218,2,0)</f>
        <v>FALDI FIRMAN IRZA</v>
      </c>
    </row>
    <row r="95" ht="15.75" customHeight="1">
      <c r="A95" s="1027" t="s">
        <v>24</v>
      </c>
      <c r="B95" s="1257" t="s">
        <v>1940</v>
      </c>
      <c r="C95" s="1258" t="s">
        <v>1941</v>
      </c>
      <c r="D95" s="1027" t="s">
        <v>34</v>
      </c>
      <c r="E95" s="1027" t="s">
        <v>193</v>
      </c>
      <c r="F95" s="1027" t="s">
        <v>177</v>
      </c>
      <c r="G95" s="1045">
        <v>4300479</v>
      </c>
      <c r="H95" s="1045">
        <v>-172019.16</v>
      </c>
      <c r="I95" s="1225">
        <f t="shared" si="29"/>
        <v>210293.4231</v>
      </c>
      <c r="J95" s="1225">
        <f t="shared" si="30"/>
        <v>172019.16</v>
      </c>
      <c r="K95" s="1225">
        <f t="shared" si="31"/>
        <v>86009.58</v>
      </c>
      <c r="L95" s="1225">
        <v>15000</v>
      </c>
      <c r="M95" s="295">
        <f t="shared" si="36"/>
        <v>4611782.0031</v>
      </c>
      <c r="N95" s="1226">
        <f t="shared" si="32"/>
        <v>368942.560248</v>
      </c>
      <c r="O95" s="399">
        <v>241000</v>
      </c>
      <c r="P95" s="1227"/>
      <c r="Q95" s="1227"/>
      <c r="R95" s="1235">
        <f t="shared" si="33"/>
        <v>5221724.563348</v>
      </c>
      <c r="S95" s="1235">
        <f t="shared" si="34"/>
        <v>36894.2560248</v>
      </c>
      <c r="T95" s="1236">
        <f t="shared" si="35"/>
        <v>5258618.8193728</v>
      </c>
      <c r="U95" s="1270">
        <v>44378</v>
      </c>
      <c r="V95" s="1271">
        <v>44469</v>
      </c>
      <c r="W95" s="1062"/>
      <c r="X95" s="1288"/>
      <c r="Y95" s="1288"/>
      <c r="AB95" s="1288" t="str">
        <f>+VLOOKUP(B95,'[6]SURABAYA ANTERAJA'!$C$7:$D$218,2,0)</f>
        <v>FARHAN  ARHIMSYAH</v>
      </c>
    </row>
    <row r="96" ht="15.75" customHeight="1">
      <c r="A96" s="1027" t="s">
        <v>24</v>
      </c>
      <c r="B96" s="228" t="s">
        <v>1942</v>
      </c>
      <c r="C96" s="1127" t="s">
        <v>1943</v>
      </c>
      <c r="D96" s="679" t="s">
        <v>34</v>
      </c>
      <c r="E96" s="679" t="s">
        <v>193</v>
      </c>
      <c r="F96" s="679" t="s">
        <v>177</v>
      </c>
      <c r="G96" s="395">
        <v>4300479</v>
      </c>
      <c r="H96" s="1045">
        <v>0</v>
      </c>
      <c r="I96" s="293">
        <f t="shared" si="29"/>
        <v>210293.4231</v>
      </c>
      <c r="J96" s="293">
        <f t="shared" si="30"/>
        <v>172019.16</v>
      </c>
      <c r="K96" s="293">
        <f t="shared" si="31"/>
        <v>86009.58</v>
      </c>
      <c r="L96" s="293">
        <v>15000</v>
      </c>
      <c r="M96" s="295">
        <f t="shared" si="36"/>
        <v>4783801.1631</v>
      </c>
      <c r="N96" s="296">
        <f t="shared" si="32"/>
        <v>382704.093048</v>
      </c>
      <c r="O96" s="399">
        <f>+VLOOKUP(C96,[7]Summary!$C$8:$E$205,3,0)</f>
        <v>542500</v>
      </c>
      <c r="P96" s="447"/>
      <c r="Q96" s="447"/>
      <c r="R96" s="328">
        <f t="shared" si="33"/>
        <v>5709005.256147999</v>
      </c>
      <c r="S96" s="328">
        <f t="shared" si="34"/>
        <v>38270.4093048</v>
      </c>
      <c r="T96" s="329">
        <f t="shared" si="35"/>
        <v>5747275.6654528</v>
      </c>
      <c r="U96" s="1272">
        <v>44378</v>
      </c>
      <c r="V96" s="155">
        <v>44469</v>
      </c>
      <c r="W96" s="1169"/>
      <c r="X96" s="1288"/>
      <c r="Y96" s="1288"/>
      <c r="Z96" s="1294"/>
      <c r="AA96" s="1294"/>
      <c r="AB96" s="1288" t="str">
        <f>+VLOOKUP(B96,'[6]SURABAYA ANTERAJA'!$C$7:$D$218,2,0)</f>
        <v>FARIZ ZULFIKAR</v>
      </c>
    </row>
    <row r="97" ht="15.75" customHeight="1">
      <c r="A97" s="1027" t="s">
        <v>24</v>
      </c>
      <c r="B97" s="1257" t="s">
        <v>1944</v>
      </c>
      <c r="C97" s="1258" t="s">
        <v>1945</v>
      </c>
      <c r="D97" s="1027" t="s">
        <v>34</v>
      </c>
      <c r="E97" s="1027" t="s">
        <v>193</v>
      </c>
      <c r="F97" s="1027" t="s">
        <v>177</v>
      </c>
      <c r="G97" s="1045">
        <v>4300479</v>
      </c>
      <c r="H97" s="1045">
        <v>0</v>
      </c>
      <c r="I97" s="1225">
        <f t="shared" si="29"/>
        <v>210293.4231</v>
      </c>
      <c r="J97" s="1225">
        <f t="shared" si="30"/>
        <v>172019.16</v>
      </c>
      <c r="K97" s="1225">
        <f t="shared" si="31"/>
        <v>86009.58</v>
      </c>
      <c r="L97" s="1225">
        <v>15000</v>
      </c>
      <c r="M97" s="295">
        <f t="shared" si="36"/>
        <v>4783801.1631</v>
      </c>
      <c r="N97" s="1226">
        <f t="shared" si="32"/>
        <v>382704.093048</v>
      </c>
      <c r="O97" s="399">
        <f>+VLOOKUP(C97,[7]Summary!$C$8:$E$205,3,0)</f>
        <v>1500000</v>
      </c>
      <c r="P97" s="1227"/>
      <c r="Q97" s="1227"/>
      <c r="R97" s="1235">
        <f t="shared" si="33"/>
        <v>6666505.256147999</v>
      </c>
      <c r="S97" s="1235">
        <f t="shared" si="34"/>
        <v>38270.4093048</v>
      </c>
      <c r="T97" s="1236">
        <f t="shared" si="35"/>
        <v>6704775.6654528</v>
      </c>
      <c r="U97" s="1270">
        <v>44378</v>
      </c>
      <c r="V97" s="1271">
        <v>44469</v>
      </c>
      <c r="W97" s="1062"/>
      <c r="X97" s="1288"/>
      <c r="Y97" s="1288"/>
      <c r="Z97" s="1288"/>
      <c r="AA97" s="1288"/>
      <c r="AB97" s="1288" t="str">
        <f>+VLOOKUP(B97,'[6]SURABAYA ANTERAJA'!$C$7:$D$218,2,0)</f>
        <v>FRASTIAN </v>
      </c>
    </row>
    <row r="98" ht="15.75" customHeight="1">
      <c r="A98" s="1027" t="s">
        <v>24</v>
      </c>
      <c r="B98" s="1257" t="s">
        <v>591</v>
      </c>
      <c r="C98" s="1258" t="s">
        <v>592</v>
      </c>
      <c r="D98" s="1027" t="s">
        <v>34</v>
      </c>
      <c r="E98" s="1027" t="s">
        <v>193</v>
      </c>
      <c r="F98" s="1027" t="s">
        <v>177</v>
      </c>
      <c r="G98" s="1045">
        <v>4300479</v>
      </c>
      <c r="H98" s="1045">
        <v>-172019.16</v>
      </c>
      <c r="I98" s="1225">
        <f t="shared" si="29"/>
        <v>210293.4231</v>
      </c>
      <c r="J98" s="1225">
        <f t="shared" si="30"/>
        <v>172019.16</v>
      </c>
      <c r="K98" s="1225">
        <f t="shared" si="31"/>
        <v>86009.58</v>
      </c>
      <c r="L98" s="1225">
        <v>15000</v>
      </c>
      <c r="M98" s="295">
        <f t="shared" si="36"/>
        <v>4611782.0031</v>
      </c>
      <c r="N98" s="1226">
        <f t="shared" si="32"/>
        <v>368942.560248</v>
      </c>
      <c r="O98" s="399">
        <f>+VLOOKUP(C98,[7]Summary!$C$8:$E$205,3,0)</f>
        <v>204000</v>
      </c>
      <c r="P98" s="1227"/>
      <c r="Q98" s="1227"/>
      <c r="R98" s="1235">
        <f t="shared" si="33"/>
        <v>5184724.563348</v>
      </c>
      <c r="S98" s="1235">
        <f t="shared" si="34"/>
        <v>36894.2560248</v>
      </c>
      <c r="T98" s="1236">
        <f t="shared" si="35"/>
        <v>5221618.8193728</v>
      </c>
      <c r="U98" s="1270">
        <v>44378</v>
      </c>
      <c r="V98" s="1271">
        <v>44469</v>
      </c>
      <c r="W98" s="1062"/>
      <c r="X98" s="1288"/>
      <c r="Y98" s="1288"/>
      <c r="AB98" s="1288" t="str">
        <f>+VLOOKUP(B98,'[6]SURABAYA ANTERAJA'!$C$7:$D$218,2,0)</f>
        <v>FUAD FAJRI SOBA</v>
      </c>
    </row>
    <row r="99" ht="15.75" customHeight="1">
      <c r="A99" s="1027" t="s">
        <v>24</v>
      </c>
      <c r="B99" s="239" t="s">
        <v>1946</v>
      </c>
      <c r="C99" s="1153" t="s">
        <v>1947</v>
      </c>
      <c r="D99" s="491" t="s">
        <v>34</v>
      </c>
      <c r="E99" s="491" t="s">
        <v>193</v>
      </c>
      <c r="F99" s="491" t="s">
        <v>177</v>
      </c>
      <c r="G99" s="304">
        <v>4300479</v>
      </c>
      <c r="H99" s="1045">
        <v>0</v>
      </c>
      <c r="I99" s="298">
        <f t="shared" si="29"/>
        <v>210293.4231</v>
      </c>
      <c r="J99" s="298">
        <f t="shared" si="30"/>
        <v>172019.16</v>
      </c>
      <c r="K99" s="298">
        <f t="shared" si="31"/>
        <v>86009.58</v>
      </c>
      <c r="L99" s="298">
        <v>15000</v>
      </c>
      <c r="M99" s="295">
        <f t="shared" si="36"/>
        <v>4783801.1631</v>
      </c>
      <c r="N99" s="303">
        <f t="shared" si="32"/>
        <v>382704.093048</v>
      </c>
      <c r="O99" s="399">
        <v>495000</v>
      </c>
      <c r="P99" s="399"/>
      <c r="Q99" s="399"/>
      <c r="R99" s="335">
        <f t="shared" si="33"/>
        <v>5661505.256148</v>
      </c>
      <c r="S99" s="335">
        <f t="shared" si="34"/>
        <v>38270.4093048</v>
      </c>
      <c r="T99" s="336">
        <f t="shared" si="35"/>
        <v>5699775.6654528</v>
      </c>
      <c r="U99" s="417">
        <v>44354</v>
      </c>
      <c r="V99" s="337">
        <v>44439</v>
      </c>
      <c r="W99" s="1175"/>
      <c r="X99" s="1288"/>
      <c r="Y99" s="1288"/>
      <c r="Z99" s="1292"/>
      <c r="AA99" s="1292"/>
      <c r="AB99" s="1288" t="str">
        <f>+VLOOKUP(B99,'[6]SURABAYA ANTERAJA'!$C$7:$D$218,2,0)</f>
        <v>GAGAH TRIJULIANTO PUTRA.S</v>
      </c>
    </row>
    <row r="100" ht="15.75" customHeight="1">
      <c r="A100" s="1027" t="s">
        <v>24</v>
      </c>
      <c r="B100" s="228" t="s">
        <v>1948</v>
      </c>
      <c r="C100" s="1127" t="s">
        <v>1949</v>
      </c>
      <c r="D100" s="679" t="s">
        <v>34</v>
      </c>
      <c r="E100" s="679" t="s">
        <v>193</v>
      </c>
      <c r="F100" s="679" t="s">
        <v>177</v>
      </c>
      <c r="G100" s="395">
        <v>4300479</v>
      </c>
      <c r="H100" s="1045">
        <v>-344038.32</v>
      </c>
      <c r="I100" s="293">
        <f t="shared" si="29"/>
        <v>210293.4231</v>
      </c>
      <c r="J100" s="293">
        <f t="shared" si="30"/>
        <v>172019.16</v>
      </c>
      <c r="K100" s="293">
        <f t="shared" si="31"/>
        <v>86009.58</v>
      </c>
      <c r="L100" s="293">
        <v>15000</v>
      </c>
      <c r="M100" s="295">
        <f t="shared" si="36"/>
        <v>4439762.8431</v>
      </c>
      <c r="N100" s="296">
        <f t="shared" si="32"/>
        <v>355181.027448</v>
      </c>
      <c r="O100" s="399">
        <f>+VLOOKUP(C100,[7]Summary!$C$8:$E$205,3,0)</f>
        <v>600000</v>
      </c>
      <c r="P100" s="447"/>
      <c r="Q100" s="447"/>
      <c r="R100" s="328">
        <f t="shared" si="33"/>
        <v>5394943.870548001</v>
      </c>
      <c r="S100" s="328">
        <f t="shared" si="34"/>
        <v>35518.1027448</v>
      </c>
      <c r="T100" s="329">
        <f t="shared" si="35"/>
        <v>5430461.973292801</v>
      </c>
      <c r="U100" s="1272">
        <v>44378</v>
      </c>
      <c r="V100" s="155">
        <v>44469</v>
      </c>
      <c r="W100" s="1169"/>
      <c r="X100" s="1288"/>
      <c r="Y100" s="1288"/>
      <c r="Z100" s="1294"/>
      <c r="AA100" s="1294"/>
      <c r="AB100" s="1288" t="str">
        <f>+VLOOKUP(B100,'[6]SURABAYA ANTERAJA'!$C$7:$D$218,2,0)</f>
        <v>GLORI SELLA</v>
      </c>
    </row>
    <row r="101" ht="15.75" customHeight="1">
      <c r="A101" s="1027" t="s">
        <v>24</v>
      </c>
      <c r="B101" s="1257" t="s">
        <v>1950</v>
      </c>
      <c r="C101" s="1258" t="s">
        <v>1951</v>
      </c>
      <c r="D101" s="1027" t="s">
        <v>34</v>
      </c>
      <c r="E101" s="1027" t="s">
        <v>193</v>
      </c>
      <c r="F101" s="1027" t="s">
        <v>177</v>
      </c>
      <c r="G101" s="1045">
        <v>4300479</v>
      </c>
      <c r="H101" s="1045">
        <v>-688076.64</v>
      </c>
      <c r="I101" s="1225">
        <f t="shared" si="29"/>
        <v>210293.4231</v>
      </c>
      <c r="J101" s="1225">
        <f t="shared" si="30"/>
        <v>172019.16</v>
      </c>
      <c r="K101" s="1225">
        <f t="shared" si="31"/>
        <v>86009.58</v>
      </c>
      <c r="L101" s="1225">
        <v>15000</v>
      </c>
      <c r="M101" s="295">
        <f t="shared" si="36"/>
        <v>4095724.5231</v>
      </c>
      <c r="N101" s="1226">
        <f t="shared" si="32"/>
        <v>327657.961848</v>
      </c>
      <c r="O101" s="399">
        <v>350000</v>
      </c>
      <c r="P101" s="1227"/>
      <c r="Q101" s="1227"/>
      <c r="R101" s="1235">
        <f t="shared" si="33"/>
        <v>4773382.484948</v>
      </c>
      <c r="S101" s="1235">
        <f t="shared" si="34"/>
        <v>32765.7961848</v>
      </c>
      <c r="T101" s="1236">
        <f t="shared" si="35"/>
        <v>4806148.2811328</v>
      </c>
      <c r="U101" s="1270">
        <v>44409</v>
      </c>
      <c r="V101" s="1271">
        <v>44439</v>
      </c>
      <c r="W101" s="1062"/>
      <c r="X101" s="1288"/>
      <c r="Y101" s="1288"/>
      <c r="AB101" s="1288" t="str">
        <f>+VLOOKUP(B101,'[6]SURABAYA ANTERAJA'!$C$7:$D$218,2,0)</f>
        <v>HARI SETIYAWAN</v>
      </c>
    </row>
    <row r="102" ht="15.75" customHeight="1">
      <c r="A102" s="1027" t="s">
        <v>24</v>
      </c>
      <c r="B102" s="239" t="s">
        <v>1952</v>
      </c>
      <c r="C102" s="1153" t="s">
        <v>1953</v>
      </c>
      <c r="D102" s="491" t="s">
        <v>34</v>
      </c>
      <c r="E102" s="491" t="s">
        <v>193</v>
      </c>
      <c r="F102" s="491" t="s">
        <v>177</v>
      </c>
      <c r="G102" s="304">
        <v>4300479</v>
      </c>
      <c r="H102" s="1045">
        <v>0</v>
      </c>
      <c r="I102" s="298">
        <f t="shared" si="29"/>
        <v>210293.4231</v>
      </c>
      <c r="J102" s="298">
        <f t="shared" si="30"/>
        <v>172019.16</v>
      </c>
      <c r="K102" s="298">
        <f t="shared" si="31"/>
        <v>86009.58</v>
      </c>
      <c r="L102" s="298">
        <v>15000</v>
      </c>
      <c r="M102" s="295">
        <f t="shared" si="36"/>
        <v>4783801.1631</v>
      </c>
      <c r="N102" s="303">
        <f t="shared" si="32"/>
        <v>382704.093048</v>
      </c>
      <c r="O102" s="399">
        <f>+VLOOKUP(C102,[7]Summary!$C$8:$E$205,3,0)</f>
        <v>665000</v>
      </c>
      <c r="P102" s="399"/>
      <c r="Q102" s="399"/>
      <c r="R102" s="335">
        <f t="shared" si="33"/>
        <v>5831505.256147999</v>
      </c>
      <c r="S102" s="335">
        <f t="shared" si="34"/>
        <v>38270.4093048</v>
      </c>
      <c r="T102" s="336">
        <f t="shared" si="35"/>
        <v>5869775.6654528</v>
      </c>
      <c r="U102" s="417">
        <v>44409</v>
      </c>
      <c r="V102" s="337">
        <v>44500</v>
      </c>
      <c r="W102" s="1175"/>
      <c r="X102" s="1288"/>
      <c r="Y102" s="1288"/>
      <c r="Z102" s="1292"/>
      <c r="AA102" s="1292"/>
      <c r="AB102" s="1288" t="str">
        <f>+VLOOKUP(B102,'[6]SURABAYA ANTERAJA'!$C$7:$D$218,2,0)</f>
        <v>HARIS SETIAWAN</v>
      </c>
    </row>
    <row r="103" ht="15.75" customHeight="1">
      <c r="A103" s="1027" t="s">
        <v>24</v>
      </c>
      <c r="B103" s="228" t="s">
        <v>1954</v>
      </c>
      <c r="C103" s="1127" t="s">
        <v>1955</v>
      </c>
      <c r="D103" s="679" t="s">
        <v>34</v>
      </c>
      <c r="E103" s="679" t="s">
        <v>193</v>
      </c>
      <c r="F103" s="679" t="s">
        <v>177</v>
      </c>
      <c r="G103" s="395">
        <v>4300479</v>
      </c>
      <c r="H103" s="1045">
        <v>0</v>
      </c>
      <c r="I103" s="293">
        <f t="shared" si="29"/>
        <v>210293.4231</v>
      </c>
      <c r="J103" s="293">
        <f t="shared" si="30"/>
        <v>172019.16</v>
      </c>
      <c r="K103" s="293">
        <f t="shared" si="31"/>
        <v>86009.58</v>
      </c>
      <c r="L103" s="293">
        <v>15000</v>
      </c>
      <c r="M103" s="295">
        <f t="shared" si="36"/>
        <v>4783801.1631</v>
      </c>
      <c r="N103" s="296">
        <f t="shared" si="32"/>
        <v>382704.093048</v>
      </c>
      <c r="O103" s="399">
        <v>1530000</v>
      </c>
      <c r="P103" s="447"/>
      <c r="Q103" s="447"/>
      <c r="R103" s="328">
        <f t="shared" si="33"/>
        <v>6696505.256148</v>
      </c>
      <c r="S103" s="328">
        <f t="shared" si="34"/>
        <v>38270.4093048</v>
      </c>
      <c r="T103" s="329">
        <f t="shared" si="35"/>
        <v>6734775.6654528</v>
      </c>
      <c r="U103" s="1272">
        <v>44409</v>
      </c>
      <c r="V103" s="155">
        <v>44500</v>
      </c>
      <c r="W103" s="1169"/>
      <c r="X103" s="1288"/>
      <c r="Y103" s="1288"/>
      <c r="Z103" s="1294"/>
      <c r="AA103" s="1294"/>
      <c r="AB103" s="1288" t="str">
        <f>+VLOOKUP(B103,'[6]SURABAYA ANTERAJA'!$C$7:$D$218,2,0)</f>
        <v>HARY HARYADI</v>
      </c>
    </row>
    <row r="104" ht="15.75" customHeight="1">
      <c r="A104" s="1027" t="s">
        <v>24</v>
      </c>
      <c r="B104" s="1257" t="s">
        <v>1956</v>
      </c>
      <c r="C104" s="1258" t="s">
        <v>1957</v>
      </c>
      <c r="D104" s="1027" t="s">
        <v>34</v>
      </c>
      <c r="E104" s="1027" t="s">
        <v>193</v>
      </c>
      <c r="F104" s="1027" t="s">
        <v>177</v>
      </c>
      <c r="G104" s="1045">
        <v>4300479</v>
      </c>
      <c r="H104" s="1045">
        <v>0</v>
      </c>
      <c r="I104" s="1225">
        <f t="shared" si="29"/>
        <v>210293.4231</v>
      </c>
      <c r="J104" s="1225">
        <f t="shared" si="30"/>
        <v>172019.16</v>
      </c>
      <c r="K104" s="1225">
        <f t="shared" si="31"/>
        <v>86009.58</v>
      </c>
      <c r="L104" s="1225">
        <v>15000</v>
      </c>
      <c r="M104" s="295">
        <f t="shared" si="36"/>
        <v>4783801.1631</v>
      </c>
      <c r="N104" s="1226">
        <f t="shared" si="32"/>
        <v>382704.093048</v>
      </c>
      <c r="O104" s="399">
        <v>703500</v>
      </c>
      <c r="P104" s="1227"/>
      <c r="Q104" s="1227"/>
      <c r="R104" s="1235">
        <f t="shared" si="33"/>
        <v>5870005.256148</v>
      </c>
      <c r="S104" s="1235">
        <f t="shared" si="34"/>
        <v>38270.4093048</v>
      </c>
      <c r="T104" s="1236">
        <f t="shared" si="35"/>
        <v>5908275.6654528</v>
      </c>
      <c r="U104" s="1270">
        <v>44378</v>
      </c>
      <c r="V104" s="1271">
        <v>44469</v>
      </c>
      <c r="W104" s="1062"/>
      <c r="X104" s="1288"/>
      <c r="Y104" s="1288"/>
      <c r="AB104" s="1288" t="str">
        <f>+VLOOKUP(B104,'[6]SURABAYA ANTERAJA'!$C$7:$D$218,2,0)</f>
        <v>HELA PRASETYAYUDA HUSADA</v>
      </c>
    </row>
    <row r="105" ht="15.75" customHeight="1">
      <c r="A105" s="1027" t="s">
        <v>24</v>
      </c>
      <c r="B105" s="1257" t="s">
        <v>1958</v>
      </c>
      <c r="C105" s="1258" t="s">
        <v>1959</v>
      </c>
      <c r="D105" s="1027" t="s">
        <v>34</v>
      </c>
      <c r="E105" s="1027" t="s">
        <v>193</v>
      </c>
      <c r="F105" s="1027" t="s">
        <v>177</v>
      </c>
      <c r="G105" s="1045">
        <v>4300479</v>
      </c>
      <c r="H105" s="1045">
        <v>0</v>
      </c>
      <c r="I105" s="1225">
        <f t="shared" si="29"/>
        <v>210293.4231</v>
      </c>
      <c r="J105" s="1225">
        <f t="shared" si="30"/>
        <v>172019.16</v>
      </c>
      <c r="K105" s="1225">
        <f t="shared" si="31"/>
        <v>86009.58</v>
      </c>
      <c r="L105" s="1225">
        <v>15000</v>
      </c>
      <c r="M105" s="295">
        <f t="shared" si="36"/>
        <v>4783801.1631</v>
      </c>
      <c r="N105" s="1226">
        <f t="shared" si="32"/>
        <v>382704.093048</v>
      </c>
      <c r="O105" s="399">
        <f>+VLOOKUP(C105,[7]Summary!$C$8:$E$205,3,0)</f>
        <v>595000</v>
      </c>
      <c r="P105" s="1227"/>
      <c r="Q105" s="1227"/>
      <c r="R105" s="1235">
        <f t="shared" si="33"/>
        <v>5761505.256147999</v>
      </c>
      <c r="S105" s="1235">
        <f t="shared" si="34"/>
        <v>38270.4093048</v>
      </c>
      <c r="T105" s="1236">
        <f t="shared" si="35"/>
        <v>5799775.6654528</v>
      </c>
      <c r="U105" s="1270">
        <v>44378</v>
      </c>
      <c r="V105" s="1271">
        <v>44469</v>
      </c>
      <c r="W105" s="1062"/>
      <c r="X105" s="1288"/>
      <c r="Y105" s="1288"/>
      <c r="Z105" s="1288"/>
      <c r="AA105" s="1288"/>
      <c r="AB105" s="1288" t="str">
        <f>+VLOOKUP(B105,'[6]SURABAYA ANTERAJA'!$C$7:$D$218,2,0)</f>
        <v>HENDRO WAHYUDI </v>
      </c>
    </row>
    <row r="106" ht="15.75" customHeight="1">
      <c r="A106" s="1027" t="s">
        <v>24</v>
      </c>
      <c r="B106" s="1257" t="s">
        <v>557</v>
      </c>
      <c r="C106" s="1258" t="s">
        <v>1960</v>
      </c>
      <c r="D106" s="1027" t="s">
        <v>34</v>
      </c>
      <c r="E106" s="1027" t="s">
        <v>193</v>
      </c>
      <c r="F106" s="1027" t="s">
        <v>177</v>
      </c>
      <c r="G106" s="1045">
        <v>4300479</v>
      </c>
      <c r="H106" s="1045">
        <v>0</v>
      </c>
      <c r="I106" s="1225">
        <f t="shared" si="29"/>
        <v>210293.4231</v>
      </c>
      <c r="J106" s="1225">
        <f t="shared" si="30"/>
        <v>172019.16</v>
      </c>
      <c r="K106" s="1225">
        <f t="shared" si="31"/>
        <v>86009.58</v>
      </c>
      <c r="L106" s="1225">
        <v>15000</v>
      </c>
      <c r="M106" s="295">
        <f t="shared" si="36"/>
        <v>4783801.1631</v>
      </c>
      <c r="N106" s="1226">
        <f t="shared" si="32"/>
        <v>382704.093048</v>
      </c>
      <c r="O106" s="399">
        <f>+VLOOKUP(C106,[7]Summary!$C$8:$E$205,3,0)</f>
        <v>900000</v>
      </c>
      <c r="P106" s="1227"/>
      <c r="Q106" s="1227"/>
      <c r="R106" s="1235">
        <f t="shared" si="33"/>
        <v>6066505.256147999</v>
      </c>
      <c r="S106" s="1235">
        <f t="shared" si="34"/>
        <v>38270.4093048</v>
      </c>
      <c r="T106" s="1236">
        <f t="shared" si="35"/>
        <v>6104775.6654528</v>
      </c>
      <c r="U106" s="1270">
        <v>44378</v>
      </c>
      <c r="V106" s="1271">
        <v>44469</v>
      </c>
      <c r="W106" s="1062"/>
      <c r="X106" s="1288"/>
      <c r="Y106" s="1288"/>
      <c r="Z106" s="1288"/>
      <c r="AA106" s="1288"/>
      <c r="AB106" s="1288" t="str">
        <f>+VLOOKUP(B106,'[6]SURABAYA ANTERAJA'!$C$7:$D$218,2,0)</f>
        <v>HERU LAKSONO PUTRO </v>
      </c>
    </row>
    <row r="107" ht="15.75" customHeight="1">
      <c r="A107" s="1027" t="s">
        <v>24</v>
      </c>
      <c r="B107" s="1257" t="s">
        <v>1961</v>
      </c>
      <c r="C107" s="1258" t="s">
        <v>653</v>
      </c>
      <c r="D107" s="1027" t="s">
        <v>34</v>
      </c>
      <c r="E107" s="1027" t="s">
        <v>193</v>
      </c>
      <c r="F107" s="1027" t="s">
        <v>177</v>
      </c>
      <c r="G107" s="1045">
        <v>4300479</v>
      </c>
      <c r="H107" s="1045">
        <v>-344038.32</v>
      </c>
      <c r="I107" s="1225">
        <f t="shared" si="29"/>
        <v>210293.4231</v>
      </c>
      <c r="J107" s="1225">
        <f t="shared" si="30"/>
        <v>172019.16</v>
      </c>
      <c r="K107" s="1225">
        <f t="shared" si="31"/>
        <v>86009.58</v>
      </c>
      <c r="L107" s="1225">
        <v>15000</v>
      </c>
      <c r="M107" s="295">
        <f t="shared" si="36"/>
        <v>4439762.8431</v>
      </c>
      <c r="N107" s="1226">
        <f t="shared" si="32"/>
        <v>355181.027448</v>
      </c>
      <c r="O107" s="399">
        <f>+VLOOKUP(C107,[7]Summary!$C$8:$E$205,3,0)</f>
        <v>318000</v>
      </c>
      <c r="P107" s="1227"/>
      <c r="Q107" s="1227"/>
      <c r="R107" s="1235">
        <f t="shared" si="33"/>
        <v>5112943.870548001</v>
      </c>
      <c r="S107" s="1235">
        <f t="shared" si="34"/>
        <v>35518.1027448</v>
      </c>
      <c r="T107" s="1236">
        <f t="shared" si="35"/>
        <v>5148461.973292801</v>
      </c>
      <c r="U107" s="1270">
        <v>44378</v>
      </c>
      <c r="V107" s="1271">
        <v>44469</v>
      </c>
      <c r="W107" s="1062"/>
      <c r="X107" s="1288"/>
      <c r="Y107" s="1288"/>
      <c r="AB107" s="1288" t="str">
        <f>+VLOOKUP(B107,'[6]SURABAYA ANTERAJA'!$C$7:$D$218,2,0)</f>
        <v>HERU USWINDA</v>
      </c>
    </row>
    <row r="108" ht="15.75" customHeight="1">
      <c r="A108" s="1027" t="s">
        <v>24</v>
      </c>
      <c r="B108" s="239" t="s">
        <v>1962</v>
      </c>
      <c r="C108" s="1153" t="s">
        <v>1963</v>
      </c>
      <c r="D108" s="491" t="s">
        <v>34</v>
      </c>
      <c r="E108" s="491" t="s">
        <v>193</v>
      </c>
      <c r="F108" s="491" t="s">
        <v>177</v>
      </c>
      <c r="G108" s="304">
        <v>4300479</v>
      </c>
      <c r="H108" s="1045">
        <v>0</v>
      </c>
      <c r="I108" s="298">
        <f t="shared" si="29"/>
        <v>210293.4231</v>
      </c>
      <c r="J108" s="298">
        <f t="shared" si="30"/>
        <v>172019.16</v>
      </c>
      <c r="K108" s="298">
        <f t="shared" si="31"/>
        <v>86009.58</v>
      </c>
      <c r="L108" s="298">
        <v>15000</v>
      </c>
      <c r="M108" s="295">
        <f t="shared" si="36"/>
        <v>4783801.1631</v>
      </c>
      <c r="N108" s="303">
        <f t="shared" si="32"/>
        <v>382704.093048</v>
      </c>
      <c r="O108" s="399">
        <f>+VLOOKUP(C108,[7]Summary!$C$8:$E$205,3,0)</f>
        <v>825000</v>
      </c>
      <c r="P108" s="399"/>
      <c r="Q108" s="399"/>
      <c r="R108" s="335">
        <f t="shared" si="33"/>
        <v>5991505.256147999</v>
      </c>
      <c r="S108" s="335">
        <f t="shared" si="34"/>
        <v>38270.4093048</v>
      </c>
      <c r="T108" s="336">
        <f t="shared" si="35"/>
        <v>6029775.6654528</v>
      </c>
      <c r="U108" s="417">
        <v>44379</v>
      </c>
      <c r="V108" s="337">
        <v>44469</v>
      </c>
      <c r="W108" s="1290"/>
      <c r="X108" s="1288"/>
      <c r="Y108" s="1288"/>
      <c r="Z108" s="1146"/>
      <c r="AA108" s="1146"/>
      <c r="AB108" s="1288" t="str">
        <f>+VLOOKUP(B108,'[6]SURABAYA ANTERAJA'!$C$7:$D$218,2,0)</f>
        <v>HOIRI</v>
      </c>
    </row>
    <row r="109" ht="15.75" customHeight="1">
      <c r="A109" s="1027" t="s">
        <v>24</v>
      </c>
      <c r="B109" s="1257" t="s">
        <v>1964</v>
      </c>
      <c r="C109" s="1258" t="s">
        <v>1965</v>
      </c>
      <c r="D109" s="1027" t="s">
        <v>34</v>
      </c>
      <c r="E109" s="1027" t="s">
        <v>193</v>
      </c>
      <c r="F109" s="1027" t="s">
        <v>177</v>
      </c>
      <c r="G109" s="1045">
        <v>4300479</v>
      </c>
      <c r="H109" s="1045">
        <v>0</v>
      </c>
      <c r="I109" s="1225">
        <f t="shared" si="29"/>
        <v>210293.4231</v>
      </c>
      <c r="J109" s="1225">
        <f t="shared" si="30"/>
        <v>172019.16</v>
      </c>
      <c r="K109" s="1225">
        <f t="shared" si="31"/>
        <v>86009.58</v>
      </c>
      <c r="L109" s="1225">
        <v>15000</v>
      </c>
      <c r="M109" s="295">
        <f t="shared" si="36"/>
        <v>4783801.1631</v>
      </c>
      <c r="N109" s="1226">
        <f t="shared" si="32"/>
        <v>382704.093048</v>
      </c>
      <c r="O109" s="399">
        <f>+VLOOKUP(C109,[7]Summary!$C$8:$E$205,3,0)</f>
        <v>495000</v>
      </c>
      <c r="P109" s="1227"/>
      <c r="Q109" s="1227"/>
      <c r="R109" s="1235">
        <f t="shared" si="33"/>
        <v>5661505.256147999</v>
      </c>
      <c r="S109" s="1235">
        <f t="shared" si="34"/>
        <v>38270.4093048</v>
      </c>
      <c r="T109" s="1236">
        <f t="shared" si="35"/>
        <v>5699775.6654528</v>
      </c>
      <c r="U109" s="1270">
        <v>44409</v>
      </c>
      <c r="V109" s="1271">
        <v>44500</v>
      </c>
      <c r="W109" s="1062"/>
      <c r="X109" s="1288"/>
      <c r="Y109" s="1288"/>
      <c r="AB109" s="1288" t="str">
        <f>+VLOOKUP(B109,'[6]SURABAYA ANTERAJA'!$C$7:$D$218,2,0)</f>
        <v>INDRA JUNIARTO</v>
      </c>
    </row>
    <row r="110" ht="15.75" customHeight="1">
      <c r="A110" s="1027" t="s">
        <v>24</v>
      </c>
      <c r="B110" s="1257" t="s">
        <v>1966</v>
      </c>
      <c r="C110" s="1258" t="s">
        <v>1967</v>
      </c>
      <c r="D110" s="1027" t="s">
        <v>34</v>
      </c>
      <c r="E110" s="1027" t="s">
        <v>193</v>
      </c>
      <c r="F110" s="1027" t="s">
        <v>177</v>
      </c>
      <c r="G110" s="1045">
        <v>4300479</v>
      </c>
      <c r="H110" s="1045">
        <v>0</v>
      </c>
      <c r="I110" s="1225">
        <f t="shared" si="29"/>
        <v>210293.4231</v>
      </c>
      <c r="J110" s="1225">
        <f t="shared" si="30"/>
        <v>172019.16</v>
      </c>
      <c r="K110" s="1225">
        <f t="shared" si="31"/>
        <v>86009.58</v>
      </c>
      <c r="L110" s="1225">
        <v>15000</v>
      </c>
      <c r="M110" s="295">
        <f t="shared" si="36"/>
        <v>4783801.1631</v>
      </c>
      <c r="N110" s="1226">
        <f t="shared" si="32"/>
        <v>382704.093048</v>
      </c>
      <c r="O110" s="399">
        <f>+VLOOKUP(C110,[7]Summary!$C$8:$E$205,3,0)</f>
        <v>550000</v>
      </c>
      <c r="P110" s="1227"/>
      <c r="Q110" s="1227"/>
      <c r="R110" s="1235">
        <f t="shared" si="33"/>
        <v>5716505.256147999</v>
      </c>
      <c r="S110" s="1235">
        <f t="shared" si="34"/>
        <v>38270.4093048</v>
      </c>
      <c r="T110" s="1236">
        <f t="shared" si="35"/>
        <v>5754775.6654528</v>
      </c>
      <c r="U110" s="1270">
        <v>44378</v>
      </c>
      <c r="V110" s="1271">
        <v>44469</v>
      </c>
      <c r="W110" s="1062"/>
      <c r="X110" s="1288"/>
      <c r="Y110" s="1288"/>
      <c r="AB110" s="1288" t="str">
        <f>+VLOOKUP(B110,'[6]SURABAYA ANTERAJA'!$C$7:$D$218,2,0)</f>
        <v>IRAWAN SUNASTYO</v>
      </c>
    </row>
    <row r="111" ht="15.75" customHeight="1">
      <c r="A111" s="1027" t="s">
        <v>24</v>
      </c>
      <c r="B111" s="1257" t="s">
        <v>1968</v>
      </c>
      <c r="C111" s="1258" t="s">
        <v>649</v>
      </c>
      <c r="D111" s="1027" t="s">
        <v>34</v>
      </c>
      <c r="E111" s="1027" t="s">
        <v>193</v>
      </c>
      <c r="F111" s="1027" t="s">
        <v>177</v>
      </c>
      <c r="G111" s="1045">
        <v>4300479</v>
      </c>
      <c r="H111" s="1045">
        <v>0</v>
      </c>
      <c r="I111" s="1225">
        <f t="shared" si="29"/>
        <v>210293.4231</v>
      </c>
      <c r="J111" s="1225">
        <f t="shared" si="30"/>
        <v>172019.16</v>
      </c>
      <c r="K111" s="1225">
        <f t="shared" si="31"/>
        <v>86009.58</v>
      </c>
      <c r="L111" s="1225">
        <v>15000</v>
      </c>
      <c r="M111" s="295">
        <f t="shared" si="36"/>
        <v>4783801.1631</v>
      </c>
      <c r="N111" s="1226">
        <f t="shared" si="32"/>
        <v>382704.093048</v>
      </c>
      <c r="O111" s="399">
        <f>+VLOOKUP(C111,[7]Summary!$C$8:$E$205,3,0)</f>
        <v>630000</v>
      </c>
      <c r="P111" s="1227"/>
      <c r="Q111" s="1227"/>
      <c r="R111" s="1235">
        <f t="shared" si="33"/>
        <v>5796505.256147999</v>
      </c>
      <c r="S111" s="1235">
        <f t="shared" si="34"/>
        <v>38270.4093048</v>
      </c>
      <c r="T111" s="1236">
        <f t="shared" si="35"/>
        <v>5834775.6654528</v>
      </c>
      <c r="U111" s="1270">
        <v>44378</v>
      </c>
      <c r="V111" s="1271">
        <v>44469</v>
      </c>
      <c r="W111" s="1062"/>
      <c r="X111" s="1288"/>
      <c r="Y111" s="1288"/>
      <c r="AB111" s="1288" t="str">
        <f>+VLOOKUP(B111,'[6]SURABAYA ANTERAJA'!$C$7:$D$218,2,0)</f>
        <v>IRFAN ARIF HIDAYAT</v>
      </c>
    </row>
    <row r="112" ht="15.75" customHeight="1">
      <c r="A112" s="1027" t="s">
        <v>24</v>
      </c>
      <c r="B112" s="1257" t="s">
        <v>1969</v>
      </c>
      <c r="C112" s="1258" t="s">
        <v>316</v>
      </c>
      <c r="D112" s="1027" t="s">
        <v>34</v>
      </c>
      <c r="E112" s="1027" t="s">
        <v>193</v>
      </c>
      <c r="F112" s="1027" t="s">
        <v>177</v>
      </c>
      <c r="G112" s="1045">
        <v>4300479</v>
      </c>
      <c r="H112" s="1045">
        <v>0</v>
      </c>
      <c r="I112" s="1225">
        <f t="shared" si="29"/>
        <v>210293.4231</v>
      </c>
      <c r="J112" s="1225">
        <f t="shared" si="30"/>
        <v>172019.16</v>
      </c>
      <c r="K112" s="1225">
        <f t="shared" si="31"/>
        <v>86009.58</v>
      </c>
      <c r="L112" s="1225">
        <v>15000</v>
      </c>
      <c r="M112" s="295">
        <f t="shared" si="36"/>
        <v>4783801.1631</v>
      </c>
      <c r="N112" s="1226">
        <f t="shared" si="32"/>
        <v>382704.093048</v>
      </c>
      <c r="O112" s="399">
        <f>+VLOOKUP(C112,[7]Summary!$C$8:$E$205,3,0)</f>
        <v>852500</v>
      </c>
      <c r="P112" s="1227"/>
      <c r="Q112" s="1227"/>
      <c r="R112" s="1235">
        <f t="shared" si="33"/>
        <v>6019005.256147999</v>
      </c>
      <c r="S112" s="1235">
        <f t="shared" si="34"/>
        <v>38270.4093048</v>
      </c>
      <c r="T112" s="1236">
        <f t="shared" si="35"/>
        <v>6057275.6654528</v>
      </c>
      <c r="U112" s="1270">
        <v>44409</v>
      </c>
      <c r="V112" s="1271">
        <v>44439</v>
      </c>
      <c r="W112" s="1062"/>
      <c r="X112" s="1288"/>
      <c r="Y112" s="1288"/>
      <c r="Z112" s="1288"/>
      <c r="AA112" s="1288"/>
      <c r="AB112" s="1288" t="str">
        <f>+VLOOKUP(B112,'[6]SURABAYA ANTERAJA'!$C$7:$D$218,2,0)</f>
        <v>IRVAN KHOERI</v>
      </c>
    </row>
    <row r="113" ht="15.75" customHeight="1">
      <c r="A113" s="1027" t="s">
        <v>24</v>
      </c>
      <c r="B113" s="1257" t="s">
        <v>1970</v>
      </c>
      <c r="C113" s="1258" t="s">
        <v>1971</v>
      </c>
      <c r="D113" s="1027" t="s">
        <v>34</v>
      </c>
      <c r="E113" s="1027" t="s">
        <v>193</v>
      </c>
      <c r="F113" s="1027" t="s">
        <v>177</v>
      </c>
      <c r="G113" s="1045">
        <v>4300479</v>
      </c>
      <c r="H113" s="1045">
        <v>0</v>
      </c>
      <c r="I113" s="1225">
        <f t="shared" si="29"/>
        <v>210293.4231</v>
      </c>
      <c r="J113" s="1225">
        <f t="shared" si="30"/>
        <v>172019.16</v>
      </c>
      <c r="K113" s="1225">
        <f t="shared" si="31"/>
        <v>86009.58</v>
      </c>
      <c r="L113" s="1225">
        <v>15000</v>
      </c>
      <c r="M113" s="295">
        <f t="shared" si="36"/>
        <v>4783801.1631</v>
      </c>
      <c r="N113" s="1226">
        <f t="shared" si="32"/>
        <v>382704.093048</v>
      </c>
      <c r="O113" s="399">
        <v>645000</v>
      </c>
      <c r="P113" s="1227"/>
      <c r="Q113" s="1227"/>
      <c r="R113" s="1235">
        <f t="shared" si="33"/>
        <v>5811505.256148</v>
      </c>
      <c r="S113" s="1235">
        <f t="shared" si="34"/>
        <v>38270.4093048</v>
      </c>
      <c r="T113" s="1236">
        <f t="shared" si="35"/>
        <v>5849775.6654528</v>
      </c>
      <c r="U113" s="1270">
        <v>44409</v>
      </c>
      <c r="V113" s="1271">
        <v>44439</v>
      </c>
      <c r="W113" s="1062"/>
      <c r="X113" s="1288"/>
      <c r="Y113" s="1288"/>
      <c r="AB113" s="1288" t="str">
        <f>+VLOOKUP(B113,'[6]SURABAYA ANTERAJA'!$C$7:$D$218,2,0)</f>
        <v>ISMAN HADI </v>
      </c>
    </row>
    <row r="114" ht="15.75" customHeight="1">
      <c r="A114" s="1027" t="s">
        <v>24</v>
      </c>
      <c r="B114" s="228" t="s">
        <v>1972</v>
      </c>
      <c r="C114" s="1127" t="s">
        <v>1973</v>
      </c>
      <c r="D114" s="679" t="s">
        <v>34</v>
      </c>
      <c r="E114" s="679" t="s">
        <v>193</v>
      </c>
      <c r="F114" s="679" t="s">
        <v>177</v>
      </c>
      <c r="G114" s="395">
        <v>4300479</v>
      </c>
      <c r="H114" s="1045">
        <v>-516057.48</v>
      </c>
      <c r="I114" s="293">
        <f t="shared" si="29"/>
        <v>210293.4231</v>
      </c>
      <c r="J114" s="293">
        <f t="shared" si="30"/>
        <v>172019.16</v>
      </c>
      <c r="K114" s="293">
        <f t="shared" si="31"/>
        <v>86009.58</v>
      </c>
      <c r="L114" s="293">
        <v>15000</v>
      </c>
      <c r="M114" s="295">
        <f t="shared" si="36"/>
        <v>4267743.6831</v>
      </c>
      <c r="N114" s="296">
        <f t="shared" si="32"/>
        <v>341419.494648</v>
      </c>
      <c r="O114" s="399">
        <f>+VLOOKUP(C114,[7]Summary!$C$8:$E$205,3,0)</f>
        <v>640000</v>
      </c>
      <c r="P114" s="447"/>
      <c r="Q114" s="447"/>
      <c r="R114" s="328">
        <f t="shared" si="33"/>
        <v>5249163.177748</v>
      </c>
      <c r="S114" s="328">
        <f t="shared" si="34"/>
        <v>34141.9494648</v>
      </c>
      <c r="T114" s="329">
        <f t="shared" si="35"/>
        <v>5283305.1272128</v>
      </c>
      <c r="U114" s="1272">
        <v>44378</v>
      </c>
      <c r="V114" s="155">
        <v>44469</v>
      </c>
      <c r="W114" s="1169"/>
      <c r="X114" s="1288"/>
      <c r="Y114" s="1288"/>
      <c r="Z114" s="1294"/>
      <c r="AA114" s="1294"/>
      <c r="AB114" s="1288" t="str">
        <f>+VLOOKUP(B114,'[6]SURABAYA ANTERAJA'!$C$7:$D$218,2,0)</f>
        <v>IVAN VERDIANTO</v>
      </c>
    </row>
    <row r="115" ht="15.75" customHeight="1">
      <c r="A115" s="1027" t="s">
        <v>24</v>
      </c>
      <c r="B115" s="1257" t="s">
        <v>1974</v>
      </c>
      <c r="C115" s="1258" t="s">
        <v>1975</v>
      </c>
      <c r="D115" s="1027" t="s">
        <v>34</v>
      </c>
      <c r="E115" s="1027" t="s">
        <v>193</v>
      </c>
      <c r="F115" s="1027" t="s">
        <v>177</v>
      </c>
      <c r="G115" s="1045">
        <v>4300479</v>
      </c>
      <c r="H115" s="1045">
        <v>-172019.16</v>
      </c>
      <c r="I115" s="1225">
        <f t="shared" si="29"/>
        <v>210293.4231</v>
      </c>
      <c r="J115" s="1225">
        <f t="shared" si="30"/>
        <v>172019.16</v>
      </c>
      <c r="K115" s="1225">
        <f t="shared" si="31"/>
        <v>86009.58</v>
      </c>
      <c r="L115" s="1225">
        <v>15000</v>
      </c>
      <c r="M115" s="295">
        <f t="shared" si="36"/>
        <v>4611782.0031</v>
      </c>
      <c r="N115" s="1226">
        <f t="shared" si="32"/>
        <v>368942.560248</v>
      </c>
      <c r="O115" s="399">
        <v>352500</v>
      </c>
      <c r="P115" s="1227"/>
      <c r="Q115" s="1227"/>
      <c r="R115" s="1235">
        <f t="shared" si="33"/>
        <v>5333224.563348</v>
      </c>
      <c r="S115" s="1235">
        <f t="shared" si="34"/>
        <v>36894.2560248</v>
      </c>
      <c r="T115" s="1236">
        <f t="shared" si="35"/>
        <v>5370118.8193728</v>
      </c>
      <c r="U115" s="1270">
        <v>44378</v>
      </c>
      <c r="V115" s="1271">
        <v>44469</v>
      </c>
      <c r="W115" s="1062"/>
      <c r="X115" s="1288"/>
      <c r="Y115" s="1288"/>
      <c r="AB115" s="1288" t="str">
        <f>+VLOOKUP(B115,'[6]SURABAYA ANTERAJA'!$C$7:$D$218,2,0)</f>
        <v>JANUAR CATUR WAHYU PRASTIYO</v>
      </c>
    </row>
    <row r="116" ht="15.75" customHeight="1">
      <c r="A116" s="1027" t="s">
        <v>24</v>
      </c>
      <c r="B116" s="1257" t="s">
        <v>595</v>
      </c>
      <c r="C116" s="1258" t="s">
        <v>596</v>
      </c>
      <c r="D116" s="1027" t="s">
        <v>34</v>
      </c>
      <c r="E116" s="1027" t="s">
        <v>193</v>
      </c>
      <c r="F116" s="1027" t="s">
        <v>177</v>
      </c>
      <c r="G116" s="1045">
        <v>4300479</v>
      </c>
      <c r="H116" s="1045">
        <v>0</v>
      </c>
      <c r="I116" s="1225">
        <f t="shared" si="29"/>
        <v>210293.4231</v>
      </c>
      <c r="J116" s="1225">
        <f t="shared" si="30"/>
        <v>172019.16</v>
      </c>
      <c r="K116" s="1225">
        <f t="shared" si="31"/>
        <v>86009.58</v>
      </c>
      <c r="L116" s="1225">
        <v>15000</v>
      </c>
      <c r="M116" s="295">
        <f t="shared" si="36"/>
        <v>4783801.1631</v>
      </c>
      <c r="N116" s="1226">
        <f t="shared" si="32"/>
        <v>382704.093048</v>
      </c>
      <c r="O116" s="399">
        <f>+VLOOKUP(C116,[7]Summary!$C$8:$E$205,3,0)</f>
        <v>900000</v>
      </c>
      <c r="P116" s="1227"/>
      <c r="Q116" s="1227"/>
      <c r="R116" s="1235">
        <f t="shared" si="33"/>
        <v>6066505.256147999</v>
      </c>
      <c r="S116" s="1235">
        <f t="shared" si="34"/>
        <v>38270.4093048</v>
      </c>
      <c r="T116" s="1236">
        <f t="shared" si="35"/>
        <v>6104775.6654528</v>
      </c>
      <c r="U116" s="1270">
        <v>44378</v>
      </c>
      <c r="V116" s="1271">
        <v>44469</v>
      </c>
      <c r="W116" s="1062"/>
      <c r="X116" s="1288"/>
      <c r="Y116" s="1288"/>
      <c r="AB116" s="1288" t="str">
        <f>+VLOOKUP(B116,'[6]SURABAYA ANTERAJA'!$C$7:$D$218,2,0)</f>
        <v>JASMANIYAH RAHARJO</v>
      </c>
    </row>
    <row r="117" ht="15.75" customHeight="1">
      <c r="A117" s="1027" t="s">
        <v>24</v>
      </c>
      <c r="B117" s="1257" t="s">
        <v>567</v>
      </c>
      <c r="C117" s="1258" t="s">
        <v>1976</v>
      </c>
      <c r="D117" s="1027" t="s">
        <v>34</v>
      </c>
      <c r="E117" s="1027" t="s">
        <v>193</v>
      </c>
      <c r="F117" s="1027" t="s">
        <v>177</v>
      </c>
      <c r="G117" s="1045">
        <v>4300479</v>
      </c>
      <c r="H117" s="1045">
        <v>0</v>
      </c>
      <c r="I117" s="1225">
        <f t="shared" si="29"/>
        <v>210293.4231</v>
      </c>
      <c r="J117" s="1225">
        <f t="shared" si="30"/>
        <v>172019.16</v>
      </c>
      <c r="K117" s="1225">
        <f t="shared" si="31"/>
        <v>86009.58</v>
      </c>
      <c r="L117" s="1225">
        <v>15000</v>
      </c>
      <c r="M117" s="295">
        <f t="shared" si="36"/>
        <v>4783801.1631</v>
      </c>
      <c r="N117" s="1226">
        <f t="shared" si="32"/>
        <v>382704.093048</v>
      </c>
      <c r="O117" s="399">
        <f>+VLOOKUP(C117,[7]Summary!$C$8:$E$205,3,0)</f>
        <v>202000</v>
      </c>
      <c r="P117" s="1227"/>
      <c r="Q117" s="1227"/>
      <c r="R117" s="1235">
        <f t="shared" si="33"/>
        <v>5368505.256147999</v>
      </c>
      <c r="S117" s="1235">
        <f t="shared" si="34"/>
        <v>38270.4093048</v>
      </c>
      <c r="T117" s="1236">
        <f t="shared" si="35"/>
        <v>5406775.6654528</v>
      </c>
      <c r="U117" s="1270">
        <v>44378</v>
      </c>
      <c r="V117" s="1271">
        <v>44469</v>
      </c>
      <c r="W117" s="1062"/>
      <c r="X117" s="1288"/>
      <c r="Y117" s="1288"/>
      <c r="AB117" s="1288" t="str">
        <f>+VLOOKUP(B117,'[6]SURABAYA ANTERAJA'!$C$7:$D$218,2,0)</f>
        <v>JOHAN KURNIAWAN</v>
      </c>
    </row>
    <row r="118" ht="15.75" customHeight="1">
      <c r="A118" s="1027" t="s">
        <v>24</v>
      </c>
      <c r="B118" s="1257" t="s">
        <v>1977</v>
      </c>
      <c r="C118" s="1258" t="s">
        <v>1978</v>
      </c>
      <c r="D118" s="1027" t="s">
        <v>34</v>
      </c>
      <c r="E118" s="1027" t="s">
        <v>193</v>
      </c>
      <c r="F118" s="1027" t="s">
        <v>177</v>
      </c>
      <c r="G118" s="1045">
        <v>4300479</v>
      </c>
      <c r="H118" s="1045">
        <v>-172019.16</v>
      </c>
      <c r="I118" s="1225">
        <f t="shared" si="29"/>
        <v>210293.4231</v>
      </c>
      <c r="J118" s="1225">
        <f t="shared" si="30"/>
        <v>172019.16</v>
      </c>
      <c r="K118" s="1225">
        <f t="shared" si="31"/>
        <v>86009.58</v>
      </c>
      <c r="L118" s="1225">
        <v>15000</v>
      </c>
      <c r="M118" s="295">
        <f t="shared" si="36"/>
        <v>4611782.0031</v>
      </c>
      <c r="N118" s="1226">
        <f t="shared" si="32"/>
        <v>368942.560248</v>
      </c>
      <c r="O118" s="399">
        <f>+VLOOKUP(C118,[7]Summary!$C$8:$E$205,3,0)</f>
        <v>225000</v>
      </c>
      <c r="P118" s="1227"/>
      <c r="Q118" s="1227"/>
      <c r="R118" s="1235">
        <f t="shared" si="33"/>
        <v>5205724.563348</v>
      </c>
      <c r="S118" s="1235">
        <f t="shared" si="34"/>
        <v>36894.2560248</v>
      </c>
      <c r="T118" s="1236">
        <f t="shared" si="35"/>
        <v>5242618.8193728</v>
      </c>
      <c r="U118" s="1270">
        <v>44378</v>
      </c>
      <c r="V118" s="1271">
        <v>44469</v>
      </c>
      <c r="W118" s="1062"/>
      <c r="X118" s="1288"/>
      <c r="Y118" s="1288"/>
      <c r="AB118" s="1288" t="str">
        <f>+VLOOKUP(B118,'[6]SURABAYA ANTERAJA'!$C$7:$D$218,2,0)</f>
        <v>JOKO WIYONO</v>
      </c>
    </row>
    <row r="119" ht="15.75" customHeight="1">
      <c r="A119" s="1027" t="s">
        <v>24</v>
      </c>
      <c r="B119" s="239" t="s">
        <v>1979</v>
      </c>
      <c r="C119" s="1153" t="s">
        <v>1980</v>
      </c>
      <c r="D119" s="491" t="s">
        <v>34</v>
      </c>
      <c r="E119" s="491" t="s">
        <v>193</v>
      </c>
      <c r="F119" s="491" t="s">
        <v>177</v>
      </c>
      <c r="G119" s="304">
        <v>4300479</v>
      </c>
      <c r="H119" s="1045">
        <v>0</v>
      </c>
      <c r="I119" s="298">
        <f t="shared" si="29"/>
        <v>210293.4231</v>
      </c>
      <c r="J119" s="298">
        <f t="shared" si="30"/>
        <v>172019.16</v>
      </c>
      <c r="K119" s="298">
        <f t="shared" si="31"/>
        <v>86009.58</v>
      </c>
      <c r="L119" s="298">
        <v>15000</v>
      </c>
      <c r="M119" s="295">
        <f t="shared" si="36"/>
        <v>4783801.1631</v>
      </c>
      <c r="N119" s="303">
        <f t="shared" si="32"/>
        <v>382704.093048</v>
      </c>
      <c r="O119" s="399">
        <f>+VLOOKUP(C119,[7]Summary!$C$8:$E$205,3,0)</f>
        <v>455000</v>
      </c>
      <c r="P119" s="399"/>
      <c r="Q119" s="399"/>
      <c r="R119" s="335">
        <f t="shared" si="33"/>
        <v>5621505.256147999</v>
      </c>
      <c r="S119" s="335">
        <f t="shared" si="34"/>
        <v>38270.4093048</v>
      </c>
      <c r="T119" s="336">
        <f t="shared" si="35"/>
        <v>5659775.6654528</v>
      </c>
      <c r="U119" s="417">
        <v>44354</v>
      </c>
      <c r="V119" s="337">
        <v>44439</v>
      </c>
      <c r="W119" s="1290"/>
      <c r="X119" s="1288"/>
      <c r="Y119" s="1288"/>
      <c r="Z119" s="1146"/>
      <c r="AA119" s="1146"/>
      <c r="AB119" s="1288" t="str">
        <f>+VLOOKUP(B119,'[6]SURABAYA ANTERAJA'!$C$7:$D$218,2,0)</f>
        <v>JUMAT</v>
      </c>
    </row>
    <row r="120" ht="15.75" customHeight="1">
      <c r="A120" s="1027" t="s">
        <v>24</v>
      </c>
      <c r="B120" s="1257" t="s">
        <v>607</v>
      </c>
      <c r="C120" s="1258" t="s">
        <v>608</v>
      </c>
      <c r="D120" s="1027" t="s">
        <v>34</v>
      </c>
      <c r="E120" s="1027" t="s">
        <v>193</v>
      </c>
      <c r="F120" s="1027" t="s">
        <v>177</v>
      </c>
      <c r="G120" s="1045">
        <v>4300479</v>
      </c>
      <c r="H120" s="1045">
        <v>-516057.48</v>
      </c>
      <c r="I120" s="1225">
        <f ref="I120:I151" t="shared" si="38">+$I$4*4.89%</f>
        <v>210293.4231</v>
      </c>
      <c r="J120" s="1225">
        <f ref="J120:J151" t="shared" si="39">+$I$4*4%</f>
        <v>172019.16</v>
      </c>
      <c r="K120" s="1225">
        <f ref="K120:K151" t="shared" si="40">+$I$4*2%</f>
        <v>86009.58</v>
      </c>
      <c r="L120" s="1225">
        <v>15000</v>
      </c>
      <c r="M120" s="295">
        <f t="shared" si="36"/>
        <v>4267743.6831</v>
      </c>
      <c r="N120" s="1226">
        <f ref="N120:N151" t="shared" si="41">+M120*8%</f>
        <v>341419.494648</v>
      </c>
      <c r="O120" s="399">
        <f>+VLOOKUP(C120,[7]Summary!$C$8:$E$205,3,0)</f>
        <v>790000</v>
      </c>
      <c r="P120" s="1227"/>
      <c r="Q120" s="1227"/>
      <c r="R120" s="1235">
        <f ref="R120:R151" t="shared" si="42">SUM(M120:Q120)</f>
        <v>5399163.177748</v>
      </c>
      <c r="S120" s="1235">
        <f ref="S120:S151" t="shared" si="43">N120*0.1</f>
        <v>34141.9494648</v>
      </c>
      <c r="T120" s="1236">
        <f ref="T120:T151" t="shared" si="44">R120+S120</f>
        <v>5433305.1272128</v>
      </c>
      <c r="U120" s="1270">
        <v>44409</v>
      </c>
      <c r="V120" s="1271">
        <v>44500</v>
      </c>
      <c r="W120" s="1062"/>
      <c r="X120" s="1288"/>
      <c r="Y120" s="1288"/>
      <c r="AB120" s="1288" t="str">
        <f>+VLOOKUP(B120,'[6]SURABAYA ANTERAJA'!$C$7:$D$218,2,0)</f>
        <v>JUNAIDIN</v>
      </c>
    </row>
    <row r="121" ht="15.75" customHeight="1">
      <c r="A121" s="1027" t="s">
        <v>24</v>
      </c>
      <c r="B121" s="239" t="s">
        <v>1981</v>
      </c>
      <c r="C121" s="1153" t="s">
        <v>1982</v>
      </c>
      <c r="D121" s="491" t="s">
        <v>34</v>
      </c>
      <c r="E121" s="491" t="s">
        <v>193</v>
      </c>
      <c r="F121" s="491" t="s">
        <v>177</v>
      </c>
      <c r="G121" s="304">
        <v>4300479</v>
      </c>
      <c r="H121" s="1045">
        <v>-344038.32</v>
      </c>
      <c r="I121" s="298">
        <f t="shared" si="38"/>
        <v>210293.4231</v>
      </c>
      <c r="J121" s="298">
        <f t="shared" si="39"/>
        <v>172019.16</v>
      </c>
      <c r="K121" s="298">
        <f t="shared" si="40"/>
        <v>86009.58</v>
      </c>
      <c r="L121" s="298">
        <v>15000</v>
      </c>
      <c r="M121" s="295">
        <f t="shared" si="36"/>
        <v>4439762.8431</v>
      </c>
      <c r="N121" s="303">
        <f t="shared" si="41"/>
        <v>355181.027448</v>
      </c>
      <c r="O121" s="399">
        <v>845000</v>
      </c>
      <c r="P121" s="399"/>
      <c r="Q121" s="399"/>
      <c r="R121" s="335">
        <f t="shared" si="42"/>
        <v>5639943.870548</v>
      </c>
      <c r="S121" s="335">
        <f t="shared" si="43"/>
        <v>35518.1027448</v>
      </c>
      <c r="T121" s="336">
        <f t="shared" si="44"/>
        <v>5675461.9732928</v>
      </c>
      <c r="U121" s="417">
        <v>44354</v>
      </c>
      <c r="V121" s="337">
        <v>44453</v>
      </c>
      <c r="W121" s="1290"/>
      <c r="X121" s="1288"/>
      <c r="Y121" s="1288"/>
      <c r="Z121" s="1146"/>
      <c r="AA121" s="1146"/>
      <c r="AB121" s="1288" t="str">
        <f>+VLOOKUP(B121,'[6]SURABAYA ANTERAJA'!$C$7:$D$218,2,0)</f>
        <v>JUNI DWI RIADI</v>
      </c>
    </row>
    <row r="122" ht="15.75" customHeight="1">
      <c r="A122" s="1027" t="s">
        <v>24</v>
      </c>
      <c r="B122" s="1257" t="s">
        <v>605</v>
      </c>
      <c r="C122" s="1258" t="s">
        <v>606</v>
      </c>
      <c r="D122" s="1027" t="s">
        <v>34</v>
      </c>
      <c r="E122" s="1027" t="s">
        <v>193</v>
      </c>
      <c r="F122" s="1027" t="s">
        <v>177</v>
      </c>
      <c r="G122" s="1045">
        <v>4300479</v>
      </c>
      <c r="H122" s="1045">
        <v>0</v>
      </c>
      <c r="I122" s="1225">
        <f t="shared" si="38"/>
        <v>210293.4231</v>
      </c>
      <c r="J122" s="1225">
        <f t="shared" si="39"/>
        <v>172019.16</v>
      </c>
      <c r="K122" s="1225">
        <f t="shared" si="40"/>
        <v>86009.58</v>
      </c>
      <c r="L122" s="1225">
        <v>15000</v>
      </c>
      <c r="M122" s="295">
        <f t="shared" si="36"/>
        <v>4783801.1631</v>
      </c>
      <c r="N122" s="1226">
        <f t="shared" si="41"/>
        <v>382704.093048</v>
      </c>
      <c r="O122" s="399">
        <f>+VLOOKUP(C122,[7]Summary!$C$8:$E$205,3,0)</f>
        <v>620000</v>
      </c>
      <c r="P122" s="1227"/>
      <c r="Q122" s="1227"/>
      <c r="R122" s="1235">
        <f t="shared" si="42"/>
        <v>5786505.256147999</v>
      </c>
      <c r="S122" s="1235">
        <f t="shared" si="43"/>
        <v>38270.4093048</v>
      </c>
      <c r="T122" s="1236">
        <f t="shared" si="44"/>
        <v>5824775.6654528</v>
      </c>
      <c r="U122" s="1270">
        <v>44409</v>
      </c>
      <c r="V122" s="1271">
        <v>44500</v>
      </c>
      <c r="W122" s="1062"/>
      <c r="X122" s="1288"/>
      <c r="Y122" s="1288"/>
      <c r="AB122" s="1288" t="str">
        <f>+VLOOKUP(B122,'[6]SURABAYA ANTERAJA'!$C$7:$D$218,2,0)</f>
        <v>KAMILUDDIN</v>
      </c>
    </row>
    <row r="123" ht="15.75" customHeight="1">
      <c r="A123" s="1027" t="s">
        <v>24</v>
      </c>
      <c r="B123" s="239" t="s">
        <v>1983</v>
      </c>
      <c r="C123" s="1153" t="s">
        <v>1984</v>
      </c>
      <c r="D123" s="491" t="s">
        <v>34</v>
      </c>
      <c r="E123" s="491" t="s">
        <v>193</v>
      </c>
      <c r="F123" s="491" t="s">
        <v>177</v>
      </c>
      <c r="G123" s="304">
        <v>4300479</v>
      </c>
      <c r="H123" s="1045">
        <v>0</v>
      </c>
      <c r="I123" s="298">
        <f t="shared" si="38"/>
        <v>210293.4231</v>
      </c>
      <c r="J123" s="298">
        <f t="shared" si="39"/>
        <v>172019.16</v>
      </c>
      <c r="K123" s="298">
        <f t="shared" si="40"/>
        <v>86009.58</v>
      </c>
      <c r="L123" s="298">
        <v>15000</v>
      </c>
      <c r="M123" s="295">
        <f t="shared" si="36"/>
        <v>4783801.1631</v>
      </c>
      <c r="N123" s="303">
        <f t="shared" si="41"/>
        <v>382704.093048</v>
      </c>
      <c r="O123" s="399">
        <f>+VLOOKUP(C123,[7]Summary!$C$8:$E$205,3,0)</f>
        <v>620000</v>
      </c>
      <c r="P123" s="399"/>
      <c r="Q123" s="399"/>
      <c r="R123" s="335">
        <f t="shared" si="42"/>
        <v>5786505.256147999</v>
      </c>
      <c r="S123" s="335">
        <f t="shared" si="43"/>
        <v>38270.4093048</v>
      </c>
      <c r="T123" s="336">
        <f t="shared" si="44"/>
        <v>5824775.6654528</v>
      </c>
      <c r="U123" s="417">
        <v>44409</v>
      </c>
      <c r="V123" s="337">
        <v>44500</v>
      </c>
      <c r="W123" s="1175"/>
      <c r="X123" s="1288"/>
      <c r="Y123" s="1288"/>
      <c r="Z123" s="1292"/>
      <c r="AA123" s="1292"/>
      <c r="AB123" s="1288" t="str">
        <f>+VLOOKUP(B123,'[6]SURABAYA ANTERAJA'!$C$7:$D$218,2,0)</f>
        <v>KEVIN DWI CAHYO</v>
      </c>
    </row>
    <row r="124" ht="15.75" customHeight="1">
      <c r="A124" s="1027" t="s">
        <v>24</v>
      </c>
      <c r="B124" s="1257" t="s">
        <v>1985</v>
      </c>
      <c r="C124" s="1258" t="s">
        <v>1986</v>
      </c>
      <c r="D124" s="1027" t="s">
        <v>34</v>
      </c>
      <c r="E124" s="1027" t="s">
        <v>193</v>
      </c>
      <c r="F124" s="1027" t="s">
        <v>177</v>
      </c>
      <c r="G124" s="1045">
        <v>4300479</v>
      </c>
      <c r="H124" s="1045">
        <v>-172019.16</v>
      </c>
      <c r="I124" s="1225">
        <f t="shared" si="38"/>
        <v>210293.4231</v>
      </c>
      <c r="J124" s="1225">
        <f t="shared" si="39"/>
        <v>172019.16</v>
      </c>
      <c r="K124" s="1225">
        <f t="shared" si="40"/>
        <v>86009.58</v>
      </c>
      <c r="L124" s="1225">
        <v>15000</v>
      </c>
      <c r="M124" s="295">
        <f t="shared" si="36"/>
        <v>4611782.0031</v>
      </c>
      <c r="N124" s="1226">
        <f t="shared" si="41"/>
        <v>368942.560248</v>
      </c>
      <c r="O124" s="399">
        <v>1740000</v>
      </c>
      <c r="P124" s="1227"/>
      <c r="Q124" s="1227"/>
      <c r="R124" s="1235">
        <f t="shared" si="42"/>
        <v>6720724.563348</v>
      </c>
      <c r="S124" s="1235">
        <f t="shared" si="43"/>
        <v>36894.2560248</v>
      </c>
      <c r="T124" s="1236">
        <f t="shared" si="44"/>
        <v>6757618.8193728</v>
      </c>
      <c r="U124" s="1270">
        <v>44378</v>
      </c>
      <c r="V124" s="1271">
        <v>44469</v>
      </c>
      <c r="W124" s="1062"/>
      <c r="X124" s="1288"/>
      <c r="Y124" s="1288"/>
      <c r="AB124" s="1288" t="str">
        <f>+VLOOKUP(B124,'[6]SURABAYA ANTERAJA'!$C$7:$D$218,2,0)</f>
        <v>KOMANG BUDI DHARMA MARIADINATA</v>
      </c>
    </row>
    <row r="125" ht="15.75" customHeight="1">
      <c r="A125" s="1027" t="s">
        <v>24</v>
      </c>
      <c r="B125" s="1257" t="s">
        <v>1987</v>
      </c>
      <c r="C125" s="1258" t="s">
        <v>1988</v>
      </c>
      <c r="D125" s="1027" t="s">
        <v>34</v>
      </c>
      <c r="E125" s="1027" t="s">
        <v>193</v>
      </c>
      <c r="F125" s="1027" t="s">
        <v>177</v>
      </c>
      <c r="G125" s="1045">
        <v>4300479</v>
      </c>
      <c r="H125" s="1045">
        <v>0</v>
      </c>
      <c r="I125" s="1225">
        <f t="shared" si="38"/>
        <v>210293.4231</v>
      </c>
      <c r="J125" s="1225">
        <f t="shared" si="39"/>
        <v>172019.16</v>
      </c>
      <c r="K125" s="1225">
        <f t="shared" si="40"/>
        <v>86009.58</v>
      </c>
      <c r="L125" s="1225">
        <v>15000</v>
      </c>
      <c r="M125" s="295">
        <f t="shared" si="36"/>
        <v>4783801.1631</v>
      </c>
      <c r="N125" s="1226">
        <f t="shared" si="41"/>
        <v>382704.093048</v>
      </c>
      <c r="O125" s="399">
        <v>1465000</v>
      </c>
      <c r="P125" s="1227"/>
      <c r="Q125" s="1227"/>
      <c r="R125" s="1235">
        <f t="shared" si="42"/>
        <v>6631505.256148</v>
      </c>
      <c r="S125" s="1235">
        <f t="shared" si="43"/>
        <v>38270.4093048</v>
      </c>
      <c r="T125" s="1236">
        <f t="shared" si="44"/>
        <v>6669775.6654528</v>
      </c>
      <c r="U125" s="1270">
        <v>44378</v>
      </c>
      <c r="V125" s="1271">
        <v>44469</v>
      </c>
      <c r="W125" s="1062"/>
      <c r="X125" s="1288"/>
      <c r="Y125" s="1288"/>
      <c r="Z125" s="1288"/>
      <c r="AA125" s="1288"/>
      <c r="AB125" s="1288" t="str">
        <f>+VLOOKUP(B125,'[6]SURABAYA ANTERAJA'!$C$7:$D$218,2,0)</f>
        <v>KRISTIAN PRASETYA INDRA PUTRA</v>
      </c>
    </row>
    <row r="126" ht="15.75" customHeight="1">
      <c r="A126" s="1027" t="s">
        <v>24</v>
      </c>
      <c r="B126" s="239" t="s">
        <v>1989</v>
      </c>
      <c r="C126" s="1153" t="s">
        <v>1990</v>
      </c>
      <c r="D126" s="491" t="s">
        <v>34</v>
      </c>
      <c r="E126" s="491" t="s">
        <v>193</v>
      </c>
      <c r="F126" s="491" t="s">
        <v>177</v>
      </c>
      <c r="G126" s="304">
        <v>4300479</v>
      </c>
      <c r="H126" s="1045">
        <v>-172019.16</v>
      </c>
      <c r="I126" s="298">
        <f t="shared" si="38"/>
        <v>210293.4231</v>
      </c>
      <c r="J126" s="298">
        <f t="shared" si="39"/>
        <v>172019.16</v>
      </c>
      <c r="K126" s="298">
        <f t="shared" si="40"/>
        <v>86009.58</v>
      </c>
      <c r="L126" s="298">
        <v>15000</v>
      </c>
      <c r="M126" s="295">
        <f t="shared" si="36"/>
        <v>4611782.0031</v>
      </c>
      <c r="N126" s="303">
        <f t="shared" si="41"/>
        <v>368942.560248</v>
      </c>
      <c r="O126" s="399">
        <f>+VLOOKUP(C126,[7]Summary!$C$8:$E$205,3,0)</f>
        <v>745000</v>
      </c>
      <c r="P126" s="399"/>
      <c r="Q126" s="399"/>
      <c r="R126" s="335">
        <f t="shared" si="42"/>
        <v>5725724.563348</v>
      </c>
      <c r="S126" s="335">
        <f t="shared" si="43"/>
        <v>36894.2560248</v>
      </c>
      <c r="T126" s="336">
        <f t="shared" si="44"/>
        <v>5762618.8193728</v>
      </c>
      <c r="U126" s="417">
        <v>44409</v>
      </c>
      <c r="V126" s="337">
        <v>44500</v>
      </c>
      <c r="W126" s="1175"/>
      <c r="X126" s="1288"/>
      <c r="Y126" s="1288"/>
      <c r="Z126" s="1292"/>
      <c r="AA126" s="1292"/>
      <c r="AB126" s="1288" t="str">
        <f>+VLOOKUP(B126,'[6]SURABAYA ANTERAJA'!$C$7:$D$218,2,0)</f>
        <v>KUFWANI</v>
      </c>
    </row>
    <row r="127" ht="15.75" customHeight="1">
      <c r="A127" s="1027" t="s">
        <v>24</v>
      </c>
      <c r="B127" s="1257" t="s">
        <v>629</v>
      </c>
      <c r="C127" s="1258" t="s">
        <v>1991</v>
      </c>
      <c r="D127" s="1027" t="s">
        <v>34</v>
      </c>
      <c r="E127" s="1027" t="s">
        <v>193</v>
      </c>
      <c r="F127" s="1027" t="s">
        <v>177</v>
      </c>
      <c r="G127" s="1045">
        <v>4300479</v>
      </c>
      <c r="H127" s="1045">
        <v>0</v>
      </c>
      <c r="I127" s="1225">
        <f t="shared" si="38"/>
        <v>210293.4231</v>
      </c>
      <c r="J127" s="1225">
        <f t="shared" si="39"/>
        <v>172019.16</v>
      </c>
      <c r="K127" s="1225">
        <f t="shared" si="40"/>
        <v>86009.58</v>
      </c>
      <c r="L127" s="1225">
        <v>15000</v>
      </c>
      <c r="M127" s="295">
        <f t="shared" si="36"/>
        <v>4783801.1631</v>
      </c>
      <c r="N127" s="1226">
        <f t="shared" si="41"/>
        <v>382704.093048</v>
      </c>
      <c r="O127" s="399">
        <f>+VLOOKUP(C127,[7]Summary!$C$8:$E$205,3,0)</f>
        <v>450000</v>
      </c>
      <c r="P127" s="1227"/>
      <c r="Q127" s="1227"/>
      <c r="R127" s="1235">
        <f t="shared" si="42"/>
        <v>5616505.256147999</v>
      </c>
      <c r="S127" s="1235">
        <f t="shared" si="43"/>
        <v>38270.4093048</v>
      </c>
      <c r="T127" s="1236">
        <f t="shared" si="44"/>
        <v>5654775.6654528</v>
      </c>
      <c r="U127" s="1270">
        <v>44409</v>
      </c>
      <c r="V127" s="1271">
        <v>44500</v>
      </c>
      <c r="W127" s="1062"/>
      <c r="X127" s="1288"/>
      <c r="Y127" s="1288"/>
      <c r="AB127" s="1288" t="str">
        <f>+VLOOKUP(B127,'[6]SURABAYA ANTERAJA'!$C$7:$D$218,2,0)</f>
        <v>KUSLAN </v>
      </c>
    </row>
    <row r="128" ht="15.75" customHeight="1">
      <c r="A128" s="1027" t="s">
        <v>24</v>
      </c>
      <c r="B128" s="1257" t="s">
        <v>1992</v>
      </c>
      <c r="C128" s="1258" t="s">
        <v>1993</v>
      </c>
      <c r="D128" s="1027" t="s">
        <v>34</v>
      </c>
      <c r="E128" s="1027" t="s">
        <v>193</v>
      </c>
      <c r="F128" s="1027" t="s">
        <v>177</v>
      </c>
      <c r="G128" s="1045">
        <v>4300479</v>
      </c>
      <c r="H128" s="1045">
        <v>-172019.16</v>
      </c>
      <c r="I128" s="1225">
        <f t="shared" si="38"/>
        <v>210293.4231</v>
      </c>
      <c r="J128" s="1225">
        <f t="shared" si="39"/>
        <v>172019.16</v>
      </c>
      <c r="K128" s="1225">
        <f t="shared" si="40"/>
        <v>86009.58</v>
      </c>
      <c r="L128" s="1225">
        <v>15000</v>
      </c>
      <c r="M128" s="295">
        <f t="shared" si="36"/>
        <v>4611782.0031</v>
      </c>
      <c r="N128" s="1226">
        <f t="shared" si="41"/>
        <v>368942.560248</v>
      </c>
      <c r="O128" s="399">
        <v>525000</v>
      </c>
      <c r="P128" s="1227"/>
      <c r="Q128" s="1227"/>
      <c r="R128" s="1235">
        <f t="shared" si="42"/>
        <v>5505724.563348</v>
      </c>
      <c r="S128" s="1235">
        <f t="shared" si="43"/>
        <v>36894.2560248</v>
      </c>
      <c r="T128" s="1236">
        <f t="shared" si="44"/>
        <v>5542618.8193728</v>
      </c>
      <c r="U128" s="1270">
        <v>44409</v>
      </c>
      <c r="V128" s="1271">
        <v>44439</v>
      </c>
      <c r="W128" s="1062"/>
      <c r="X128" s="1288"/>
      <c r="Y128" s="1288"/>
      <c r="AB128" s="1288" t="str">
        <f>+VLOOKUP(B128,'[6]SURABAYA ANTERAJA'!$C$7:$D$218,2,0)</f>
        <v>M SABILIN HUDAH</v>
      </c>
    </row>
    <row r="129" ht="15.75" customHeight="1">
      <c r="A129" s="1027" t="s">
        <v>24</v>
      </c>
      <c r="B129" s="239">
        <v>2349</v>
      </c>
      <c r="C129" s="1153" t="s">
        <v>1994</v>
      </c>
      <c r="D129" s="491" t="s">
        <v>34</v>
      </c>
      <c r="E129" s="491" t="s">
        <v>193</v>
      </c>
      <c r="F129" s="491" t="s">
        <v>177</v>
      </c>
      <c r="G129" s="304">
        <v>4300479</v>
      </c>
      <c r="H129" s="1045">
        <v>0</v>
      </c>
      <c r="I129" s="298">
        <f t="shared" si="38"/>
        <v>210293.4231</v>
      </c>
      <c r="J129" s="298">
        <f t="shared" si="39"/>
        <v>172019.16</v>
      </c>
      <c r="K129" s="298">
        <f t="shared" si="40"/>
        <v>86009.58</v>
      </c>
      <c r="L129" s="298">
        <v>15000</v>
      </c>
      <c r="M129" s="295">
        <f t="shared" si="36"/>
        <v>4783801.1631</v>
      </c>
      <c r="N129" s="303">
        <f t="shared" si="41"/>
        <v>382704.093048</v>
      </c>
      <c r="O129" s="399">
        <v>672500</v>
      </c>
      <c r="P129" s="399"/>
      <c r="Q129" s="399"/>
      <c r="R129" s="335">
        <f t="shared" si="42"/>
        <v>5839005.256148</v>
      </c>
      <c r="S129" s="335">
        <f t="shared" si="43"/>
        <v>38270.4093048</v>
      </c>
      <c r="T129" s="336">
        <f t="shared" si="44"/>
        <v>5877275.6654528</v>
      </c>
      <c r="U129" s="417">
        <v>44409</v>
      </c>
      <c r="V129" s="337">
        <v>44500</v>
      </c>
      <c r="W129" s="1175"/>
      <c r="X129" s="1288"/>
      <c r="Y129" s="1288"/>
      <c r="Z129" s="1288"/>
      <c r="AA129" s="1288"/>
      <c r="AB129" s="1288" t="str">
        <f>+VLOOKUP(B129,'[6]SURABAYA ANTERAJA'!$C$7:$D$218,2,0)</f>
        <v>M. ABDUL MUSTOFA</v>
      </c>
    </row>
    <row r="130" ht="15.75" customHeight="1">
      <c r="A130" s="1027" t="s">
        <v>24</v>
      </c>
      <c r="B130" s="239" t="s">
        <v>1995</v>
      </c>
      <c r="C130" s="1153" t="s">
        <v>1996</v>
      </c>
      <c r="D130" s="491" t="s">
        <v>34</v>
      </c>
      <c r="E130" s="491" t="s">
        <v>193</v>
      </c>
      <c r="F130" s="491" t="s">
        <v>177</v>
      </c>
      <c r="G130" s="304">
        <v>4300479</v>
      </c>
      <c r="H130" s="1045">
        <v>0</v>
      </c>
      <c r="I130" s="298">
        <f t="shared" si="38"/>
        <v>210293.4231</v>
      </c>
      <c r="J130" s="298">
        <f t="shared" si="39"/>
        <v>172019.16</v>
      </c>
      <c r="K130" s="298">
        <f t="shared" si="40"/>
        <v>86009.58</v>
      </c>
      <c r="L130" s="298">
        <v>15000</v>
      </c>
      <c r="M130" s="295">
        <f t="shared" si="36"/>
        <v>4783801.1631</v>
      </c>
      <c r="N130" s="303">
        <f t="shared" si="41"/>
        <v>382704.093048</v>
      </c>
      <c r="O130" s="399">
        <f>+VLOOKUP(C130,[7]Summary!$C$8:$E$205,3,0)</f>
        <v>117000</v>
      </c>
      <c r="P130" s="399"/>
      <c r="Q130" s="399"/>
      <c r="R130" s="335">
        <f t="shared" si="42"/>
        <v>5283505.256147999</v>
      </c>
      <c r="S130" s="335">
        <f t="shared" si="43"/>
        <v>38270.4093048</v>
      </c>
      <c r="T130" s="336">
        <f t="shared" si="44"/>
        <v>5321775.6654528</v>
      </c>
      <c r="U130" s="417">
        <v>44345</v>
      </c>
      <c r="V130" s="337">
        <v>44439</v>
      </c>
      <c r="W130" s="1175"/>
      <c r="X130" s="1288"/>
      <c r="Y130" s="1288"/>
      <c r="Z130" s="1292"/>
      <c r="AA130" s="1292"/>
      <c r="AB130" s="1288" t="str">
        <f>+VLOOKUP(B130,'[6]SURABAYA ANTERAJA'!$C$7:$D$218,2,0)</f>
        <v>M. IKHWANUL KHAQMI</v>
      </c>
    </row>
    <row r="131" ht="15.75" customHeight="1">
      <c r="A131" s="1027" t="s">
        <v>24</v>
      </c>
      <c r="B131" s="1257" t="s">
        <v>1997</v>
      </c>
      <c r="C131" s="1258" t="s">
        <v>1998</v>
      </c>
      <c r="D131" s="1027" t="s">
        <v>34</v>
      </c>
      <c r="E131" s="1027" t="s">
        <v>193</v>
      </c>
      <c r="F131" s="1027" t="s">
        <v>177</v>
      </c>
      <c r="G131" s="1045">
        <v>4300479</v>
      </c>
      <c r="H131" s="1045">
        <v>0</v>
      </c>
      <c r="I131" s="1225">
        <f t="shared" si="38"/>
        <v>210293.4231</v>
      </c>
      <c r="J131" s="1225">
        <f t="shared" si="39"/>
        <v>172019.16</v>
      </c>
      <c r="K131" s="1225">
        <f t="shared" si="40"/>
        <v>86009.58</v>
      </c>
      <c r="L131" s="1225">
        <v>15000</v>
      </c>
      <c r="M131" s="295">
        <f t="shared" si="36"/>
        <v>4783801.1631</v>
      </c>
      <c r="N131" s="1226">
        <f t="shared" si="41"/>
        <v>382704.093048</v>
      </c>
      <c r="O131" s="399">
        <v>380000</v>
      </c>
      <c r="P131" s="1227"/>
      <c r="Q131" s="1227"/>
      <c r="R131" s="1235">
        <f t="shared" si="42"/>
        <v>5546505.256148</v>
      </c>
      <c r="S131" s="1235">
        <f t="shared" si="43"/>
        <v>38270.4093048</v>
      </c>
      <c r="T131" s="1236">
        <f t="shared" si="44"/>
        <v>5584775.6654528</v>
      </c>
      <c r="U131" s="1270">
        <v>44378</v>
      </c>
      <c r="V131" s="1271">
        <v>44469</v>
      </c>
      <c r="W131" s="1062"/>
      <c r="X131" s="1288"/>
      <c r="Y131" s="1288"/>
      <c r="Z131" s="1293"/>
      <c r="AA131" s="1293"/>
      <c r="AB131" s="1288" t="str">
        <f>+VLOOKUP(B131,'[6]SURABAYA ANTERAJA'!$C$7:$D$218,2,0)</f>
        <v>M, JUNAIDI A</v>
      </c>
    </row>
    <row r="132" ht="15.75" customHeight="1">
      <c r="A132" s="1027" t="s">
        <v>24</v>
      </c>
      <c r="B132" s="1257" t="s">
        <v>1999</v>
      </c>
      <c r="C132" s="1258" t="s">
        <v>2000</v>
      </c>
      <c r="D132" s="1027" t="s">
        <v>34</v>
      </c>
      <c r="E132" s="1027" t="s">
        <v>193</v>
      </c>
      <c r="F132" s="1027" t="s">
        <v>177</v>
      </c>
      <c r="G132" s="1045">
        <v>4300479</v>
      </c>
      <c r="H132" s="1045">
        <v>-172019.16</v>
      </c>
      <c r="I132" s="1225">
        <f t="shared" si="38"/>
        <v>210293.4231</v>
      </c>
      <c r="J132" s="1225">
        <f t="shared" si="39"/>
        <v>172019.16</v>
      </c>
      <c r="K132" s="1225">
        <f t="shared" si="40"/>
        <v>86009.58</v>
      </c>
      <c r="L132" s="1225">
        <v>15000</v>
      </c>
      <c r="M132" s="295">
        <f t="shared" si="36"/>
        <v>4611782.0031</v>
      </c>
      <c r="N132" s="1226">
        <f t="shared" si="41"/>
        <v>368942.560248</v>
      </c>
      <c r="O132" s="399">
        <f>+VLOOKUP(C132,[7]Summary!$C$8:$E$205,3,0)</f>
        <v>490000</v>
      </c>
      <c r="P132" s="1227"/>
      <c r="Q132" s="1227"/>
      <c r="R132" s="1235">
        <f t="shared" si="42"/>
        <v>5470724.563348</v>
      </c>
      <c r="S132" s="1235">
        <f t="shared" si="43"/>
        <v>36894.2560248</v>
      </c>
      <c r="T132" s="1236">
        <f t="shared" si="44"/>
        <v>5507618.8193728</v>
      </c>
      <c r="U132" s="1270">
        <v>44378</v>
      </c>
      <c r="V132" s="1271">
        <v>44469</v>
      </c>
      <c r="W132" s="1062"/>
      <c r="X132" s="1288"/>
      <c r="Y132" s="1288"/>
      <c r="Z132" s="1293"/>
      <c r="AA132" s="1293"/>
      <c r="AB132" s="1288" t="str">
        <f>+VLOOKUP(B132,'[6]SURABAYA ANTERAJA'!$C$7:$D$218,2,0)</f>
        <v>MARTHA DIANSWARA</v>
      </c>
    </row>
    <row r="133" ht="15.75" customHeight="1">
      <c r="A133" s="1027" t="s">
        <v>24</v>
      </c>
      <c r="B133" s="228" t="s">
        <v>2001</v>
      </c>
      <c r="C133" s="1127" t="s">
        <v>2002</v>
      </c>
      <c r="D133" s="679" t="s">
        <v>34</v>
      </c>
      <c r="E133" s="679" t="s">
        <v>193</v>
      </c>
      <c r="F133" s="679" t="s">
        <v>177</v>
      </c>
      <c r="G133" s="395">
        <v>4300479</v>
      </c>
      <c r="H133" s="1045">
        <v>0</v>
      </c>
      <c r="I133" s="293">
        <f t="shared" si="38"/>
        <v>210293.4231</v>
      </c>
      <c r="J133" s="293">
        <f t="shared" si="39"/>
        <v>172019.16</v>
      </c>
      <c r="K133" s="293">
        <f t="shared" si="40"/>
        <v>86009.58</v>
      </c>
      <c r="L133" s="293">
        <v>15000</v>
      </c>
      <c r="M133" s="295">
        <f t="shared" si="36"/>
        <v>4783801.1631</v>
      </c>
      <c r="N133" s="296">
        <f t="shared" si="41"/>
        <v>382704.093048</v>
      </c>
      <c r="O133" s="399">
        <f>+VLOOKUP(C133,[7]Summary!$C$8:$E$205,3,0)</f>
        <v>495000</v>
      </c>
      <c r="P133" s="447"/>
      <c r="Q133" s="447"/>
      <c r="R133" s="328">
        <f t="shared" si="42"/>
        <v>5661505.256147999</v>
      </c>
      <c r="S133" s="328">
        <f t="shared" si="43"/>
        <v>38270.4093048</v>
      </c>
      <c r="T133" s="329">
        <f t="shared" si="44"/>
        <v>5699775.6654528</v>
      </c>
      <c r="U133" s="1272">
        <v>44378</v>
      </c>
      <c r="V133" s="155">
        <v>44469</v>
      </c>
      <c r="W133" s="1169"/>
      <c r="X133" s="1288"/>
      <c r="Y133" s="1288"/>
      <c r="AB133" s="1288" t="str">
        <f>+VLOOKUP(B133,'[6]SURABAYA ANTERAJA'!$C$7:$D$218,2,0)</f>
        <v>MASRIP</v>
      </c>
    </row>
    <row r="134" ht="15.75" customHeight="1">
      <c r="A134" s="1027" t="s">
        <v>24</v>
      </c>
      <c r="B134" s="239" t="s">
        <v>2003</v>
      </c>
      <c r="C134" s="1153" t="s">
        <v>2004</v>
      </c>
      <c r="D134" s="491" t="s">
        <v>34</v>
      </c>
      <c r="E134" s="491" t="s">
        <v>193</v>
      </c>
      <c r="F134" s="491" t="s">
        <v>177</v>
      </c>
      <c r="G134" s="304">
        <v>4300479</v>
      </c>
      <c r="H134" s="1045">
        <v>0</v>
      </c>
      <c r="I134" s="298">
        <f t="shared" si="38"/>
        <v>210293.4231</v>
      </c>
      <c r="J134" s="298">
        <f t="shared" si="39"/>
        <v>172019.16</v>
      </c>
      <c r="K134" s="298">
        <f t="shared" si="40"/>
        <v>86009.58</v>
      </c>
      <c r="L134" s="298">
        <v>15000</v>
      </c>
      <c r="M134" s="295">
        <f t="shared" si="36"/>
        <v>4783801.1631</v>
      </c>
      <c r="N134" s="303">
        <f t="shared" si="41"/>
        <v>382704.093048</v>
      </c>
      <c r="O134" s="399">
        <f>+VLOOKUP(C134,[7]Summary!$C$8:$E$205,3,0)</f>
        <v>680000</v>
      </c>
      <c r="P134" s="399"/>
      <c r="Q134" s="399"/>
      <c r="R134" s="335">
        <f t="shared" si="42"/>
        <v>5846505.256147999</v>
      </c>
      <c r="S134" s="335">
        <f t="shared" si="43"/>
        <v>38270.4093048</v>
      </c>
      <c r="T134" s="336">
        <f t="shared" si="44"/>
        <v>5884775.6654528</v>
      </c>
      <c r="U134" s="417">
        <v>44354</v>
      </c>
      <c r="V134" s="337">
        <v>44439</v>
      </c>
      <c r="W134" s="1175"/>
      <c r="X134" s="1288"/>
      <c r="Y134" s="1288"/>
      <c r="Z134" s="1292"/>
      <c r="AA134" s="1292"/>
      <c r="AB134" s="1288" t="str">
        <f>+VLOOKUP(B134,'[6]SURABAYA ANTERAJA'!$C$7:$D$218,2,0)</f>
        <v>MEDY CAHYONO</v>
      </c>
    </row>
    <row r="135" ht="15.75" customHeight="1">
      <c r="A135" s="1027" t="s">
        <v>24</v>
      </c>
      <c r="B135" s="1257" t="s">
        <v>2005</v>
      </c>
      <c r="C135" s="1258" t="s">
        <v>2006</v>
      </c>
      <c r="D135" s="1027" t="s">
        <v>34</v>
      </c>
      <c r="E135" s="1027" t="s">
        <v>193</v>
      </c>
      <c r="F135" s="1027" t="s">
        <v>177</v>
      </c>
      <c r="G135" s="1045">
        <v>4300479</v>
      </c>
      <c r="H135" s="1045">
        <v>-172019.16</v>
      </c>
      <c r="I135" s="1225">
        <f t="shared" si="38"/>
        <v>210293.4231</v>
      </c>
      <c r="J135" s="1225">
        <f t="shared" si="39"/>
        <v>172019.16</v>
      </c>
      <c r="K135" s="1225">
        <f t="shared" si="40"/>
        <v>86009.58</v>
      </c>
      <c r="L135" s="1225">
        <v>15000</v>
      </c>
      <c r="M135" s="295">
        <f t="shared" si="36"/>
        <v>4611782.0031</v>
      </c>
      <c r="N135" s="1226">
        <f t="shared" si="41"/>
        <v>368942.560248</v>
      </c>
      <c r="O135" s="399">
        <v>380000</v>
      </c>
      <c r="P135" s="1227"/>
      <c r="Q135" s="1227"/>
      <c r="R135" s="1235">
        <f t="shared" si="42"/>
        <v>5360724.563348</v>
      </c>
      <c r="S135" s="1235">
        <f t="shared" si="43"/>
        <v>36894.2560248</v>
      </c>
      <c r="T135" s="1236">
        <f t="shared" si="44"/>
        <v>5397618.8193728</v>
      </c>
      <c r="U135" s="1270">
        <v>44378</v>
      </c>
      <c r="V135" s="1271">
        <v>44469</v>
      </c>
      <c r="W135" s="1062"/>
      <c r="X135" s="1288"/>
      <c r="Y135" s="1288"/>
      <c r="Z135" s="1293"/>
      <c r="AA135" s="1293"/>
      <c r="AB135" s="1288" t="str">
        <f>+VLOOKUP(B135,'[6]SURABAYA ANTERAJA'!$C$7:$D$218,2,0)</f>
        <v>MIFTACHUL IHSAN</v>
      </c>
    </row>
    <row r="136" ht="15.75" customHeight="1">
      <c r="A136" s="1027" t="s">
        <v>24</v>
      </c>
      <c r="B136" s="1257" t="s">
        <v>2007</v>
      </c>
      <c r="C136" s="1258" t="s">
        <v>2008</v>
      </c>
      <c r="D136" s="1027" t="s">
        <v>34</v>
      </c>
      <c r="E136" s="1027" t="s">
        <v>193</v>
      </c>
      <c r="F136" s="1027" t="s">
        <v>177</v>
      </c>
      <c r="G136" s="1045">
        <v>4300479</v>
      </c>
      <c r="H136" s="1045">
        <v>0</v>
      </c>
      <c r="I136" s="1225">
        <f t="shared" si="38"/>
        <v>210293.4231</v>
      </c>
      <c r="J136" s="1225">
        <f t="shared" si="39"/>
        <v>172019.16</v>
      </c>
      <c r="K136" s="1225">
        <f t="shared" si="40"/>
        <v>86009.58</v>
      </c>
      <c r="L136" s="1225">
        <v>15000</v>
      </c>
      <c r="M136" s="295">
        <f t="shared" si="36"/>
        <v>4783801.1631</v>
      </c>
      <c r="N136" s="1226">
        <f t="shared" si="41"/>
        <v>382704.093048</v>
      </c>
      <c r="O136" s="399">
        <f>+VLOOKUP(C136,[7]Summary!$C$8:$E$205,3,0)</f>
        <v>433000</v>
      </c>
      <c r="P136" s="1227"/>
      <c r="Q136" s="1227"/>
      <c r="R136" s="1235">
        <f t="shared" si="42"/>
        <v>5599505.256147999</v>
      </c>
      <c r="S136" s="1235">
        <f t="shared" si="43"/>
        <v>38270.4093048</v>
      </c>
      <c r="T136" s="1236">
        <f t="shared" si="44"/>
        <v>5637775.6654528</v>
      </c>
      <c r="U136" s="1270">
        <v>44378</v>
      </c>
      <c r="V136" s="1271">
        <v>44469</v>
      </c>
      <c r="W136" s="1062"/>
      <c r="X136" s="1288"/>
      <c r="Y136" s="1288"/>
      <c r="Z136" s="1293"/>
      <c r="AA136" s="1293"/>
      <c r="AB136" s="1288" t="str">
        <f>+VLOOKUP(B136,'[6]SURABAYA ANTERAJA'!$C$7:$D$218,2,0)</f>
        <v>MIFTACHUR ROZZAQ</v>
      </c>
    </row>
    <row r="137" ht="15.75" customHeight="1">
      <c r="A137" s="1027" t="s">
        <v>24</v>
      </c>
      <c r="B137" s="1531" t="s">
        <v>2009</v>
      </c>
      <c r="C137" s="1295" t="s">
        <v>2010</v>
      </c>
      <c r="D137" s="1027" t="s">
        <v>34</v>
      </c>
      <c r="E137" s="1027" t="s">
        <v>193</v>
      </c>
      <c r="F137" s="1027" t="s">
        <v>177</v>
      </c>
      <c r="G137" s="1045">
        <v>4300479</v>
      </c>
      <c r="H137" s="1045">
        <v>0</v>
      </c>
      <c r="I137" s="1225">
        <f t="shared" si="38"/>
        <v>210293.4231</v>
      </c>
      <c r="J137" s="1225">
        <f t="shared" si="39"/>
        <v>172019.16</v>
      </c>
      <c r="K137" s="1225">
        <f t="shared" si="40"/>
        <v>86009.58</v>
      </c>
      <c r="L137" s="1225">
        <v>15000</v>
      </c>
      <c r="M137" s="295">
        <f t="shared" si="36"/>
        <v>4783801.1631</v>
      </c>
      <c r="N137" s="1226">
        <f t="shared" si="41"/>
        <v>382704.093048</v>
      </c>
      <c r="O137" s="399">
        <v>550000</v>
      </c>
      <c r="P137" s="1227"/>
      <c r="Q137" s="1227"/>
      <c r="R137" s="1235">
        <f t="shared" si="42"/>
        <v>5716505.256148</v>
      </c>
      <c r="S137" s="1235">
        <f t="shared" si="43"/>
        <v>38270.4093048</v>
      </c>
      <c r="T137" s="1236">
        <f t="shared" si="44"/>
        <v>5754775.6654528</v>
      </c>
      <c r="U137" s="1237">
        <v>44378</v>
      </c>
      <c r="V137" s="1291">
        <v>44469</v>
      </c>
      <c r="W137" s="1062"/>
      <c r="X137" s="1288"/>
      <c r="Y137" s="1288"/>
      <c r="Z137" s="1288"/>
      <c r="AA137" s="1288"/>
      <c r="AB137" s="1288" t="str">
        <f>+VLOOKUP(B137,'[6]SURABAYA ANTERAJA'!$C$7:$D$218,2,0)</f>
        <v>MIFTAKUL ARIS MUSTOFA</v>
      </c>
    </row>
    <row r="138" ht="15.75" customHeight="1">
      <c r="A138" s="1027" t="s">
        <v>24</v>
      </c>
      <c r="B138" s="228" t="s">
        <v>2011</v>
      </c>
      <c r="C138" s="1127" t="s">
        <v>2012</v>
      </c>
      <c r="D138" s="679" t="s">
        <v>34</v>
      </c>
      <c r="E138" s="679" t="s">
        <v>193</v>
      </c>
      <c r="F138" s="679" t="s">
        <v>177</v>
      </c>
      <c r="G138" s="395">
        <v>4300479</v>
      </c>
      <c r="H138" s="1045">
        <v>-344038.32</v>
      </c>
      <c r="I138" s="293">
        <f t="shared" si="38"/>
        <v>210293.4231</v>
      </c>
      <c r="J138" s="293">
        <f t="shared" si="39"/>
        <v>172019.16</v>
      </c>
      <c r="K138" s="293">
        <f t="shared" si="40"/>
        <v>86009.58</v>
      </c>
      <c r="L138" s="293">
        <v>15000</v>
      </c>
      <c r="M138" s="295">
        <f t="shared" si="36"/>
        <v>4439762.8431</v>
      </c>
      <c r="N138" s="296">
        <f t="shared" si="41"/>
        <v>355181.027448</v>
      </c>
      <c r="O138" s="399">
        <f>+VLOOKUP(C138,[7]Summary!$C$8:$E$205,3,0)</f>
        <v>465000</v>
      </c>
      <c r="P138" s="447"/>
      <c r="Q138" s="447"/>
      <c r="R138" s="328">
        <f t="shared" si="42"/>
        <v>5259943.870548001</v>
      </c>
      <c r="S138" s="328">
        <f t="shared" si="43"/>
        <v>35518.1027448</v>
      </c>
      <c r="T138" s="329">
        <f t="shared" si="44"/>
        <v>5295461.973292801</v>
      </c>
      <c r="U138" s="1272">
        <v>44378</v>
      </c>
      <c r="V138" s="155">
        <v>44469</v>
      </c>
      <c r="W138" s="1169"/>
      <c r="X138" s="1288"/>
      <c r="Y138" s="1288"/>
      <c r="AB138" s="1288" t="str">
        <f>+VLOOKUP(B138,'[6]SURABAYA ANTERAJA'!$C$7:$D$218,2,0)</f>
        <v>MOCH ANDREANSYAH</v>
      </c>
    </row>
    <row r="139" ht="15.75" customHeight="1">
      <c r="A139" s="1027" t="s">
        <v>24</v>
      </c>
      <c r="B139" s="1257" t="s">
        <v>2013</v>
      </c>
      <c r="C139" s="1258" t="s">
        <v>494</v>
      </c>
      <c r="D139" s="1027" t="s">
        <v>34</v>
      </c>
      <c r="E139" s="1027" t="s">
        <v>193</v>
      </c>
      <c r="F139" s="1027" t="s">
        <v>177</v>
      </c>
      <c r="G139" s="1045">
        <v>4300479</v>
      </c>
      <c r="H139" s="1045">
        <v>0</v>
      </c>
      <c r="I139" s="1225">
        <f t="shared" si="38"/>
        <v>210293.4231</v>
      </c>
      <c r="J139" s="1225">
        <f t="shared" si="39"/>
        <v>172019.16</v>
      </c>
      <c r="K139" s="1225">
        <f t="shared" si="40"/>
        <v>86009.58</v>
      </c>
      <c r="L139" s="1225">
        <v>15000</v>
      </c>
      <c r="M139" s="295">
        <f t="shared" si="36"/>
        <v>4783801.1631</v>
      </c>
      <c r="N139" s="1226">
        <f t="shared" si="41"/>
        <v>382704.093048</v>
      </c>
      <c r="O139" s="399"/>
      <c r="P139" s="1227"/>
      <c r="Q139" s="1227"/>
      <c r="R139" s="1235">
        <f t="shared" si="42"/>
        <v>5166505.256148</v>
      </c>
      <c r="S139" s="1235">
        <f t="shared" si="43"/>
        <v>38270.4093048</v>
      </c>
      <c r="T139" s="1236">
        <f t="shared" si="44"/>
        <v>5204775.6654528</v>
      </c>
      <c r="U139" s="1270">
        <v>44378</v>
      </c>
      <c r="V139" s="1271">
        <v>44469</v>
      </c>
      <c r="W139" s="1062"/>
      <c r="X139" s="1288"/>
      <c r="Y139" s="1288"/>
      <c r="Z139" s="1288"/>
      <c r="AA139" s="1288"/>
      <c r="AB139" s="1288" t="str">
        <f>+VLOOKUP(B139,'[6]SURABAYA ANTERAJA'!$C$7:$D$218,2,0)</f>
        <v>MOCH ARIFIN</v>
      </c>
    </row>
    <row r="140" ht="15.75" customHeight="1">
      <c r="A140" s="1027" t="s">
        <v>24</v>
      </c>
      <c r="B140" s="1257" t="s">
        <v>2014</v>
      </c>
      <c r="C140" s="1260" t="s">
        <v>2015</v>
      </c>
      <c r="D140" s="1027" t="s">
        <v>34</v>
      </c>
      <c r="E140" s="1027" t="s">
        <v>193</v>
      </c>
      <c r="F140" s="1027" t="s">
        <v>177</v>
      </c>
      <c r="G140" s="1045">
        <v>4300479</v>
      </c>
      <c r="H140" s="1045">
        <v>-860095.8</v>
      </c>
      <c r="I140" s="1225">
        <f t="shared" si="38"/>
        <v>210293.4231</v>
      </c>
      <c r="J140" s="1225">
        <f t="shared" si="39"/>
        <v>172019.16</v>
      </c>
      <c r="K140" s="1225">
        <f t="shared" si="40"/>
        <v>86009.58</v>
      </c>
      <c r="L140" s="1225">
        <v>15000</v>
      </c>
      <c r="M140" s="295">
        <f t="shared" si="36"/>
        <v>3923705.3631</v>
      </c>
      <c r="N140" s="1226">
        <f t="shared" si="41"/>
        <v>313896.429048</v>
      </c>
      <c r="O140" s="399">
        <v>367500</v>
      </c>
      <c r="P140" s="1227"/>
      <c r="Q140" s="1227"/>
      <c r="R140" s="1235">
        <f t="shared" si="42"/>
        <v>4605101.792148</v>
      </c>
      <c r="S140" s="1235">
        <f t="shared" si="43"/>
        <v>31389.6429048</v>
      </c>
      <c r="T140" s="1236">
        <f t="shared" si="44"/>
        <v>4636491.4350528</v>
      </c>
      <c r="U140" s="1237">
        <v>44378</v>
      </c>
      <c r="V140" s="1291">
        <v>44469</v>
      </c>
      <c r="W140" s="1062"/>
      <c r="X140" s="1288"/>
      <c r="Y140" s="1288"/>
      <c r="Z140" s="1288"/>
      <c r="AA140" s="1288"/>
      <c r="AB140" s="1288" t="str">
        <f>+VLOOKUP(B140,'[6]SURABAYA ANTERAJA'!$C$7:$D$218,2,0)</f>
        <v>MOCH. MAULVY AZIZ</v>
      </c>
    </row>
    <row r="141" ht="15.75" customHeight="1">
      <c r="A141" s="1027" t="s">
        <v>24</v>
      </c>
      <c r="B141" s="228" t="s">
        <v>2016</v>
      </c>
      <c r="C141" s="1127" t="s">
        <v>2017</v>
      </c>
      <c r="D141" s="679" t="s">
        <v>34</v>
      </c>
      <c r="E141" s="679" t="s">
        <v>193</v>
      </c>
      <c r="F141" s="679" t="s">
        <v>177</v>
      </c>
      <c r="G141" s="395">
        <v>4300479</v>
      </c>
      <c r="H141" s="1045">
        <v>0</v>
      </c>
      <c r="I141" s="293">
        <f t="shared" si="38"/>
        <v>210293.4231</v>
      </c>
      <c r="J141" s="293">
        <f t="shared" si="39"/>
        <v>172019.16</v>
      </c>
      <c r="K141" s="293">
        <f t="shared" si="40"/>
        <v>86009.58</v>
      </c>
      <c r="L141" s="293">
        <v>15000</v>
      </c>
      <c r="M141" s="295">
        <f t="shared" si="36"/>
        <v>4783801.1631</v>
      </c>
      <c r="N141" s="296">
        <f t="shared" si="41"/>
        <v>382704.093048</v>
      </c>
      <c r="O141" s="399">
        <f>+VLOOKUP(C141,[7]Summary!$C$8:$E$205,3,0)</f>
        <v>525000</v>
      </c>
      <c r="P141" s="447"/>
      <c r="Q141" s="447"/>
      <c r="R141" s="328">
        <f t="shared" si="42"/>
        <v>5691505.256147999</v>
      </c>
      <c r="S141" s="328">
        <f t="shared" si="43"/>
        <v>38270.4093048</v>
      </c>
      <c r="T141" s="329">
        <f t="shared" si="44"/>
        <v>5729775.6654528</v>
      </c>
      <c r="U141" s="1272">
        <v>44378</v>
      </c>
      <c r="V141" s="155">
        <v>44469</v>
      </c>
      <c r="W141" s="1169"/>
      <c r="X141" s="1288"/>
      <c r="Y141" s="1288"/>
      <c r="AB141" s="1288" t="str">
        <f>+VLOOKUP(B141,'[6]SURABAYA ANTERAJA'!$C$7:$D$218,2,0)</f>
        <v>MOCH ZAINI</v>
      </c>
    </row>
    <row r="142" ht="15.75" customHeight="1">
      <c r="A142" s="1027" t="s">
        <v>24</v>
      </c>
      <c r="B142" s="1257" t="s">
        <v>2018</v>
      </c>
      <c r="C142" s="1258" t="s">
        <v>2019</v>
      </c>
      <c r="D142" s="1027" t="s">
        <v>34</v>
      </c>
      <c r="E142" s="1027" t="s">
        <v>193</v>
      </c>
      <c r="F142" s="1027" t="s">
        <v>177</v>
      </c>
      <c r="G142" s="1045">
        <v>4300479</v>
      </c>
      <c r="H142" s="1045">
        <v>-172019.16</v>
      </c>
      <c r="I142" s="1225">
        <f t="shared" si="38"/>
        <v>210293.4231</v>
      </c>
      <c r="J142" s="1225">
        <f t="shared" si="39"/>
        <v>172019.16</v>
      </c>
      <c r="K142" s="1225">
        <f t="shared" si="40"/>
        <v>86009.58</v>
      </c>
      <c r="L142" s="1225">
        <v>15000</v>
      </c>
      <c r="M142" s="295">
        <f t="shared" si="36"/>
        <v>4611782.0031</v>
      </c>
      <c r="N142" s="1226">
        <f t="shared" si="41"/>
        <v>368942.560248</v>
      </c>
      <c r="O142" s="399">
        <v>490000</v>
      </c>
      <c r="P142" s="1227"/>
      <c r="Q142" s="1227"/>
      <c r="R142" s="1235">
        <f t="shared" si="42"/>
        <v>5470724.563348</v>
      </c>
      <c r="S142" s="1235">
        <f t="shared" si="43"/>
        <v>36894.2560248</v>
      </c>
      <c r="T142" s="1236">
        <f t="shared" si="44"/>
        <v>5507618.8193728</v>
      </c>
      <c r="U142" s="1270">
        <v>44409</v>
      </c>
      <c r="V142" s="1271">
        <v>44439</v>
      </c>
      <c r="W142" s="1062"/>
      <c r="X142" s="1288"/>
      <c r="Y142" s="1288"/>
      <c r="Z142" s="1288"/>
      <c r="AA142" s="1288"/>
      <c r="AB142" s="1288" t="str">
        <f>+VLOOKUP(B142,'[6]SURABAYA ANTERAJA'!$C$7:$D$218,2,0)</f>
        <v>MOCH SYAKUR ROHMAN </v>
      </c>
    </row>
    <row r="143" ht="15.75" customHeight="1">
      <c r="A143" s="1027" t="s">
        <v>24</v>
      </c>
      <c r="B143" s="1257" t="s">
        <v>2020</v>
      </c>
      <c r="C143" s="1258" t="s">
        <v>2021</v>
      </c>
      <c r="D143" s="1027" t="s">
        <v>34</v>
      </c>
      <c r="E143" s="1027" t="s">
        <v>193</v>
      </c>
      <c r="F143" s="1027" t="s">
        <v>177</v>
      </c>
      <c r="G143" s="1045">
        <v>4300479</v>
      </c>
      <c r="H143" s="1045">
        <v>-172019.16</v>
      </c>
      <c r="I143" s="1225">
        <f t="shared" si="38"/>
        <v>210293.4231</v>
      </c>
      <c r="J143" s="1225">
        <f t="shared" si="39"/>
        <v>172019.16</v>
      </c>
      <c r="K143" s="1225">
        <f t="shared" si="40"/>
        <v>86009.58</v>
      </c>
      <c r="L143" s="1225">
        <v>15000</v>
      </c>
      <c r="M143" s="295">
        <f t="shared" si="36"/>
        <v>4611782.0031</v>
      </c>
      <c r="N143" s="1226">
        <f t="shared" si="41"/>
        <v>368942.560248</v>
      </c>
      <c r="O143" s="399">
        <v>730000</v>
      </c>
      <c r="P143" s="1227"/>
      <c r="Q143" s="1227"/>
      <c r="R143" s="1235">
        <f t="shared" si="42"/>
        <v>5710724.563348</v>
      </c>
      <c r="S143" s="1235">
        <f t="shared" si="43"/>
        <v>36894.2560248</v>
      </c>
      <c r="T143" s="1236">
        <f t="shared" si="44"/>
        <v>5747618.8193728</v>
      </c>
      <c r="U143" s="1270">
        <v>44409</v>
      </c>
      <c r="V143" s="1271">
        <v>44439</v>
      </c>
      <c r="W143" s="1062"/>
      <c r="X143" s="1288"/>
      <c r="Y143" s="1288"/>
      <c r="Z143" s="1293"/>
      <c r="AA143" s="1293"/>
      <c r="AB143" s="1288" t="str">
        <f>+VLOOKUP(B143,'[6]SURABAYA ANTERAJA'!$C$7:$D$218,2,0)</f>
        <v>MOCHAMAD ABDUL SHOMAD HAROMAN</v>
      </c>
    </row>
    <row r="144" ht="15.75" customHeight="1">
      <c r="A144" s="1027" t="s">
        <v>24</v>
      </c>
      <c r="B144" s="1257" t="s">
        <v>435</v>
      </c>
      <c r="C144" s="1258" t="s">
        <v>2022</v>
      </c>
      <c r="D144" s="1027" t="s">
        <v>34</v>
      </c>
      <c r="E144" s="1027" t="s">
        <v>193</v>
      </c>
      <c r="F144" s="1027" t="s">
        <v>177</v>
      </c>
      <c r="G144" s="1045">
        <v>4300479</v>
      </c>
      <c r="H144" s="1045">
        <v>-172019.16</v>
      </c>
      <c r="I144" s="1225">
        <f t="shared" si="38"/>
        <v>210293.4231</v>
      </c>
      <c r="J144" s="1225">
        <f t="shared" si="39"/>
        <v>172019.16</v>
      </c>
      <c r="K144" s="1225">
        <f t="shared" si="40"/>
        <v>86009.58</v>
      </c>
      <c r="L144" s="1225">
        <v>15000</v>
      </c>
      <c r="M144" s="295">
        <f t="shared" si="36"/>
        <v>4611782.0031</v>
      </c>
      <c r="N144" s="1226">
        <f t="shared" si="41"/>
        <v>368942.560248</v>
      </c>
      <c r="O144" s="399">
        <v>770000</v>
      </c>
      <c r="P144" s="1227"/>
      <c r="Q144" s="1227"/>
      <c r="R144" s="1235">
        <f t="shared" si="42"/>
        <v>5750724.563348</v>
      </c>
      <c r="S144" s="1235">
        <f t="shared" si="43"/>
        <v>36894.2560248</v>
      </c>
      <c r="T144" s="1236">
        <f t="shared" si="44"/>
        <v>5787618.8193728</v>
      </c>
      <c r="U144" s="1270">
        <v>44378</v>
      </c>
      <c r="V144" s="1271">
        <v>44469</v>
      </c>
      <c r="W144" s="1062"/>
      <c r="X144" s="1288"/>
      <c r="Y144" s="1288"/>
      <c r="Z144" s="1288"/>
      <c r="AA144" s="1288"/>
      <c r="AB144" s="1288" t="str">
        <f>+VLOOKUP(B144,'[6]SURABAYA ANTERAJA'!$C$7:$D$218,2,0)</f>
        <v>MOCHAMMAD NORCHOLIK </v>
      </c>
    </row>
    <row r="145" ht="15.75" customHeight="1">
      <c r="A145" s="1027" t="s">
        <v>24</v>
      </c>
      <c r="B145" s="228" t="s">
        <v>2023</v>
      </c>
      <c r="C145" s="1127" t="s">
        <v>2024</v>
      </c>
      <c r="D145" s="679" t="s">
        <v>34</v>
      </c>
      <c r="E145" s="679" t="s">
        <v>193</v>
      </c>
      <c r="F145" s="679" t="s">
        <v>177</v>
      </c>
      <c r="G145" s="395">
        <v>4300479</v>
      </c>
      <c r="H145" s="1045">
        <v>0</v>
      </c>
      <c r="I145" s="293">
        <f t="shared" si="38"/>
        <v>210293.4231</v>
      </c>
      <c r="J145" s="293">
        <f t="shared" si="39"/>
        <v>172019.16</v>
      </c>
      <c r="K145" s="293">
        <f t="shared" si="40"/>
        <v>86009.58</v>
      </c>
      <c r="L145" s="293">
        <v>15000</v>
      </c>
      <c r="M145" s="295">
        <f t="shared" si="36"/>
        <v>4783801.1631</v>
      </c>
      <c r="N145" s="296">
        <f t="shared" si="41"/>
        <v>382704.093048</v>
      </c>
      <c r="O145" s="399">
        <v>445000</v>
      </c>
      <c r="P145" s="447"/>
      <c r="Q145" s="447"/>
      <c r="R145" s="328">
        <f t="shared" si="42"/>
        <v>5611505.256148</v>
      </c>
      <c r="S145" s="328">
        <f t="shared" si="43"/>
        <v>38270.4093048</v>
      </c>
      <c r="T145" s="329">
        <f t="shared" si="44"/>
        <v>5649775.6654528</v>
      </c>
      <c r="U145" s="1272">
        <v>44378</v>
      </c>
      <c r="V145" s="155">
        <v>44469</v>
      </c>
      <c r="W145" s="1169"/>
      <c r="X145" s="1288"/>
      <c r="Y145" s="1288"/>
      <c r="AB145" s="1288" t="str">
        <f>+VLOOKUP(B145,'[6]SURABAYA ANTERAJA'!$C$7:$D$218,2,0)</f>
        <v>MOCHAMAD NUR BAHARSYAH</v>
      </c>
    </row>
    <row r="146" ht="15.75" customHeight="1">
      <c r="A146" s="1027" t="s">
        <v>24</v>
      </c>
      <c r="B146" s="1257" t="s">
        <v>2025</v>
      </c>
      <c r="C146" s="1258" t="s">
        <v>2026</v>
      </c>
      <c r="D146" s="1027" t="s">
        <v>34</v>
      </c>
      <c r="E146" s="1027" t="s">
        <v>193</v>
      </c>
      <c r="F146" s="1027" t="s">
        <v>177</v>
      </c>
      <c r="G146" s="1045">
        <v>4300479</v>
      </c>
      <c r="H146" s="1045">
        <v>-172019.16</v>
      </c>
      <c r="I146" s="1225">
        <f t="shared" si="38"/>
        <v>210293.4231</v>
      </c>
      <c r="J146" s="1225">
        <f t="shared" si="39"/>
        <v>172019.16</v>
      </c>
      <c r="K146" s="1225">
        <f t="shared" si="40"/>
        <v>86009.58</v>
      </c>
      <c r="L146" s="1225">
        <v>15000</v>
      </c>
      <c r="M146" s="295">
        <f t="shared" si="36"/>
        <v>4611782.0031</v>
      </c>
      <c r="N146" s="1226">
        <f t="shared" si="41"/>
        <v>368942.560248</v>
      </c>
      <c r="O146" s="399">
        <f>+VLOOKUP(C146,[7]Summary!$C$8:$E$205,3,0)</f>
        <v>340000</v>
      </c>
      <c r="P146" s="1227"/>
      <c r="Q146" s="1227"/>
      <c r="R146" s="1235">
        <f t="shared" si="42"/>
        <v>5320724.563348</v>
      </c>
      <c r="S146" s="1235">
        <f t="shared" si="43"/>
        <v>36894.2560248</v>
      </c>
      <c r="T146" s="1236">
        <f t="shared" si="44"/>
        <v>5357618.8193728</v>
      </c>
      <c r="U146" s="1270">
        <v>44409</v>
      </c>
      <c r="V146" s="1271">
        <v>44439</v>
      </c>
      <c r="W146" s="1062"/>
      <c r="X146" s="1288"/>
      <c r="Y146" s="1288"/>
      <c r="Z146" s="1293"/>
      <c r="AA146" s="1293"/>
      <c r="AB146" s="1288" t="str">
        <f>+VLOOKUP(B146,'[6]SURABAYA ANTERAJA'!$C$7:$D$218,2,0)</f>
        <v>MOCHAMAD SUSANTO</v>
      </c>
    </row>
    <row r="147" ht="15.75" customHeight="1">
      <c r="A147" s="1027" t="s">
        <v>24</v>
      </c>
      <c r="B147" s="1531" t="s">
        <v>2027</v>
      </c>
      <c r="C147" s="1260" t="s">
        <v>2028</v>
      </c>
      <c r="D147" s="1027" t="s">
        <v>34</v>
      </c>
      <c r="E147" s="1027" t="s">
        <v>193</v>
      </c>
      <c r="F147" s="1027" t="s">
        <v>177</v>
      </c>
      <c r="G147" s="1045">
        <v>4300479</v>
      </c>
      <c r="H147" s="1045">
        <v>-172019.16</v>
      </c>
      <c r="I147" s="1225">
        <f t="shared" si="38"/>
        <v>210293.4231</v>
      </c>
      <c r="J147" s="1225">
        <f t="shared" si="39"/>
        <v>172019.16</v>
      </c>
      <c r="K147" s="1225">
        <f t="shared" si="40"/>
        <v>86009.58</v>
      </c>
      <c r="L147" s="1225">
        <v>15000</v>
      </c>
      <c r="M147" s="295">
        <f t="shared" si="36"/>
        <v>4611782.0031</v>
      </c>
      <c r="N147" s="1226">
        <f t="shared" si="41"/>
        <v>368942.560248</v>
      </c>
      <c r="O147" s="399">
        <f>+VLOOKUP(C147,[7]Summary!$C$8:$E$205,3,0)</f>
        <v>75000</v>
      </c>
      <c r="P147" s="1227"/>
      <c r="Q147" s="1227"/>
      <c r="R147" s="1235">
        <f t="shared" si="42"/>
        <v>5055724.563348</v>
      </c>
      <c r="S147" s="1235">
        <f t="shared" si="43"/>
        <v>36894.2560248</v>
      </c>
      <c r="T147" s="1236">
        <f t="shared" si="44"/>
        <v>5092618.8193728</v>
      </c>
      <c r="U147" s="1237">
        <v>44378</v>
      </c>
      <c r="V147" s="1291">
        <v>44469</v>
      </c>
      <c r="W147" s="1062"/>
      <c r="X147" s="1288"/>
      <c r="Y147" s="1288"/>
      <c r="Z147" s="1288"/>
      <c r="AA147" s="1288"/>
      <c r="AB147" s="1288" t="str">
        <f>+VLOOKUP(B147,'[6]SURABAYA ANTERAJA'!$C$7:$D$218,2,0)</f>
        <v>MOCHAMMAD AZWAR RIZAL ROMADLON</v>
      </c>
    </row>
    <row r="148" ht="15.75" customHeight="1">
      <c r="A148" s="1027" t="s">
        <v>24</v>
      </c>
      <c r="B148" s="228" t="s">
        <v>2029</v>
      </c>
      <c r="C148" s="1127" t="s">
        <v>2030</v>
      </c>
      <c r="D148" s="679" t="s">
        <v>34</v>
      </c>
      <c r="E148" s="679" t="s">
        <v>193</v>
      </c>
      <c r="F148" s="679" t="s">
        <v>177</v>
      </c>
      <c r="G148" s="395">
        <v>4300479</v>
      </c>
      <c r="H148" s="1259"/>
      <c r="I148" s="293">
        <f t="shared" si="38"/>
        <v>210293.4231</v>
      </c>
      <c r="J148" s="293">
        <f t="shared" si="39"/>
        <v>172019.16</v>
      </c>
      <c r="K148" s="293">
        <f t="shared" si="40"/>
        <v>86009.58</v>
      </c>
      <c r="L148" s="293">
        <v>15000</v>
      </c>
      <c r="M148" s="295">
        <f t="shared" si="36"/>
        <v>4783801.1631</v>
      </c>
      <c r="N148" s="296">
        <f t="shared" si="41"/>
        <v>382704.093048</v>
      </c>
      <c r="O148" s="399">
        <v>475000</v>
      </c>
      <c r="P148" s="447"/>
      <c r="Q148" s="447"/>
      <c r="R148" s="328">
        <f t="shared" si="42"/>
        <v>5641505.256148</v>
      </c>
      <c r="S148" s="328">
        <f t="shared" si="43"/>
        <v>38270.4093048</v>
      </c>
      <c r="T148" s="329">
        <f t="shared" si="44"/>
        <v>5679775.6654528</v>
      </c>
      <c r="U148" s="1272">
        <v>44378</v>
      </c>
      <c r="V148" s="155">
        <v>44469</v>
      </c>
      <c r="W148" s="1169"/>
      <c r="X148" s="1288"/>
      <c r="Y148" s="1288"/>
      <c r="AB148" s="1288" t="str">
        <f>+VLOOKUP(B148,'[6]SURABAYA ANTERAJA'!$C$7:$D$218,2,0)</f>
        <v>MOCHAMMAD RIFAI</v>
      </c>
    </row>
    <row r="149" ht="15.75" customHeight="1">
      <c r="A149" s="1027" t="s">
        <v>24</v>
      </c>
      <c r="B149" s="1257" t="s">
        <v>2031</v>
      </c>
      <c r="C149" s="1258" t="s">
        <v>2032</v>
      </c>
      <c r="D149" s="1027" t="s">
        <v>34</v>
      </c>
      <c r="E149" s="1027" t="s">
        <v>193</v>
      </c>
      <c r="F149" s="1027" t="s">
        <v>177</v>
      </c>
      <c r="G149" s="1045">
        <v>4300479</v>
      </c>
      <c r="H149" s="1045">
        <v>0</v>
      </c>
      <c r="I149" s="1225">
        <f t="shared" si="38"/>
        <v>210293.4231</v>
      </c>
      <c r="J149" s="1225">
        <f t="shared" si="39"/>
        <v>172019.16</v>
      </c>
      <c r="K149" s="1225">
        <f t="shared" si="40"/>
        <v>86009.58</v>
      </c>
      <c r="L149" s="1225">
        <v>15000</v>
      </c>
      <c r="M149" s="295">
        <f t="shared" si="36"/>
        <v>4783801.1631</v>
      </c>
      <c r="N149" s="1226">
        <f t="shared" si="41"/>
        <v>382704.093048</v>
      </c>
      <c r="O149" s="399">
        <v>445000</v>
      </c>
      <c r="P149" s="1227"/>
      <c r="Q149" s="1227"/>
      <c r="R149" s="1235">
        <f t="shared" si="42"/>
        <v>5611505.256148</v>
      </c>
      <c r="S149" s="1235">
        <f t="shared" si="43"/>
        <v>38270.4093048</v>
      </c>
      <c r="T149" s="1236">
        <f t="shared" si="44"/>
        <v>5649775.6654528</v>
      </c>
      <c r="U149" s="1270">
        <v>44378</v>
      </c>
      <c r="V149" s="1271">
        <v>44469</v>
      </c>
      <c r="W149" s="1062"/>
      <c r="X149" s="1288"/>
      <c r="Y149" s="1288"/>
      <c r="Z149" s="1293"/>
      <c r="AA149" s="1293"/>
      <c r="AB149" s="1288" t="str">
        <f>+VLOOKUP(B149,'[6]SURABAYA ANTERAJA'!$C$7:$D$218,2,0)</f>
        <v>MOH. HARIS</v>
      </c>
    </row>
    <row r="150" ht="15.75" customHeight="1">
      <c r="A150" s="1027" t="s">
        <v>24</v>
      </c>
      <c r="B150" s="1257" t="s">
        <v>621</v>
      </c>
      <c r="C150" s="1258" t="s">
        <v>622</v>
      </c>
      <c r="D150" s="1027" t="s">
        <v>34</v>
      </c>
      <c r="E150" s="1027" t="s">
        <v>193</v>
      </c>
      <c r="F150" s="1027" t="s">
        <v>177</v>
      </c>
      <c r="G150" s="1045">
        <v>4300479</v>
      </c>
      <c r="H150" s="1045">
        <v>0</v>
      </c>
      <c r="I150" s="1225">
        <f t="shared" si="38"/>
        <v>210293.4231</v>
      </c>
      <c r="J150" s="1225">
        <f t="shared" si="39"/>
        <v>172019.16</v>
      </c>
      <c r="K150" s="1225">
        <f t="shared" si="40"/>
        <v>86009.58</v>
      </c>
      <c r="L150" s="1225">
        <v>15000</v>
      </c>
      <c r="M150" s="295">
        <f t="shared" si="36"/>
        <v>4783801.1631</v>
      </c>
      <c r="N150" s="1226">
        <f t="shared" si="41"/>
        <v>382704.093048</v>
      </c>
      <c r="O150" s="399">
        <v>600000</v>
      </c>
      <c r="P150" s="1227"/>
      <c r="Q150" s="1227"/>
      <c r="R150" s="1235">
        <f t="shared" si="42"/>
        <v>5766505.256148</v>
      </c>
      <c r="S150" s="1235">
        <f t="shared" si="43"/>
        <v>38270.4093048</v>
      </c>
      <c r="T150" s="1236">
        <f t="shared" si="44"/>
        <v>5804775.6654528</v>
      </c>
      <c r="U150" s="1270">
        <v>44409</v>
      </c>
      <c r="V150" s="1271">
        <v>44500</v>
      </c>
      <c r="W150" s="1062"/>
      <c r="X150" s="1288"/>
      <c r="Y150" s="1288"/>
      <c r="Z150" s="1293"/>
      <c r="AA150" s="1293"/>
      <c r="AB150" s="1288" t="str">
        <f>+VLOOKUP(B150,'[6]SURABAYA ANTERAJA'!$C$7:$D$218,2,0)</f>
        <v>MOHAMAD RIFAI</v>
      </c>
    </row>
    <row r="151" ht="15.75" customHeight="1">
      <c r="A151" s="1027" t="s">
        <v>24</v>
      </c>
      <c r="B151" s="228" t="s">
        <v>2033</v>
      </c>
      <c r="C151" s="1127" t="s">
        <v>2034</v>
      </c>
      <c r="D151" s="679" t="s">
        <v>34</v>
      </c>
      <c r="E151" s="679" t="s">
        <v>193</v>
      </c>
      <c r="F151" s="679" t="s">
        <v>177</v>
      </c>
      <c r="G151" s="395">
        <v>4300479</v>
      </c>
      <c r="H151" s="1045">
        <v>-688076.64</v>
      </c>
      <c r="I151" s="293">
        <f t="shared" si="38"/>
        <v>210293.4231</v>
      </c>
      <c r="J151" s="293">
        <f t="shared" si="39"/>
        <v>172019.16</v>
      </c>
      <c r="K151" s="293">
        <f t="shared" si="40"/>
        <v>86009.58</v>
      </c>
      <c r="L151" s="293">
        <v>15000</v>
      </c>
      <c r="M151" s="295">
        <f t="shared" si="36"/>
        <v>4095724.5231</v>
      </c>
      <c r="N151" s="296">
        <f t="shared" si="41"/>
        <v>327657.961848</v>
      </c>
      <c r="O151" s="399">
        <v>402500</v>
      </c>
      <c r="P151" s="447"/>
      <c r="Q151" s="447"/>
      <c r="R151" s="328">
        <f t="shared" si="42"/>
        <v>4825882.484948</v>
      </c>
      <c r="S151" s="328">
        <f t="shared" si="43"/>
        <v>32765.7961848</v>
      </c>
      <c r="T151" s="329">
        <f t="shared" si="44"/>
        <v>4858648.2811328</v>
      </c>
      <c r="U151" s="1272">
        <v>44378</v>
      </c>
      <c r="V151" s="155">
        <v>44469</v>
      </c>
      <c r="W151" s="1169"/>
      <c r="X151" s="1288"/>
      <c r="Y151" s="1288"/>
      <c r="AB151" s="1288" t="str">
        <f>+VLOOKUP(B151,'[6]SURABAYA ANTERAJA'!$C$7:$D$218,2,0)</f>
        <v>MOHAMMAD GHUFRON </v>
      </c>
    </row>
    <row r="152" ht="15.75" customHeight="1">
      <c r="A152" s="1027" t="s">
        <v>24</v>
      </c>
      <c r="B152" s="1257" t="s">
        <v>2035</v>
      </c>
      <c r="C152" s="1258" t="s">
        <v>495</v>
      </c>
      <c r="D152" s="1027" t="s">
        <v>34</v>
      </c>
      <c r="E152" s="1027" t="s">
        <v>193</v>
      </c>
      <c r="F152" s="1027" t="s">
        <v>177</v>
      </c>
      <c r="G152" s="1045">
        <v>4300479</v>
      </c>
      <c r="H152" s="1045">
        <v>0</v>
      </c>
      <c r="I152" s="1225">
        <f ref="I152:I182" t="shared" si="45">+$I$4*4.89%</f>
        <v>210293.4231</v>
      </c>
      <c r="J152" s="1225">
        <f ref="J152:J182" t="shared" si="46">+$I$4*4%</f>
        <v>172019.16</v>
      </c>
      <c r="K152" s="1225">
        <f ref="K152:K182" t="shared" si="47">+$I$4*2%</f>
        <v>86009.58</v>
      </c>
      <c r="L152" s="1225">
        <v>15000</v>
      </c>
      <c r="M152" s="295">
        <f t="shared" si="36"/>
        <v>4783801.1631</v>
      </c>
      <c r="N152" s="1226">
        <f ref="N152:N182" t="shared" si="48">+M152*8%</f>
        <v>382704.093048</v>
      </c>
      <c r="O152" s="399">
        <f>+VLOOKUP(C152,[7]Summary!$C$8:$E$205,3,0)</f>
        <v>630000</v>
      </c>
      <c r="P152" s="1227"/>
      <c r="Q152" s="1227"/>
      <c r="R152" s="1235">
        <f ref="R152:R182" t="shared" si="49">SUM(M152:Q152)</f>
        <v>5796505.256147999</v>
      </c>
      <c r="S152" s="1235">
        <f ref="S152:S182" t="shared" si="50">N152*0.1</f>
        <v>38270.4093048</v>
      </c>
      <c r="T152" s="1236">
        <f ref="T152:T182" t="shared" si="51">R152+S152</f>
        <v>5834775.6654528</v>
      </c>
      <c r="U152" s="1270">
        <v>44378</v>
      </c>
      <c r="V152" s="1271">
        <v>44469</v>
      </c>
      <c r="W152" s="1062"/>
      <c r="X152" s="1288"/>
      <c r="Y152" s="1288"/>
      <c r="Z152" s="1288"/>
      <c r="AA152" s="1288"/>
      <c r="AB152" s="1288" t="str">
        <f>+VLOOKUP(B152,'[6]SURABAYA ANTERAJA'!$C$7:$D$218,2,0)</f>
        <v>MOHAMMAD MYZAN ABDUL F</v>
      </c>
    </row>
    <row r="153" ht="15.75" customHeight="1">
      <c r="A153" s="1027" t="s">
        <v>24</v>
      </c>
      <c r="B153" s="1257" t="s">
        <v>2036</v>
      </c>
      <c r="C153" s="1258" t="s">
        <v>2037</v>
      </c>
      <c r="D153" s="1027" t="s">
        <v>34</v>
      </c>
      <c r="E153" s="1027" t="s">
        <v>193</v>
      </c>
      <c r="F153" s="1027" t="s">
        <v>177</v>
      </c>
      <c r="G153" s="1045">
        <v>4300479</v>
      </c>
      <c r="H153" s="1045">
        <v>0</v>
      </c>
      <c r="I153" s="1225">
        <f t="shared" si="45"/>
        <v>210293.4231</v>
      </c>
      <c r="J153" s="1225">
        <f t="shared" si="46"/>
        <v>172019.16</v>
      </c>
      <c r="K153" s="1225">
        <f t="shared" si="47"/>
        <v>86009.58</v>
      </c>
      <c r="L153" s="1225">
        <v>15000</v>
      </c>
      <c r="M153" s="295">
        <f ref="M153:M216" t="shared" si="52">SUM(G153:L153)</f>
        <v>4783801.1631</v>
      </c>
      <c r="N153" s="1226">
        <f t="shared" si="48"/>
        <v>382704.093048</v>
      </c>
      <c r="O153" s="399">
        <f>+VLOOKUP(C153,[7]Summary!$C$8:$E$205,3,0)</f>
        <v>525000</v>
      </c>
      <c r="P153" s="1227"/>
      <c r="Q153" s="1227"/>
      <c r="R153" s="1235">
        <f t="shared" si="49"/>
        <v>5691505.256147999</v>
      </c>
      <c r="S153" s="1235">
        <f t="shared" si="50"/>
        <v>38270.4093048</v>
      </c>
      <c r="T153" s="1236">
        <f t="shared" si="51"/>
        <v>5729775.6654528</v>
      </c>
      <c r="U153" s="1270">
        <v>44409</v>
      </c>
      <c r="V153" s="1271">
        <v>44500</v>
      </c>
      <c r="W153" s="1062"/>
      <c r="X153" s="1288"/>
      <c r="Y153" s="1288"/>
      <c r="AB153" s="1288" t="str">
        <f>+VLOOKUP(B153,'[6]SURABAYA ANTERAJA'!$C$7:$D$218,2,0)</f>
        <v>MOKH RIDUWAN</v>
      </c>
    </row>
    <row r="154" ht="15.75" customHeight="1">
      <c r="A154" s="1027" t="s">
        <v>24</v>
      </c>
      <c r="B154" s="1257" t="s">
        <v>559</v>
      </c>
      <c r="C154" s="1258" t="s">
        <v>560</v>
      </c>
      <c r="D154" s="1027" t="s">
        <v>34</v>
      </c>
      <c r="E154" s="1027" t="s">
        <v>193</v>
      </c>
      <c r="F154" s="1027" t="s">
        <v>177</v>
      </c>
      <c r="G154" s="1045">
        <v>4300479</v>
      </c>
      <c r="H154" s="1045">
        <v>-172019.16</v>
      </c>
      <c r="I154" s="1225">
        <f t="shared" si="45"/>
        <v>210293.4231</v>
      </c>
      <c r="J154" s="1225">
        <f t="shared" si="46"/>
        <v>172019.16</v>
      </c>
      <c r="K154" s="1225">
        <f t="shared" si="47"/>
        <v>86009.58</v>
      </c>
      <c r="L154" s="1225">
        <v>15000</v>
      </c>
      <c r="M154" s="295">
        <f t="shared" si="52"/>
        <v>4611782.0031</v>
      </c>
      <c r="N154" s="1226">
        <f t="shared" si="48"/>
        <v>368942.560248</v>
      </c>
      <c r="O154" s="399">
        <f>+VLOOKUP(C154,[7]Summary!$C$8:$E$205,3,0)</f>
        <v>907500</v>
      </c>
      <c r="P154" s="1227"/>
      <c r="Q154" s="1227"/>
      <c r="R154" s="1235">
        <f t="shared" si="49"/>
        <v>5888224.563348</v>
      </c>
      <c r="S154" s="1235">
        <f t="shared" si="50"/>
        <v>36894.2560248</v>
      </c>
      <c r="T154" s="1236">
        <f t="shared" si="51"/>
        <v>5925118.8193728</v>
      </c>
      <c r="U154" s="1270">
        <v>44378</v>
      </c>
      <c r="V154" s="1271">
        <v>44469</v>
      </c>
      <c r="W154" s="1062"/>
      <c r="X154" s="1288"/>
      <c r="Y154" s="1288"/>
      <c r="AB154" s="1288" t="str">
        <f>+VLOOKUP(B154,'[6]SURABAYA ANTERAJA'!$C$7:$D$218,2,0)</f>
        <v>MUHAMMAD AJI SANTOSO</v>
      </c>
    </row>
    <row r="155" ht="15.75" customHeight="1">
      <c r="A155" s="1027" t="s">
        <v>24</v>
      </c>
      <c r="B155" s="1257" t="s">
        <v>565</v>
      </c>
      <c r="C155" s="1258" t="s">
        <v>566</v>
      </c>
      <c r="D155" s="1027" t="s">
        <v>34</v>
      </c>
      <c r="E155" s="1027" t="s">
        <v>193</v>
      </c>
      <c r="F155" s="1027" t="s">
        <v>177</v>
      </c>
      <c r="G155" s="1045">
        <v>4300479</v>
      </c>
      <c r="H155" s="1045">
        <v>0</v>
      </c>
      <c r="I155" s="1225">
        <f t="shared" si="45"/>
        <v>210293.4231</v>
      </c>
      <c r="J155" s="1225">
        <f t="shared" si="46"/>
        <v>172019.16</v>
      </c>
      <c r="K155" s="1225">
        <f t="shared" si="47"/>
        <v>86009.58</v>
      </c>
      <c r="L155" s="1225">
        <v>15000</v>
      </c>
      <c r="M155" s="295">
        <f t="shared" si="52"/>
        <v>4783801.1631</v>
      </c>
      <c r="N155" s="1226">
        <f t="shared" si="48"/>
        <v>382704.093048</v>
      </c>
      <c r="O155" s="399">
        <f>+VLOOKUP(C155,[7]Summary!$C$8:$E$205,3,0)</f>
        <v>1435000</v>
      </c>
      <c r="P155" s="1227"/>
      <c r="Q155" s="1227"/>
      <c r="R155" s="1235">
        <f t="shared" si="49"/>
        <v>6601505.256147999</v>
      </c>
      <c r="S155" s="1235">
        <f t="shared" si="50"/>
        <v>38270.4093048</v>
      </c>
      <c r="T155" s="1236">
        <f t="shared" si="51"/>
        <v>6639775.6654528</v>
      </c>
      <c r="U155" s="1270">
        <v>44378</v>
      </c>
      <c r="V155" s="1271">
        <v>44469</v>
      </c>
      <c r="W155" s="1062"/>
      <c r="X155" s="1288"/>
      <c r="Y155" s="1288"/>
      <c r="AB155" s="1288" t="str">
        <f>+VLOOKUP(B155,'[6]SURABAYA ANTERAJA'!$C$7:$D$218,2,0)</f>
        <v>MUHAMMAD DIKI BAGUS NUR CAHYONO</v>
      </c>
    </row>
    <row r="156" ht="15.75" customHeight="1">
      <c r="A156" s="1027" t="s">
        <v>24</v>
      </c>
      <c r="B156" s="1257" t="s">
        <v>2038</v>
      </c>
      <c r="C156" s="1258" t="s">
        <v>483</v>
      </c>
      <c r="D156" s="1027" t="s">
        <v>34</v>
      </c>
      <c r="E156" s="1027" t="s">
        <v>193</v>
      </c>
      <c r="F156" s="1027" t="s">
        <v>177</v>
      </c>
      <c r="G156" s="1045">
        <v>4300479</v>
      </c>
      <c r="H156" s="1045">
        <v>0</v>
      </c>
      <c r="I156" s="1225">
        <f t="shared" si="45"/>
        <v>210293.4231</v>
      </c>
      <c r="J156" s="1225">
        <f t="shared" si="46"/>
        <v>172019.16</v>
      </c>
      <c r="K156" s="1225">
        <f t="shared" si="47"/>
        <v>86009.58</v>
      </c>
      <c r="L156" s="1225">
        <v>15000</v>
      </c>
      <c r="M156" s="295">
        <f t="shared" si="52"/>
        <v>4783801.1631</v>
      </c>
      <c r="N156" s="1226">
        <f t="shared" si="48"/>
        <v>382704.093048</v>
      </c>
      <c r="O156" s="399">
        <f>+VLOOKUP(C156,[7]Summary!$C$8:$E$205,3,0)</f>
        <v>730000</v>
      </c>
      <c r="P156" s="1227"/>
      <c r="Q156" s="1227"/>
      <c r="R156" s="1235">
        <f t="shared" si="49"/>
        <v>5896505.256147999</v>
      </c>
      <c r="S156" s="1235">
        <f t="shared" si="50"/>
        <v>38270.4093048</v>
      </c>
      <c r="T156" s="1236">
        <f t="shared" si="51"/>
        <v>5934775.6654528</v>
      </c>
      <c r="U156" s="1270">
        <v>44348</v>
      </c>
      <c r="V156" s="1271">
        <v>44439</v>
      </c>
      <c r="W156" s="1062"/>
      <c r="X156" s="1288"/>
      <c r="Y156" s="1288"/>
      <c r="Z156" s="1288"/>
      <c r="AA156" s="1288"/>
      <c r="AB156" s="1288" t="str">
        <f>+VLOOKUP(B156,'[6]SURABAYA ANTERAJA'!$C$7:$D$218,2,0)</f>
        <v>MUHAMAD HARIS</v>
      </c>
    </row>
    <row r="157" ht="15.75" customHeight="1">
      <c r="A157" s="1027" t="s">
        <v>24</v>
      </c>
      <c r="B157" s="1257" t="s">
        <v>2039</v>
      </c>
      <c r="C157" s="1258" t="s">
        <v>2040</v>
      </c>
      <c r="D157" s="1027" t="s">
        <v>34</v>
      </c>
      <c r="E157" s="1027" t="s">
        <v>193</v>
      </c>
      <c r="F157" s="1027" t="s">
        <v>177</v>
      </c>
      <c r="G157" s="1045">
        <v>4300479</v>
      </c>
      <c r="H157" s="1045">
        <v>0</v>
      </c>
      <c r="I157" s="1225">
        <f t="shared" si="45"/>
        <v>210293.4231</v>
      </c>
      <c r="J157" s="1225">
        <f t="shared" si="46"/>
        <v>172019.16</v>
      </c>
      <c r="K157" s="1225">
        <f t="shared" si="47"/>
        <v>86009.58</v>
      </c>
      <c r="L157" s="1225">
        <v>15000</v>
      </c>
      <c r="M157" s="295">
        <f t="shared" si="52"/>
        <v>4783801.1631</v>
      </c>
      <c r="N157" s="1226">
        <f t="shared" si="48"/>
        <v>382704.093048</v>
      </c>
      <c r="O157" s="399">
        <v>515000</v>
      </c>
      <c r="P157" s="1227"/>
      <c r="Q157" s="1227"/>
      <c r="R157" s="1235">
        <f t="shared" si="49"/>
        <v>5681505.256148</v>
      </c>
      <c r="S157" s="1235">
        <f t="shared" si="50"/>
        <v>38270.4093048</v>
      </c>
      <c r="T157" s="1236">
        <f t="shared" si="51"/>
        <v>5719775.6654528</v>
      </c>
      <c r="U157" s="1270">
        <v>44348</v>
      </c>
      <c r="V157" s="1271">
        <v>44439</v>
      </c>
      <c r="W157" s="1062"/>
      <c r="X157" s="1288"/>
      <c r="Y157" s="1288"/>
      <c r="AB157" s="1288" t="str">
        <f>+VLOOKUP(B157,'[6]SURABAYA ANTERAJA'!$C$7:$D$218,2,0)</f>
        <v>MUHAMMAD SUBANDI </v>
      </c>
    </row>
    <row r="158" ht="15.75" customHeight="1">
      <c r="A158" s="1027" t="s">
        <v>24</v>
      </c>
      <c r="B158" s="239" t="s">
        <v>2041</v>
      </c>
      <c r="C158" s="1153" t="s">
        <v>2042</v>
      </c>
      <c r="D158" s="491" t="s">
        <v>34</v>
      </c>
      <c r="E158" s="491" t="s">
        <v>193</v>
      </c>
      <c r="F158" s="491" t="s">
        <v>177</v>
      </c>
      <c r="G158" s="304">
        <v>4300479</v>
      </c>
      <c r="H158" s="1045">
        <v>0</v>
      </c>
      <c r="I158" s="298">
        <f t="shared" si="45"/>
        <v>210293.4231</v>
      </c>
      <c r="J158" s="298">
        <f t="shared" si="46"/>
        <v>172019.16</v>
      </c>
      <c r="K158" s="298">
        <f t="shared" si="47"/>
        <v>86009.58</v>
      </c>
      <c r="L158" s="298">
        <v>15000</v>
      </c>
      <c r="M158" s="295">
        <f t="shared" si="52"/>
        <v>4783801.1631</v>
      </c>
      <c r="N158" s="303">
        <f t="shared" si="48"/>
        <v>382704.093048</v>
      </c>
      <c r="O158" s="399">
        <f>+VLOOKUP(C158,[7]Summary!$C$8:$E$205,3,0)</f>
        <v>1740000</v>
      </c>
      <c r="P158" s="399"/>
      <c r="Q158" s="399"/>
      <c r="R158" s="335">
        <f t="shared" si="49"/>
        <v>6906505.256147999</v>
      </c>
      <c r="S158" s="335">
        <f t="shared" si="50"/>
        <v>38270.4093048</v>
      </c>
      <c r="T158" s="336">
        <f t="shared" si="51"/>
        <v>6944775.6654528</v>
      </c>
      <c r="U158" s="417">
        <v>44409</v>
      </c>
      <c r="V158" s="337">
        <v>44500</v>
      </c>
      <c r="W158" s="1175"/>
      <c r="X158" s="1288"/>
      <c r="Y158" s="1288"/>
      <c r="Z158" s="1292"/>
      <c r="AA158" s="1292"/>
      <c r="AB158" s="1288" t="str">
        <f>+VLOOKUP(B158,'[6]SURABAYA ANTERAJA'!$C$7:$D$218,2,0)</f>
        <v>MUNANDAR</v>
      </c>
    </row>
    <row r="159" ht="15.75" customHeight="1">
      <c r="A159" s="1027" t="s">
        <v>24</v>
      </c>
      <c r="B159" s="1257" t="s">
        <v>631</v>
      </c>
      <c r="C159" s="1258" t="s">
        <v>632</v>
      </c>
      <c r="D159" s="1027" t="s">
        <v>34</v>
      </c>
      <c r="E159" s="1027" t="s">
        <v>193</v>
      </c>
      <c r="F159" s="1027" t="s">
        <v>177</v>
      </c>
      <c r="G159" s="1045">
        <v>4300479</v>
      </c>
      <c r="H159" s="1259"/>
      <c r="I159" s="1225">
        <f t="shared" si="45"/>
        <v>210293.4231</v>
      </c>
      <c r="J159" s="1225">
        <f t="shared" si="46"/>
        <v>172019.16</v>
      </c>
      <c r="K159" s="1225">
        <f t="shared" si="47"/>
        <v>86009.58</v>
      </c>
      <c r="L159" s="1225">
        <v>15000</v>
      </c>
      <c r="M159" s="295">
        <f t="shared" si="52"/>
        <v>4783801.1631</v>
      </c>
      <c r="N159" s="1226">
        <f t="shared" si="48"/>
        <v>382704.093048</v>
      </c>
      <c r="O159" s="399">
        <f>+VLOOKUP(C159,[7]Summary!$C$8:$E$205,3,0)</f>
        <v>500000</v>
      </c>
      <c r="P159" s="1227"/>
      <c r="Q159" s="1227"/>
      <c r="R159" s="1235">
        <f t="shared" si="49"/>
        <v>5666505.256147999</v>
      </c>
      <c r="S159" s="1235">
        <f t="shared" si="50"/>
        <v>38270.4093048</v>
      </c>
      <c r="T159" s="1236">
        <f t="shared" si="51"/>
        <v>5704775.6654528</v>
      </c>
      <c r="U159" s="1270">
        <v>44409</v>
      </c>
      <c r="V159" s="1271">
        <v>44500</v>
      </c>
      <c r="W159" s="1062"/>
      <c r="X159" s="1288"/>
      <c r="Y159" s="1288"/>
      <c r="AB159" s="1288" t="str">
        <f>+VLOOKUP(B159,'[6]SURABAYA ANTERAJA'!$C$7:$D$218,2,0)</f>
        <v>NANANG SUTRISNO</v>
      </c>
    </row>
    <row r="160" ht="15.75" customHeight="1">
      <c r="A160" s="1027" t="s">
        <v>24</v>
      </c>
      <c r="B160" s="1257" t="s">
        <v>2043</v>
      </c>
      <c r="C160" s="1258" t="s">
        <v>2044</v>
      </c>
      <c r="D160" s="1027" t="s">
        <v>34</v>
      </c>
      <c r="E160" s="1027" t="s">
        <v>193</v>
      </c>
      <c r="F160" s="1027" t="s">
        <v>177</v>
      </c>
      <c r="G160" s="1045">
        <v>4300479</v>
      </c>
      <c r="H160" s="1045">
        <v>0</v>
      </c>
      <c r="I160" s="1225">
        <f t="shared" si="45"/>
        <v>210293.4231</v>
      </c>
      <c r="J160" s="1225">
        <f t="shared" si="46"/>
        <v>172019.16</v>
      </c>
      <c r="K160" s="1225">
        <f t="shared" si="47"/>
        <v>86009.58</v>
      </c>
      <c r="L160" s="1225">
        <v>15000</v>
      </c>
      <c r="M160" s="295">
        <f t="shared" si="52"/>
        <v>4783801.1631</v>
      </c>
      <c r="N160" s="1226">
        <f t="shared" si="48"/>
        <v>382704.093048</v>
      </c>
      <c r="O160" s="399">
        <v>570000</v>
      </c>
      <c r="P160" s="1227"/>
      <c r="Q160" s="1227"/>
      <c r="R160" s="1235">
        <f t="shared" si="49"/>
        <v>5736505.256148</v>
      </c>
      <c r="S160" s="1235">
        <f t="shared" si="50"/>
        <v>38270.4093048</v>
      </c>
      <c r="T160" s="1236">
        <f t="shared" si="51"/>
        <v>5774775.6654528</v>
      </c>
      <c r="U160" s="1270">
        <v>44409</v>
      </c>
      <c r="V160" s="1271">
        <v>44439</v>
      </c>
      <c r="W160" s="1062"/>
      <c r="X160" s="1288"/>
      <c r="Y160" s="1288"/>
      <c r="AB160" s="1288" t="str">
        <f>+VLOOKUP(B160,'[6]SURABAYA ANTERAJA'!$C$7:$D$218,2,0)</f>
        <v>NANANG YUDO ASMORO </v>
      </c>
    </row>
    <row r="161" ht="15.75" customHeight="1">
      <c r="A161" s="1027" t="s">
        <v>24</v>
      </c>
      <c r="B161" s="1257" t="s">
        <v>427</v>
      </c>
      <c r="C161" s="1258" t="s">
        <v>2045</v>
      </c>
      <c r="D161" s="1027" t="s">
        <v>34</v>
      </c>
      <c r="E161" s="1027" t="s">
        <v>193</v>
      </c>
      <c r="F161" s="1027" t="s">
        <v>177</v>
      </c>
      <c r="G161" s="1045">
        <v>4300479</v>
      </c>
      <c r="H161" s="1045">
        <v>-172019.16</v>
      </c>
      <c r="I161" s="1225">
        <f t="shared" si="45"/>
        <v>210293.4231</v>
      </c>
      <c r="J161" s="1225">
        <f t="shared" si="46"/>
        <v>172019.16</v>
      </c>
      <c r="K161" s="1225">
        <f t="shared" si="47"/>
        <v>86009.58</v>
      </c>
      <c r="L161" s="1225">
        <v>15000</v>
      </c>
      <c r="M161" s="295">
        <f t="shared" si="52"/>
        <v>4611782.0031</v>
      </c>
      <c r="N161" s="1226">
        <f t="shared" si="48"/>
        <v>368942.560248</v>
      </c>
      <c r="O161" s="399">
        <v>104000</v>
      </c>
      <c r="P161" s="1227"/>
      <c r="Q161" s="1227"/>
      <c r="R161" s="1235">
        <f t="shared" si="49"/>
        <v>5084724.563348</v>
      </c>
      <c r="S161" s="1235">
        <f t="shared" si="50"/>
        <v>36894.2560248</v>
      </c>
      <c r="T161" s="1236">
        <f t="shared" si="51"/>
        <v>5121618.8193728</v>
      </c>
      <c r="U161" s="1270">
        <v>44378</v>
      </c>
      <c r="V161" s="1271">
        <v>44469</v>
      </c>
      <c r="W161" s="1062"/>
      <c r="X161" s="1288"/>
      <c r="Y161" s="1288"/>
      <c r="Z161" s="1288"/>
      <c r="AA161" s="1288"/>
      <c r="AB161" s="1288" t="str">
        <f>+VLOOKUP(B161,'[6]SURABAYA ANTERAJA'!$C$7:$D$218,2,0)</f>
        <v>NAUVAL ADJI KRAMA RIZQI R</v>
      </c>
    </row>
    <row r="162" ht="15.75" customHeight="1">
      <c r="A162" s="1027" t="s">
        <v>24</v>
      </c>
      <c r="B162" s="239" t="s">
        <v>2046</v>
      </c>
      <c r="C162" s="1153" t="s">
        <v>2047</v>
      </c>
      <c r="D162" s="491" t="s">
        <v>34</v>
      </c>
      <c r="E162" s="491" t="s">
        <v>193</v>
      </c>
      <c r="F162" s="491" t="s">
        <v>177</v>
      </c>
      <c r="G162" s="304">
        <v>4300479</v>
      </c>
      <c r="H162" s="1045">
        <v>0</v>
      </c>
      <c r="I162" s="298">
        <f t="shared" si="45"/>
        <v>210293.4231</v>
      </c>
      <c r="J162" s="298">
        <f t="shared" si="46"/>
        <v>172019.16</v>
      </c>
      <c r="K162" s="298">
        <f t="shared" si="47"/>
        <v>86009.58</v>
      </c>
      <c r="L162" s="298">
        <v>15000</v>
      </c>
      <c r="M162" s="295">
        <f t="shared" si="52"/>
        <v>4783801.1631</v>
      </c>
      <c r="N162" s="303">
        <f t="shared" si="48"/>
        <v>382704.093048</v>
      </c>
      <c r="O162" s="399">
        <v>815000</v>
      </c>
      <c r="P162" s="399"/>
      <c r="Q162" s="399"/>
      <c r="R162" s="335">
        <f t="shared" si="49"/>
        <v>5981505.256148</v>
      </c>
      <c r="S162" s="335">
        <f t="shared" si="50"/>
        <v>38270.4093048</v>
      </c>
      <c r="T162" s="336">
        <f t="shared" si="51"/>
        <v>6019775.6654528</v>
      </c>
      <c r="U162" s="417">
        <v>44340</v>
      </c>
      <c r="V162" s="337">
        <v>44439</v>
      </c>
      <c r="W162" s="1175"/>
      <c r="X162" s="1288"/>
      <c r="Y162" s="1288"/>
      <c r="Z162" s="1292"/>
      <c r="AA162" s="1292"/>
      <c r="AB162" s="1288" t="str">
        <f>+VLOOKUP(B162,'[6]SURABAYA ANTERAJA'!$C$7:$D$218,2,0)</f>
        <v>NOVEL TAUFAN</v>
      </c>
    </row>
    <row r="163" ht="15.75" customHeight="1">
      <c r="A163" s="1027" t="s">
        <v>24</v>
      </c>
      <c r="B163" s="1257" t="s">
        <v>2048</v>
      </c>
      <c r="C163" s="1258" t="s">
        <v>310</v>
      </c>
      <c r="D163" s="1027" t="s">
        <v>34</v>
      </c>
      <c r="E163" s="1027" t="s">
        <v>193</v>
      </c>
      <c r="F163" s="1027" t="s">
        <v>177</v>
      </c>
      <c r="G163" s="1045">
        <v>4300479</v>
      </c>
      <c r="H163" s="1045">
        <v>0</v>
      </c>
      <c r="I163" s="1225">
        <f t="shared" si="45"/>
        <v>210293.4231</v>
      </c>
      <c r="J163" s="1225">
        <f t="shared" si="46"/>
        <v>172019.16</v>
      </c>
      <c r="K163" s="1225">
        <f t="shared" si="47"/>
        <v>86009.58</v>
      </c>
      <c r="L163" s="1225">
        <v>15000</v>
      </c>
      <c r="M163" s="295">
        <f t="shared" si="52"/>
        <v>4783801.1631</v>
      </c>
      <c r="N163" s="1226">
        <f t="shared" si="48"/>
        <v>382704.093048</v>
      </c>
      <c r="O163" s="399">
        <f>+VLOOKUP(C163,[7]Summary!$C$8:$E$205,3,0)</f>
        <v>942500</v>
      </c>
      <c r="P163" s="1227"/>
      <c r="Q163" s="1227"/>
      <c r="R163" s="1235">
        <f t="shared" si="49"/>
        <v>6109005.256147999</v>
      </c>
      <c r="S163" s="1235">
        <f t="shared" si="50"/>
        <v>38270.4093048</v>
      </c>
      <c r="T163" s="1236">
        <f t="shared" si="51"/>
        <v>6147275.6654528</v>
      </c>
      <c r="U163" s="1270">
        <v>44409</v>
      </c>
      <c r="V163" s="1271">
        <v>44439</v>
      </c>
      <c r="W163" s="1062"/>
      <c r="X163" s="1288"/>
      <c r="Y163" s="1288"/>
      <c r="Z163" s="1288"/>
      <c r="AA163" s="1288"/>
      <c r="AB163" s="1288" t="str">
        <f>+VLOOKUP(B163,'[6]SURABAYA ANTERAJA'!$C$7:$D$218,2,0)</f>
        <v>NUR KHOLIQ</v>
      </c>
    </row>
    <row r="164" ht="15.75" customHeight="1">
      <c r="A164" s="1027" t="s">
        <v>24</v>
      </c>
      <c r="B164" s="228" t="s">
        <v>2049</v>
      </c>
      <c r="C164" s="1127" t="s">
        <v>2050</v>
      </c>
      <c r="D164" s="679" t="s">
        <v>34</v>
      </c>
      <c r="E164" s="679" t="s">
        <v>193</v>
      </c>
      <c r="F164" s="679" t="s">
        <v>177</v>
      </c>
      <c r="G164" s="395">
        <v>4300479</v>
      </c>
      <c r="H164" s="1045">
        <v>0</v>
      </c>
      <c r="I164" s="293">
        <f t="shared" si="45"/>
        <v>210293.4231</v>
      </c>
      <c r="J164" s="293">
        <f t="shared" si="46"/>
        <v>172019.16</v>
      </c>
      <c r="K164" s="293">
        <f t="shared" si="47"/>
        <v>86009.58</v>
      </c>
      <c r="L164" s="293">
        <v>15000</v>
      </c>
      <c r="M164" s="295">
        <f t="shared" si="52"/>
        <v>4783801.1631</v>
      </c>
      <c r="N164" s="296">
        <f t="shared" si="48"/>
        <v>382704.093048</v>
      </c>
      <c r="O164" s="399">
        <v>550000</v>
      </c>
      <c r="P164" s="447"/>
      <c r="Q164" s="447"/>
      <c r="R164" s="328">
        <f t="shared" si="49"/>
        <v>5716505.256148</v>
      </c>
      <c r="S164" s="328">
        <f t="shared" si="50"/>
        <v>38270.4093048</v>
      </c>
      <c r="T164" s="329">
        <f t="shared" si="51"/>
        <v>5754775.6654528</v>
      </c>
      <c r="U164" s="1272">
        <v>44378</v>
      </c>
      <c r="V164" s="155">
        <v>44469</v>
      </c>
      <c r="W164" s="1169"/>
      <c r="X164" s="1288"/>
      <c r="Y164" s="1288"/>
      <c r="AB164" s="1288" t="str">
        <f>+VLOOKUP(B164,'[6]SURABAYA ANTERAJA'!$C$7:$D$218,2,0)</f>
        <v>NURKHOLIS</v>
      </c>
    </row>
    <row r="165" ht="15.75" customHeight="1">
      <c r="A165" s="1027" t="s">
        <v>24</v>
      </c>
      <c r="B165" s="239" t="s">
        <v>2051</v>
      </c>
      <c r="C165" s="1153" t="s">
        <v>2052</v>
      </c>
      <c r="D165" s="491" t="s">
        <v>34</v>
      </c>
      <c r="E165" s="491" t="s">
        <v>193</v>
      </c>
      <c r="F165" s="491" t="s">
        <v>177</v>
      </c>
      <c r="G165" s="304">
        <v>4300479</v>
      </c>
      <c r="H165" s="1045">
        <v>0</v>
      </c>
      <c r="I165" s="298">
        <f t="shared" si="45"/>
        <v>210293.4231</v>
      </c>
      <c r="J165" s="298">
        <f t="shared" si="46"/>
        <v>172019.16</v>
      </c>
      <c r="K165" s="298">
        <f t="shared" si="47"/>
        <v>86009.58</v>
      </c>
      <c r="L165" s="298">
        <v>15000</v>
      </c>
      <c r="M165" s="295">
        <f t="shared" si="52"/>
        <v>4783801.1631</v>
      </c>
      <c r="N165" s="303">
        <f t="shared" si="48"/>
        <v>382704.093048</v>
      </c>
      <c r="O165" s="399">
        <f>+VLOOKUP(C165,[7]Summary!$C$8:$E$205,3,0)</f>
        <v>202000</v>
      </c>
      <c r="P165" s="399"/>
      <c r="Q165" s="399"/>
      <c r="R165" s="335">
        <f t="shared" si="49"/>
        <v>5368505.256147999</v>
      </c>
      <c r="S165" s="335">
        <f t="shared" si="50"/>
        <v>38270.4093048</v>
      </c>
      <c r="T165" s="336">
        <f t="shared" si="51"/>
        <v>5406775.6654528</v>
      </c>
      <c r="U165" s="417">
        <v>44391</v>
      </c>
      <c r="V165" s="337">
        <v>44469</v>
      </c>
      <c r="W165" s="1290"/>
      <c r="X165" s="1288"/>
      <c r="Y165" s="1288"/>
      <c r="Z165" s="1146"/>
      <c r="AA165" s="1146"/>
      <c r="AB165" s="1288" t="str">
        <f>+VLOOKUP(B165,'[6]SURABAYA ANTERAJA'!$C$7:$D$218,2,0)</f>
        <v>NYOTO PURWANTO</v>
      </c>
    </row>
    <row r="166" ht="15.75" customHeight="1">
      <c r="A166" s="1027" t="s">
        <v>24</v>
      </c>
      <c r="B166" s="1257" t="s">
        <v>2053</v>
      </c>
      <c r="C166" s="1258" t="s">
        <v>2054</v>
      </c>
      <c r="D166" s="1027" t="s">
        <v>34</v>
      </c>
      <c r="E166" s="1027" t="s">
        <v>193</v>
      </c>
      <c r="F166" s="1027" t="s">
        <v>177</v>
      </c>
      <c r="G166" s="1045">
        <v>4300479</v>
      </c>
      <c r="H166" s="1045">
        <v>0</v>
      </c>
      <c r="I166" s="1225">
        <f t="shared" si="45"/>
        <v>210293.4231</v>
      </c>
      <c r="J166" s="1225">
        <f t="shared" si="46"/>
        <v>172019.16</v>
      </c>
      <c r="K166" s="1225">
        <f t="shared" si="47"/>
        <v>86009.58</v>
      </c>
      <c r="L166" s="1225">
        <v>15000</v>
      </c>
      <c r="M166" s="295">
        <f t="shared" si="52"/>
        <v>4783801.1631</v>
      </c>
      <c r="N166" s="1226">
        <f t="shared" si="48"/>
        <v>382704.093048</v>
      </c>
      <c r="O166" s="399">
        <v>617500</v>
      </c>
      <c r="P166" s="1227"/>
      <c r="Q166" s="1227"/>
      <c r="R166" s="1235">
        <f t="shared" si="49"/>
        <v>5784005.256148</v>
      </c>
      <c r="S166" s="1235">
        <f t="shared" si="50"/>
        <v>38270.4093048</v>
      </c>
      <c r="T166" s="1236">
        <f t="shared" si="51"/>
        <v>5822275.6654528</v>
      </c>
      <c r="U166" s="1270">
        <v>44409</v>
      </c>
      <c r="V166" s="1271">
        <v>44439</v>
      </c>
      <c r="W166" s="1062"/>
      <c r="X166" s="1288"/>
      <c r="Y166" s="1288"/>
      <c r="Z166" s="1293"/>
      <c r="AA166" s="1293"/>
      <c r="AB166" s="1288" t="str">
        <f>+VLOOKUP(B166,'[6]SURABAYA ANTERAJA'!$C$7:$D$218,2,0)</f>
        <v>OKZADEA ARGANATA</v>
      </c>
    </row>
    <row r="167" ht="15.75" customHeight="1">
      <c r="A167" s="1027" t="s">
        <v>24</v>
      </c>
      <c r="B167" s="1257" t="s">
        <v>593</v>
      </c>
      <c r="C167" s="1258" t="s">
        <v>594</v>
      </c>
      <c r="D167" s="1027" t="s">
        <v>34</v>
      </c>
      <c r="E167" s="1027" t="s">
        <v>193</v>
      </c>
      <c r="F167" s="1027" t="s">
        <v>177</v>
      </c>
      <c r="G167" s="1045">
        <v>4300479</v>
      </c>
      <c r="H167" s="1045">
        <v>0</v>
      </c>
      <c r="I167" s="1225">
        <f t="shared" si="45"/>
        <v>210293.4231</v>
      </c>
      <c r="J167" s="1225">
        <f t="shared" si="46"/>
        <v>172019.16</v>
      </c>
      <c r="K167" s="1225">
        <f t="shared" si="47"/>
        <v>86009.58</v>
      </c>
      <c r="L167" s="1225">
        <v>15000</v>
      </c>
      <c r="M167" s="295">
        <f t="shared" si="52"/>
        <v>4783801.1631</v>
      </c>
      <c r="N167" s="1226">
        <f t="shared" si="48"/>
        <v>382704.093048</v>
      </c>
      <c r="O167" s="399">
        <f>+VLOOKUP(C167,[7]Summary!$C$8:$E$205,3,0)</f>
        <v>290000</v>
      </c>
      <c r="P167" s="1227"/>
      <c r="Q167" s="1227"/>
      <c r="R167" s="1235">
        <f t="shared" si="49"/>
        <v>5456505.256147999</v>
      </c>
      <c r="S167" s="1235">
        <f t="shared" si="50"/>
        <v>38270.4093048</v>
      </c>
      <c r="T167" s="1236">
        <f t="shared" si="51"/>
        <v>5494775.6654528</v>
      </c>
      <c r="U167" s="1270">
        <v>44378</v>
      </c>
      <c r="V167" s="1271">
        <v>44469</v>
      </c>
      <c r="W167" s="1062"/>
      <c r="X167" s="1288"/>
      <c r="Y167" s="1288"/>
      <c r="Z167" s="1293"/>
      <c r="AA167" s="1293"/>
      <c r="AB167" s="1288" t="str">
        <f>+VLOOKUP(B167,'[6]SURABAYA ANTERAJA'!$C$7:$D$218,2,0)</f>
        <v>PAPUT ARIF JUNAIDI</v>
      </c>
    </row>
    <row r="168" ht="15.75" customHeight="1">
      <c r="A168" s="1027" t="s">
        <v>24</v>
      </c>
      <c r="B168" s="1257" t="s">
        <v>589</v>
      </c>
      <c r="C168" s="1258" t="s">
        <v>590</v>
      </c>
      <c r="D168" s="1027" t="s">
        <v>34</v>
      </c>
      <c r="E168" s="1027" t="s">
        <v>193</v>
      </c>
      <c r="F168" s="1027" t="s">
        <v>177</v>
      </c>
      <c r="G168" s="1045">
        <v>4300479</v>
      </c>
      <c r="H168" s="1045">
        <v>-172019.16</v>
      </c>
      <c r="I168" s="1225">
        <f t="shared" si="45"/>
        <v>210293.4231</v>
      </c>
      <c r="J168" s="1225">
        <f t="shared" si="46"/>
        <v>172019.16</v>
      </c>
      <c r="K168" s="1225">
        <f t="shared" si="47"/>
        <v>86009.58</v>
      </c>
      <c r="L168" s="1225">
        <v>15000</v>
      </c>
      <c r="M168" s="295">
        <f t="shared" si="52"/>
        <v>4611782.0031</v>
      </c>
      <c r="N168" s="1226">
        <f t="shared" si="48"/>
        <v>368942.560248</v>
      </c>
      <c r="O168" s="399">
        <f>+VLOOKUP(C168,[7]Summary!$C$8:$E$205,3,0)</f>
        <v>722500</v>
      </c>
      <c r="P168" s="1227"/>
      <c r="Q168" s="1227"/>
      <c r="R168" s="1235">
        <f t="shared" si="49"/>
        <v>5703224.563348</v>
      </c>
      <c r="S168" s="1235">
        <f t="shared" si="50"/>
        <v>36894.2560248</v>
      </c>
      <c r="T168" s="1236">
        <f t="shared" si="51"/>
        <v>5740118.8193728</v>
      </c>
      <c r="U168" s="1270">
        <v>44378</v>
      </c>
      <c r="V168" s="1271">
        <v>44469</v>
      </c>
      <c r="W168" s="1062"/>
      <c r="X168" s="1288"/>
      <c r="Y168" s="1288"/>
      <c r="Z168" s="1293"/>
      <c r="AA168" s="1293"/>
      <c r="AB168" s="1288" t="str">
        <f>+VLOOKUP(B168,'[6]SURABAYA ANTERAJA'!$C$7:$D$218,2,0)</f>
        <v>PARDAM KHOLIK</v>
      </c>
    </row>
    <row r="169" ht="15.75" customHeight="1">
      <c r="A169" s="1027" t="s">
        <v>24</v>
      </c>
      <c r="B169" s="1257" t="s">
        <v>423</v>
      </c>
      <c r="C169" s="1258" t="s">
        <v>424</v>
      </c>
      <c r="D169" s="1027" t="s">
        <v>34</v>
      </c>
      <c r="E169" s="1027" t="s">
        <v>193</v>
      </c>
      <c r="F169" s="1027" t="s">
        <v>177</v>
      </c>
      <c r="G169" s="1045">
        <v>4300479</v>
      </c>
      <c r="H169" s="1045">
        <v>0</v>
      </c>
      <c r="I169" s="1225">
        <f t="shared" si="45"/>
        <v>210293.4231</v>
      </c>
      <c r="J169" s="1225">
        <f t="shared" si="46"/>
        <v>172019.16</v>
      </c>
      <c r="K169" s="1225">
        <f t="shared" si="47"/>
        <v>86009.58</v>
      </c>
      <c r="L169" s="1225">
        <v>15000</v>
      </c>
      <c r="M169" s="295">
        <f t="shared" si="52"/>
        <v>4783801.1631</v>
      </c>
      <c r="N169" s="1226">
        <f t="shared" si="48"/>
        <v>382704.093048</v>
      </c>
      <c r="O169" s="399">
        <f>+VLOOKUP(C169,[7]Summary!$C$8:$E$205,3,0)</f>
        <v>810000</v>
      </c>
      <c r="P169" s="1227"/>
      <c r="Q169" s="1227"/>
      <c r="R169" s="1235">
        <f t="shared" si="49"/>
        <v>5976505.256147999</v>
      </c>
      <c r="S169" s="1235">
        <f t="shared" si="50"/>
        <v>38270.4093048</v>
      </c>
      <c r="T169" s="1236">
        <f t="shared" si="51"/>
        <v>6014775.6654528</v>
      </c>
      <c r="U169" s="1270">
        <v>44378</v>
      </c>
      <c r="V169" s="1271">
        <v>44469</v>
      </c>
      <c r="W169" s="1062"/>
      <c r="X169" s="1288"/>
      <c r="Y169" s="1288"/>
      <c r="Z169" s="1288"/>
      <c r="AA169" s="1288"/>
      <c r="AB169" s="1288" t="str">
        <f>+VLOOKUP(B169,'[6]SURABAYA ANTERAJA'!$C$7:$D$218,2,0)</f>
        <v>PRAYOGO</v>
      </c>
    </row>
    <row r="170" ht="15.75" customHeight="1">
      <c r="A170" s="1027" t="s">
        <v>24</v>
      </c>
      <c r="B170" s="228" t="s">
        <v>2055</v>
      </c>
      <c r="C170" s="1127" t="s">
        <v>2056</v>
      </c>
      <c r="D170" s="679" t="s">
        <v>34</v>
      </c>
      <c r="E170" s="679" t="s">
        <v>193</v>
      </c>
      <c r="F170" s="679" t="s">
        <v>177</v>
      </c>
      <c r="G170" s="395">
        <v>4300479</v>
      </c>
      <c r="H170" s="1045">
        <v>0</v>
      </c>
      <c r="I170" s="293">
        <f t="shared" si="45"/>
        <v>210293.4231</v>
      </c>
      <c r="J170" s="293">
        <f t="shared" si="46"/>
        <v>172019.16</v>
      </c>
      <c r="K170" s="293">
        <f t="shared" si="47"/>
        <v>86009.58</v>
      </c>
      <c r="L170" s="293">
        <v>15000</v>
      </c>
      <c r="M170" s="295">
        <f t="shared" si="52"/>
        <v>4783801.1631</v>
      </c>
      <c r="N170" s="296">
        <f t="shared" si="48"/>
        <v>382704.093048</v>
      </c>
      <c r="O170" s="399">
        <f>+VLOOKUP(C170,[7]Summary!$C$8:$E$205,3,0)</f>
        <v>642500</v>
      </c>
      <c r="P170" s="447"/>
      <c r="Q170" s="447"/>
      <c r="R170" s="328">
        <f t="shared" si="49"/>
        <v>5809005.256147999</v>
      </c>
      <c r="S170" s="328">
        <f t="shared" si="50"/>
        <v>38270.4093048</v>
      </c>
      <c r="T170" s="329">
        <f t="shared" si="51"/>
        <v>5847275.6654528</v>
      </c>
      <c r="U170" s="1272">
        <v>44378</v>
      </c>
      <c r="V170" s="155">
        <v>44469</v>
      </c>
      <c r="W170" s="1169"/>
      <c r="X170" s="1288"/>
      <c r="Y170" s="1288"/>
      <c r="AB170" s="1288" t="str">
        <f>+VLOOKUP(B170,'[6]SURABAYA ANTERAJA'!$C$7:$D$218,2,0)</f>
        <v>RACHMAD ARIANTO</v>
      </c>
    </row>
    <row r="171" ht="15.75" customHeight="1">
      <c r="A171" s="1027" t="s">
        <v>24</v>
      </c>
      <c r="B171" s="239" t="s">
        <v>2057</v>
      </c>
      <c r="C171" s="1153" t="s">
        <v>2058</v>
      </c>
      <c r="D171" s="491" t="s">
        <v>34</v>
      </c>
      <c r="E171" s="491" t="s">
        <v>193</v>
      </c>
      <c r="F171" s="491" t="s">
        <v>177</v>
      </c>
      <c r="G171" s="304">
        <v>4300479</v>
      </c>
      <c r="H171" s="1045">
        <v>0</v>
      </c>
      <c r="I171" s="298">
        <f t="shared" si="45"/>
        <v>210293.4231</v>
      </c>
      <c r="J171" s="298">
        <f t="shared" si="46"/>
        <v>172019.16</v>
      </c>
      <c r="K171" s="298">
        <f t="shared" si="47"/>
        <v>86009.58</v>
      </c>
      <c r="L171" s="298">
        <v>15000</v>
      </c>
      <c r="M171" s="295">
        <f t="shared" si="52"/>
        <v>4783801.1631</v>
      </c>
      <c r="N171" s="303">
        <f t="shared" si="48"/>
        <v>382704.093048</v>
      </c>
      <c r="O171" s="399">
        <f>+VLOOKUP(C171,[7]Summary!$C$8:$E$205,3,0)</f>
        <v>770000</v>
      </c>
      <c r="P171" s="399"/>
      <c r="Q171" s="399"/>
      <c r="R171" s="335">
        <f t="shared" si="49"/>
        <v>5936505.256147999</v>
      </c>
      <c r="S171" s="335">
        <f t="shared" si="50"/>
        <v>38270.4093048</v>
      </c>
      <c r="T171" s="336">
        <f t="shared" si="51"/>
        <v>5974775.6654528</v>
      </c>
      <c r="U171" s="417">
        <v>44327</v>
      </c>
      <c r="V171" s="337">
        <v>44439</v>
      </c>
      <c r="W171" s="1175"/>
      <c r="X171" s="1288"/>
      <c r="Y171" s="1288"/>
      <c r="Z171" s="1292"/>
      <c r="AA171" s="1292"/>
      <c r="AB171" s="1288" t="str">
        <f>+VLOOKUP(B171,'[6]SURABAYA ANTERAJA'!$C$7:$D$218,2,0)</f>
        <v>REZA BOBY SUSANTO</v>
      </c>
    </row>
    <row r="172" ht="15.75" customHeight="1">
      <c r="A172" s="1027" t="s">
        <v>24</v>
      </c>
      <c r="B172" s="1257" t="s">
        <v>2059</v>
      </c>
      <c r="C172" s="1258" t="s">
        <v>2060</v>
      </c>
      <c r="D172" s="1027" t="s">
        <v>34</v>
      </c>
      <c r="E172" s="1027" t="s">
        <v>193</v>
      </c>
      <c r="F172" s="1027" t="s">
        <v>177</v>
      </c>
      <c r="G172" s="1045">
        <v>4300479</v>
      </c>
      <c r="H172" s="1045">
        <v>0</v>
      </c>
      <c r="I172" s="1225">
        <f t="shared" si="45"/>
        <v>210293.4231</v>
      </c>
      <c r="J172" s="1225">
        <f t="shared" si="46"/>
        <v>172019.16</v>
      </c>
      <c r="K172" s="1225">
        <f t="shared" si="47"/>
        <v>86009.58</v>
      </c>
      <c r="L172" s="1225">
        <v>15000</v>
      </c>
      <c r="M172" s="295">
        <f t="shared" si="52"/>
        <v>4783801.1631</v>
      </c>
      <c r="N172" s="1226">
        <f t="shared" si="48"/>
        <v>382704.093048</v>
      </c>
      <c r="O172" s="399">
        <f>+VLOOKUP(C172,[7]Summary!$C$8:$E$205,3,0)</f>
        <v>542500</v>
      </c>
      <c r="P172" s="1227"/>
      <c r="Q172" s="1227"/>
      <c r="R172" s="1235">
        <f t="shared" si="49"/>
        <v>5709005.256147999</v>
      </c>
      <c r="S172" s="1235">
        <f t="shared" si="50"/>
        <v>38270.4093048</v>
      </c>
      <c r="T172" s="1236">
        <f t="shared" si="51"/>
        <v>5747275.6654528</v>
      </c>
      <c r="U172" s="1270">
        <v>44409</v>
      </c>
      <c r="V172" s="1271">
        <v>44439</v>
      </c>
      <c r="W172" s="1062"/>
      <c r="X172" s="1288"/>
      <c r="Y172" s="1288"/>
      <c r="Z172" s="1293"/>
      <c r="AA172" s="1293"/>
      <c r="AB172" s="1288" t="str">
        <f>+VLOOKUP(B172,'[6]SURABAYA ANTERAJA'!$C$7:$D$218,2,0)</f>
        <v>REZA FARRIAN ANGGA</v>
      </c>
    </row>
    <row r="173" ht="15.75" customHeight="1">
      <c r="A173" s="1027" t="s">
        <v>24</v>
      </c>
      <c r="B173" s="1257" t="s">
        <v>619</v>
      </c>
      <c r="C173" s="1258" t="s">
        <v>620</v>
      </c>
      <c r="D173" s="1027" t="s">
        <v>34</v>
      </c>
      <c r="E173" s="1027" t="s">
        <v>193</v>
      </c>
      <c r="F173" s="1027" t="s">
        <v>177</v>
      </c>
      <c r="G173" s="1045">
        <v>4300479</v>
      </c>
      <c r="H173" s="1045">
        <v>-344038.32</v>
      </c>
      <c r="I173" s="1225">
        <f t="shared" si="45"/>
        <v>210293.4231</v>
      </c>
      <c r="J173" s="1225">
        <f t="shared" si="46"/>
        <v>172019.16</v>
      </c>
      <c r="K173" s="1225">
        <f t="shared" si="47"/>
        <v>86009.58</v>
      </c>
      <c r="L173" s="1225">
        <v>15000</v>
      </c>
      <c r="M173" s="295">
        <f t="shared" si="52"/>
        <v>4439762.8431</v>
      </c>
      <c r="N173" s="1226">
        <f t="shared" si="48"/>
        <v>355181.027448</v>
      </c>
      <c r="O173" s="399">
        <f>+VLOOKUP(C173,[7]Summary!$C$8:$E$205,3,0)</f>
        <v>690000</v>
      </c>
      <c r="P173" s="1227"/>
      <c r="Q173" s="1227"/>
      <c r="R173" s="1235">
        <f t="shared" si="49"/>
        <v>5484943.870548001</v>
      </c>
      <c r="S173" s="1235">
        <f t="shared" si="50"/>
        <v>35518.1027448</v>
      </c>
      <c r="T173" s="1236">
        <f t="shared" si="51"/>
        <v>5520461.973292801</v>
      </c>
      <c r="U173" s="1270">
        <v>44409</v>
      </c>
      <c r="V173" s="1271">
        <v>44500</v>
      </c>
      <c r="W173" s="1062"/>
      <c r="X173" s="1288"/>
      <c r="Y173" s="1288"/>
      <c r="Z173" s="1293"/>
      <c r="AA173" s="1293"/>
      <c r="AB173" s="1288" t="str">
        <f>+VLOOKUP(B173,'[6]SURABAYA ANTERAJA'!$C$7:$D$218,2,0)</f>
        <v>RIFANTONO</v>
      </c>
    </row>
    <row r="174" ht="15.75" customHeight="1">
      <c r="A174" s="1027" t="s">
        <v>24</v>
      </c>
      <c r="B174" s="1257" t="s">
        <v>2061</v>
      </c>
      <c r="C174" s="1258" t="s">
        <v>650</v>
      </c>
      <c r="D174" s="1027" t="s">
        <v>34</v>
      </c>
      <c r="E174" s="1027" t="s">
        <v>193</v>
      </c>
      <c r="F174" s="1027" t="s">
        <v>177</v>
      </c>
      <c r="G174" s="1045">
        <v>4300479</v>
      </c>
      <c r="H174" s="1045">
        <v>0</v>
      </c>
      <c r="I174" s="1225">
        <f t="shared" si="45"/>
        <v>210293.4231</v>
      </c>
      <c r="J174" s="1225">
        <f t="shared" si="46"/>
        <v>172019.16</v>
      </c>
      <c r="K174" s="1225">
        <f t="shared" si="47"/>
        <v>86009.58</v>
      </c>
      <c r="L174" s="1225">
        <v>15000</v>
      </c>
      <c r="M174" s="295">
        <f t="shared" si="52"/>
        <v>4783801.1631</v>
      </c>
      <c r="N174" s="1226">
        <f t="shared" si="48"/>
        <v>382704.093048</v>
      </c>
      <c r="O174" s="399">
        <f>+VLOOKUP(C174,[7]Summary!$C$8:$E$205,3,0)</f>
        <v>517500</v>
      </c>
      <c r="P174" s="1227"/>
      <c r="Q174" s="1227"/>
      <c r="R174" s="1235">
        <f t="shared" si="49"/>
        <v>5684005.256147999</v>
      </c>
      <c r="S174" s="1235">
        <f t="shared" si="50"/>
        <v>38270.4093048</v>
      </c>
      <c r="T174" s="1236">
        <f t="shared" si="51"/>
        <v>5722275.6654528</v>
      </c>
      <c r="U174" s="1270">
        <v>44378</v>
      </c>
      <c r="V174" s="1271">
        <v>44469</v>
      </c>
      <c r="W174" s="1062"/>
      <c r="X174" s="1288"/>
      <c r="Y174" s="1288"/>
      <c r="Z174" s="1293"/>
      <c r="AA174" s="1293"/>
      <c r="AB174" s="1288" t="str">
        <f>+VLOOKUP(B174,'[6]SURABAYA ANTERAJA'!$C$7:$D$218,2,0)</f>
        <v>RIKY SETYO WIBOWO</v>
      </c>
    </row>
    <row r="175" ht="15.75" customHeight="1">
      <c r="A175" s="1027" t="s">
        <v>24</v>
      </c>
      <c r="B175" s="1257" t="s">
        <v>583</v>
      </c>
      <c r="C175" s="1258" t="s">
        <v>584</v>
      </c>
      <c r="D175" s="1027" t="s">
        <v>34</v>
      </c>
      <c r="E175" s="1027" t="s">
        <v>193</v>
      </c>
      <c r="F175" s="1027" t="s">
        <v>177</v>
      </c>
      <c r="G175" s="1045">
        <v>4300479</v>
      </c>
      <c r="H175" s="1045">
        <v>0</v>
      </c>
      <c r="I175" s="1225">
        <f t="shared" si="45"/>
        <v>210293.4231</v>
      </c>
      <c r="J175" s="1225">
        <f t="shared" si="46"/>
        <v>172019.16</v>
      </c>
      <c r="K175" s="1225">
        <f t="shared" si="47"/>
        <v>86009.58</v>
      </c>
      <c r="L175" s="1225">
        <v>15000</v>
      </c>
      <c r="M175" s="295">
        <f t="shared" si="52"/>
        <v>4783801.1631</v>
      </c>
      <c r="N175" s="1226">
        <f t="shared" si="48"/>
        <v>382704.093048</v>
      </c>
      <c r="O175" s="399">
        <f>+VLOOKUP(C175,[7]Summary!$C$8:$E$205,3,0)</f>
        <v>630000</v>
      </c>
      <c r="P175" s="1227"/>
      <c r="Q175" s="1227"/>
      <c r="R175" s="1235">
        <f t="shared" si="49"/>
        <v>5796505.256147999</v>
      </c>
      <c r="S175" s="1235">
        <f t="shared" si="50"/>
        <v>38270.4093048</v>
      </c>
      <c r="T175" s="1236">
        <f t="shared" si="51"/>
        <v>5834775.6654528</v>
      </c>
      <c r="U175" s="1270">
        <v>44378</v>
      </c>
      <c r="V175" s="1271">
        <v>44469</v>
      </c>
      <c r="W175" s="1062"/>
      <c r="X175" s="1288"/>
      <c r="Y175" s="1288"/>
      <c r="Z175" s="1293"/>
      <c r="AA175" s="1293"/>
      <c r="AB175" s="1288" t="str">
        <f>+VLOOKUP(B175,'[6]SURABAYA ANTERAJA'!$C$7:$D$218,2,0)</f>
        <v>RISZA WAHYU PERMADANI</v>
      </c>
    </row>
    <row r="176" ht="15.75" customHeight="1">
      <c r="A176" s="1027" t="s">
        <v>24</v>
      </c>
      <c r="B176" s="228" t="s">
        <v>2062</v>
      </c>
      <c r="C176" s="1127" t="s">
        <v>2063</v>
      </c>
      <c r="D176" s="679" t="s">
        <v>34</v>
      </c>
      <c r="E176" s="679" t="s">
        <v>193</v>
      </c>
      <c r="F176" s="679" t="s">
        <v>177</v>
      </c>
      <c r="G176" s="395">
        <v>4300479</v>
      </c>
      <c r="H176" s="1045">
        <v>0</v>
      </c>
      <c r="I176" s="293">
        <f t="shared" si="45"/>
        <v>210293.4231</v>
      </c>
      <c r="J176" s="293">
        <f t="shared" si="46"/>
        <v>172019.16</v>
      </c>
      <c r="K176" s="293">
        <f t="shared" si="47"/>
        <v>86009.58</v>
      </c>
      <c r="L176" s="293">
        <v>15000</v>
      </c>
      <c r="M176" s="295">
        <f t="shared" si="52"/>
        <v>4783801.1631</v>
      </c>
      <c r="N176" s="296">
        <f t="shared" si="48"/>
        <v>382704.093048</v>
      </c>
      <c r="O176" s="399">
        <f>+VLOOKUP(C176,[7]Summary!$C$8:$E$205,3,0)</f>
        <v>867500</v>
      </c>
      <c r="P176" s="447"/>
      <c r="Q176" s="447"/>
      <c r="R176" s="328">
        <f t="shared" si="49"/>
        <v>6034005.256147999</v>
      </c>
      <c r="S176" s="328">
        <f t="shared" si="50"/>
        <v>38270.4093048</v>
      </c>
      <c r="T176" s="329">
        <f t="shared" si="51"/>
        <v>6072275.6654528</v>
      </c>
      <c r="U176" s="1272">
        <v>44409</v>
      </c>
      <c r="V176" s="155">
        <v>44500</v>
      </c>
      <c r="W176" s="1169"/>
      <c r="X176" s="1288"/>
      <c r="Y176" s="1288"/>
      <c r="Z176" s="1294"/>
      <c r="AA176" s="1294"/>
      <c r="AB176" s="1288" t="str">
        <f>+VLOOKUP(B176,'[6]SURABAYA ANTERAJA'!$C$7:$D$218,2,0)</f>
        <v>RIZAL ANANDHITA</v>
      </c>
    </row>
    <row r="177" ht="15.75" customHeight="1">
      <c r="A177" s="1027" t="s">
        <v>24</v>
      </c>
      <c r="B177" s="239" t="s">
        <v>2064</v>
      </c>
      <c r="C177" s="1153" t="s">
        <v>2065</v>
      </c>
      <c r="D177" s="491" t="s">
        <v>34</v>
      </c>
      <c r="E177" s="491" t="s">
        <v>193</v>
      </c>
      <c r="F177" s="491" t="s">
        <v>177</v>
      </c>
      <c r="G177" s="304">
        <v>4300479</v>
      </c>
      <c r="H177" s="1045">
        <v>-344038.32</v>
      </c>
      <c r="I177" s="298">
        <f t="shared" si="45"/>
        <v>210293.4231</v>
      </c>
      <c r="J177" s="298">
        <f t="shared" si="46"/>
        <v>172019.16</v>
      </c>
      <c r="K177" s="298">
        <f t="shared" si="47"/>
        <v>86009.58</v>
      </c>
      <c r="L177" s="298">
        <v>15000</v>
      </c>
      <c r="M177" s="295">
        <f t="shared" si="52"/>
        <v>4439762.8431</v>
      </c>
      <c r="N177" s="303">
        <f t="shared" si="48"/>
        <v>355181.027448</v>
      </c>
      <c r="O177" s="399">
        <f>+VLOOKUP(C177,[7]Summary!$C$8:$E$205,3,0)</f>
        <v>655000</v>
      </c>
      <c r="P177" s="399"/>
      <c r="Q177" s="399"/>
      <c r="R177" s="335">
        <f t="shared" si="49"/>
        <v>5449943.870548001</v>
      </c>
      <c r="S177" s="335">
        <f t="shared" si="50"/>
        <v>35518.1027448</v>
      </c>
      <c r="T177" s="336">
        <f t="shared" si="51"/>
        <v>5485461.973292801</v>
      </c>
      <c r="U177" s="417">
        <v>44354</v>
      </c>
      <c r="V177" s="337">
        <v>44439</v>
      </c>
      <c r="W177" s="1175"/>
      <c r="X177" s="1288"/>
      <c r="Y177" s="1288"/>
      <c r="AB177" s="1288" t="str">
        <f>+VLOOKUP(B177,'[6]SURABAYA ANTERAJA'!$C$7:$D$218,2,0)</f>
        <v>RIZAL ARISYANTO</v>
      </c>
    </row>
    <row r="178" ht="15.75" customHeight="1">
      <c r="A178" s="1027" t="s">
        <v>24</v>
      </c>
      <c r="B178" s="1257" t="s">
        <v>2066</v>
      </c>
      <c r="C178" s="1258" t="s">
        <v>2067</v>
      </c>
      <c r="D178" s="1027" t="s">
        <v>34</v>
      </c>
      <c r="E178" s="1027" t="s">
        <v>193</v>
      </c>
      <c r="F178" s="1027" t="s">
        <v>177</v>
      </c>
      <c r="G178" s="1045">
        <v>4300479</v>
      </c>
      <c r="H178" s="1045">
        <v>0</v>
      </c>
      <c r="I178" s="1225">
        <f t="shared" si="45"/>
        <v>210293.4231</v>
      </c>
      <c r="J178" s="1225">
        <f t="shared" si="46"/>
        <v>172019.16</v>
      </c>
      <c r="K178" s="1225">
        <f t="shared" si="47"/>
        <v>86009.58</v>
      </c>
      <c r="L178" s="1225">
        <v>15000</v>
      </c>
      <c r="M178" s="295">
        <f t="shared" si="52"/>
        <v>4783801.1631</v>
      </c>
      <c r="N178" s="1226">
        <f t="shared" si="48"/>
        <v>382704.093048</v>
      </c>
      <c r="O178" s="399">
        <f>+VLOOKUP(C178,[7]Summary!$C$8:$E$205,3,0)</f>
        <v>1110000</v>
      </c>
      <c r="P178" s="1227"/>
      <c r="Q178" s="1227"/>
      <c r="R178" s="1235">
        <f t="shared" si="49"/>
        <v>6276505.256147999</v>
      </c>
      <c r="S178" s="1235">
        <f t="shared" si="50"/>
        <v>38270.4093048</v>
      </c>
      <c r="T178" s="1236">
        <f t="shared" si="51"/>
        <v>6314775.6654528</v>
      </c>
      <c r="U178" s="1270">
        <v>44348</v>
      </c>
      <c r="V178" s="1271">
        <v>44439</v>
      </c>
      <c r="W178" s="1062"/>
      <c r="X178" s="1288"/>
      <c r="Y178" s="1288"/>
      <c r="Z178" s="1288"/>
      <c r="AA178" s="1288"/>
      <c r="AB178" s="1288" t="str">
        <f>+VLOOKUP(B178,'[6]SURABAYA ANTERAJA'!$C$7:$D$218,2,0)</f>
        <v>RIZAL SYAHPUTRA </v>
      </c>
    </row>
    <row r="179" ht="15.75" customHeight="1">
      <c r="A179" s="1027" t="s">
        <v>24</v>
      </c>
      <c r="B179" s="239" t="s">
        <v>2068</v>
      </c>
      <c r="C179" s="1153" t="s">
        <v>2069</v>
      </c>
      <c r="D179" s="491" t="s">
        <v>34</v>
      </c>
      <c r="E179" s="491" t="s">
        <v>193</v>
      </c>
      <c r="F179" s="491" t="s">
        <v>177</v>
      </c>
      <c r="G179" s="304">
        <v>4300479</v>
      </c>
      <c r="H179" s="1045">
        <v>-172019.16</v>
      </c>
      <c r="I179" s="298">
        <f t="shared" si="45"/>
        <v>210293.4231</v>
      </c>
      <c r="J179" s="298">
        <f t="shared" si="46"/>
        <v>172019.16</v>
      </c>
      <c r="K179" s="298">
        <f t="shared" si="47"/>
        <v>86009.58</v>
      </c>
      <c r="L179" s="298">
        <v>15000</v>
      </c>
      <c r="M179" s="295">
        <f t="shared" si="52"/>
        <v>4611782.0031</v>
      </c>
      <c r="N179" s="303">
        <f t="shared" si="48"/>
        <v>368942.560248</v>
      </c>
      <c r="O179" s="399">
        <f>+VLOOKUP(C179,[7]Summary!$C$8:$E$205,3,0)</f>
        <v>605000</v>
      </c>
      <c r="P179" s="399"/>
      <c r="Q179" s="399"/>
      <c r="R179" s="335">
        <f t="shared" si="49"/>
        <v>5585724.563348</v>
      </c>
      <c r="S179" s="335">
        <f t="shared" si="50"/>
        <v>36894.2560248</v>
      </c>
      <c r="T179" s="336">
        <f t="shared" si="51"/>
        <v>5622618.8193728</v>
      </c>
      <c r="U179" s="417">
        <v>44409</v>
      </c>
      <c r="V179" s="337">
        <v>44500</v>
      </c>
      <c r="W179" s="1175"/>
      <c r="X179" s="1288"/>
      <c r="Y179" s="1288"/>
      <c r="AB179" s="1288" t="str">
        <f>+VLOOKUP(B179,'[6]SURABAYA ANTERAJA'!$C$7:$D$218,2,0)</f>
        <v>ROBBY RACHMAT ISMAIL</v>
      </c>
    </row>
    <row r="180" ht="15.75" customHeight="1">
      <c r="A180" s="1027" t="s">
        <v>24</v>
      </c>
      <c r="B180" s="228" t="s">
        <v>2070</v>
      </c>
      <c r="C180" s="1127" t="s">
        <v>2071</v>
      </c>
      <c r="D180" s="679" t="s">
        <v>34</v>
      </c>
      <c r="E180" s="679" t="s">
        <v>193</v>
      </c>
      <c r="F180" s="679" t="s">
        <v>177</v>
      </c>
      <c r="G180" s="395">
        <v>4300479</v>
      </c>
      <c r="H180" s="1045">
        <v>-172019.16</v>
      </c>
      <c r="I180" s="293">
        <f t="shared" si="45"/>
        <v>210293.4231</v>
      </c>
      <c r="J180" s="293">
        <f t="shared" si="46"/>
        <v>172019.16</v>
      </c>
      <c r="K180" s="293">
        <f t="shared" si="47"/>
        <v>86009.58</v>
      </c>
      <c r="L180" s="293">
        <v>15000</v>
      </c>
      <c r="M180" s="295">
        <f t="shared" si="52"/>
        <v>4611782.0031</v>
      </c>
      <c r="N180" s="296">
        <f t="shared" si="48"/>
        <v>368942.560248</v>
      </c>
      <c r="O180" s="399">
        <v>550000</v>
      </c>
      <c r="P180" s="447"/>
      <c r="Q180" s="447"/>
      <c r="R180" s="328">
        <f t="shared" si="49"/>
        <v>5530724.563348</v>
      </c>
      <c r="S180" s="328">
        <f t="shared" si="50"/>
        <v>36894.2560248</v>
      </c>
      <c r="T180" s="329">
        <f t="shared" si="51"/>
        <v>5567618.8193728</v>
      </c>
      <c r="U180" s="1272">
        <v>44378</v>
      </c>
      <c r="V180" s="155">
        <v>44469</v>
      </c>
      <c r="W180" s="1169"/>
      <c r="X180" s="1288"/>
      <c r="Y180" s="1288"/>
      <c r="Z180" s="1294"/>
      <c r="AA180" s="1294"/>
      <c r="AB180" s="1288" t="str">
        <f>+VLOOKUP(B180,'[6]SURABAYA ANTERAJA'!$C$7:$D$218,2,0)</f>
        <v>ROCMAD JUNIARTO</v>
      </c>
    </row>
    <row r="181" ht="15.75" customHeight="1">
      <c r="A181" s="1027" t="s">
        <v>24</v>
      </c>
      <c r="B181" s="1257" t="s">
        <v>2072</v>
      </c>
      <c r="C181" s="1258" t="s">
        <v>343</v>
      </c>
      <c r="D181" s="1027" t="s">
        <v>34</v>
      </c>
      <c r="E181" s="1027" t="s">
        <v>193</v>
      </c>
      <c r="F181" s="1027" t="s">
        <v>177</v>
      </c>
      <c r="G181" s="1045">
        <v>4300479</v>
      </c>
      <c r="H181" s="1045">
        <v>0</v>
      </c>
      <c r="I181" s="1225">
        <f t="shared" si="45"/>
        <v>210293.4231</v>
      </c>
      <c r="J181" s="1225">
        <f t="shared" si="46"/>
        <v>172019.16</v>
      </c>
      <c r="K181" s="1225">
        <f t="shared" si="47"/>
        <v>86009.58</v>
      </c>
      <c r="L181" s="1225">
        <v>15000</v>
      </c>
      <c r="M181" s="295">
        <f t="shared" si="52"/>
        <v>4783801.1631</v>
      </c>
      <c r="N181" s="1226">
        <f t="shared" si="48"/>
        <v>382704.093048</v>
      </c>
      <c r="O181" s="399">
        <f>+VLOOKUP(C181,[7]Summary!$C$8:$E$205,3,0)</f>
        <v>360000</v>
      </c>
      <c r="P181" s="1227"/>
      <c r="Q181" s="1227"/>
      <c r="R181" s="1235">
        <f t="shared" si="49"/>
        <v>5526505.256147999</v>
      </c>
      <c r="S181" s="1235">
        <f t="shared" si="50"/>
        <v>38270.4093048</v>
      </c>
      <c r="T181" s="1236">
        <f t="shared" si="51"/>
        <v>5564775.6654528</v>
      </c>
      <c r="U181" s="1270">
        <v>44348</v>
      </c>
      <c r="V181" s="1271">
        <v>44439</v>
      </c>
      <c r="W181" s="1062"/>
      <c r="X181" s="1288"/>
      <c r="Y181" s="1288"/>
      <c r="Z181" s="1288"/>
      <c r="AA181" s="1288"/>
      <c r="AB181" s="1288" t="str">
        <f>+VLOOKUP(B181,'[6]SURABAYA ANTERAJA'!$C$7:$D$218,2,0)</f>
        <v>ROHIM</v>
      </c>
    </row>
    <row r="182" ht="15.75" customHeight="1">
      <c r="A182" s="1027" t="s">
        <v>24</v>
      </c>
      <c r="B182" s="228" t="s">
        <v>2073</v>
      </c>
      <c r="C182" s="1127" t="s">
        <v>2074</v>
      </c>
      <c r="D182" s="679" t="s">
        <v>34</v>
      </c>
      <c r="E182" s="679" t="s">
        <v>193</v>
      </c>
      <c r="F182" s="679" t="s">
        <v>177</v>
      </c>
      <c r="G182" s="395">
        <v>4300479</v>
      </c>
      <c r="H182" s="1045">
        <v>0</v>
      </c>
      <c r="I182" s="293">
        <f t="shared" si="45"/>
        <v>210293.4231</v>
      </c>
      <c r="J182" s="293">
        <f t="shared" si="46"/>
        <v>172019.16</v>
      </c>
      <c r="K182" s="293">
        <f t="shared" si="47"/>
        <v>86009.58</v>
      </c>
      <c r="L182" s="293">
        <v>15000</v>
      </c>
      <c r="M182" s="295">
        <f t="shared" si="52"/>
        <v>4783801.1631</v>
      </c>
      <c r="N182" s="296">
        <f t="shared" si="48"/>
        <v>382704.093048</v>
      </c>
      <c r="O182" s="399">
        <f>+VLOOKUP(C182,[7]Summary!$C$8:$E$205,3,0)</f>
        <v>520000</v>
      </c>
      <c r="P182" s="447"/>
      <c r="Q182" s="447"/>
      <c r="R182" s="328">
        <f t="shared" si="49"/>
        <v>5686505.256147999</v>
      </c>
      <c r="S182" s="328">
        <f t="shared" si="50"/>
        <v>38270.4093048</v>
      </c>
      <c r="T182" s="329">
        <f t="shared" si="51"/>
        <v>5724775.6654528</v>
      </c>
      <c r="U182" s="1272">
        <v>44378</v>
      </c>
      <c r="V182" s="155">
        <v>44469</v>
      </c>
      <c r="W182" s="1169"/>
      <c r="X182" s="1288"/>
      <c r="Y182" s="1288"/>
      <c r="Z182" s="1294"/>
      <c r="AA182" s="1294"/>
      <c r="AB182" s="1288" t="str">
        <f>+VLOOKUP(B182,'[6]SURABAYA ANTERAJA'!$C$7:$D$218,2,0)</f>
        <v>RUDI UTOMO PUTRO</v>
      </c>
    </row>
    <row r="183" ht="15.75" customHeight="1">
      <c r="A183" s="1027" t="s">
        <v>24</v>
      </c>
      <c r="B183" s="239" t="s">
        <v>2075</v>
      </c>
      <c r="C183" s="1153" t="s">
        <v>2076</v>
      </c>
      <c r="D183" s="491" t="s">
        <v>34</v>
      </c>
      <c r="E183" s="491" t="s">
        <v>193</v>
      </c>
      <c r="F183" s="491" t="s">
        <v>177</v>
      </c>
      <c r="G183" s="304">
        <v>4300479</v>
      </c>
      <c r="H183" s="1045">
        <v>0</v>
      </c>
      <c r="I183" s="298">
        <f ref="I183:I212" t="shared" si="54">+$I$4*4.89%</f>
        <v>210293.4231</v>
      </c>
      <c r="J183" s="298">
        <f ref="J183:J212" t="shared" si="55">+$I$4*4%</f>
        <v>172019.16</v>
      </c>
      <c r="K183" s="298">
        <f ref="K183:K212" t="shared" si="56">+$I$4*2%</f>
        <v>86009.58</v>
      </c>
      <c r="L183" s="298">
        <v>15000</v>
      </c>
      <c r="M183" s="295">
        <f t="shared" si="52"/>
        <v>4783801.1631</v>
      </c>
      <c r="N183" s="303">
        <f ref="N183:N212" t="shared" si="57">+M183*8%</f>
        <v>382704.093048</v>
      </c>
      <c r="O183" s="399">
        <f>+VLOOKUP(C183,[7]Summary!$C$8:$E$205,3,0)</f>
        <v>370000</v>
      </c>
      <c r="P183" s="399"/>
      <c r="Q183" s="399"/>
      <c r="R183" s="335">
        <f ref="R183:R212" t="shared" si="58">SUM(M183:Q183)</f>
        <v>5536505.256147999</v>
      </c>
      <c r="S183" s="335">
        <f ref="S183:S212" t="shared" si="59">N183*0.1</f>
        <v>38270.4093048</v>
      </c>
      <c r="T183" s="336">
        <f ref="T183:T212" t="shared" si="60">R183+S183</f>
        <v>5574775.6654528</v>
      </c>
      <c r="U183" s="417">
        <v>44391</v>
      </c>
      <c r="V183" s="337">
        <v>44469</v>
      </c>
      <c r="W183" s="1290"/>
      <c r="X183" s="1288"/>
      <c r="Y183" s="1288"/>
      <c r="Z183" s="1146"/>
      <c r="AA183" s="1146"/>
      <c r="AB183" s="1288" t="str">
        <f>+VLOOKUP(B183,'[6]SURABAYA ANTERAJA'!$C$7:$D$218,2,0)</f>
        <v>SAMSUL</v>
      </c>
    </row>
    <row r="184" ht="15.75" customHeight="1">
      <c r="A184" s="1027" t="s">
        <v>24</v>
      </c>
      <c r="B184" s="1257" t="s">
        <v>2077</v>
      </c>
      <c r="C184" s="1258" t="s">
        <v>493</v>
      </c>
      <c r="D184" s="1027" t="s">
        <v>34</v>
      </c>
      <c r="E184" s="1027" t="s">
        <v>193</v>
      </c>
      <c r="F184" s="1027" t="s">
        <v>177</v>
      </c>
      <c r="G184" s="1045">
        <v>4300479</v>
      </c>
      <c r="H184" s="1045">
        <v>0</v>
      </c>
      <c r="I184" s="1225">
        <f t="shared" si="54"/>
        <v>210293.4231</v>
      </c>
      <c r="J184" s="1225">
        <f t="shared" si="55"/>
        <v>172019.16</v>
      </c>
      <c r="K184" s="1225">
        <f t="shared" si="56"/>
        <v>86009.58</v>
      </c>
      <c r="L184" s="1225">
        <v>15000</v>
      </c>
      <c r="M184" s="295">
        <f t="shared" si="52"/>
        <v>4783801.1631</v>
      </c>
      <c r="N184" s="1226">
        <f t="shared" si="57"/>
        <v>382704.093048</v>
      </c>
      <c r="O184" s="399">
        <f>+VLOOKUP(C184,[7]Summary!$C$8:$E$205,3,0)</f>
        <v>525000</v>
      </c>
      <c r="P184" s="1227"/>
      <c r="Q184" s="1227"/>
      <c r="R184" s="1235">
        <f t="shared" si="58"/>
        <v>5691505.256147999</v>
      </c>
      <c r="S184" s="1235">
        <f t="shared" si="59"/>
        <v>38270.4093048</v>
      </c>
      <c r="T184" s="1236">
        <f t="shared" si="60"/>
        <v>5729775.6654528</v>
      </c>
      <c r="U184" s="1270">
        <v>44378</v>
      </c>
      <c r="V184" s="1271">
        <v>44469</v>
      </c>
      <c r="W184" s="1062"/>
      <c r="X184" s="1288"/>
      <c r="Y184" s="1288"/>
      <c r="Z184" s="1288"/>
      <c r="AA184" s="1288"/>
      <c r="AB184" s="1288" t="str">
        <f>+VLOOKUP(B184,'[6]SURABAYA ANTERAJA'!$C$7:$D$218,2,0)</f>
        <v>SAMSUL MA'ARIF</v>
      </c>
    </row>
    <row r="185" ht="15.75" customHeight="1">
      <c r="A185" s="1027" t="s">
        <v>24</v>
      </c>
      <c r="B185" s="1257" t="s">
        <v>2078</v>
      </c>
      <c r="C185" s="1258" t="s">
        <v>2079</v>
      </c>
      <c r="D185" s="1027" t="s">
        <v>34</v>
      </c>
      <c r="E185" s="1027" t="s">
        <v>193</v>
      </c>
      <c r="F185" s="1027" t="s">
        <v>177</v>
      </c>
      <c r="G185" s="1045">
        <v>4300479</v>
      </c>
      <c r="H185" s="1045">
        <v>-172019.16</v>
      </c>
      <c r="I185" s="1225">
        <f t="shared" si="54"/>
        <v>210293.4231</v>
      </c>
      <c r="J185" s="1225">
        <f t="shared" si="55"/>
        <v>172019.16</v>
      </c>
      <c r="K185" s="1225">
        <f t="shared" si="56"/>
        <v>86009.58</v>
      </c>
      <c r="L185" s="1225">
        <v>15000</v>
      </c>
      <c r="M185" s="295">
        <f t="shared" si="52"/>
        <v>4611782.0031</v>
      </c>
      <c r="N185" s="1226">
        <f t="shared" si="57"/>
        <v>368942.560248</v>
      </c>
      <c r="O185" s="399">
        <f>+VLOOKUP(C185,[7]Summary!$C$8:$E$205,3,0)</f>
        <v>272000</v>
      </c>
      <c r="P185" s="1227"/>
      <c r="Q185" s="1227"/>
      <c r="R185" s="1235">
        <f t="shared" si="58"/>
        <v>5252724.563348</v>
      </c>
      <c r="S185" s="1235">
        <f t="shared" si="59"/>
        <v>36894.2560248</v>
      </c>
      <c r="T185" s="1236">
        <f t="shared" si="60"/>
        <v>5289618.8193728</v>
      </c>
      <c r="U185" s="1270">
        <v>44348</v>
      </c>
      <c r="V185" s="1271">
        <v>44439</v>
      </c>
      <c r="W185" s="1062"/>
      <c r="X185" s="1288"/>
      <c r="Y185" s="1288"/>
      <c r="Z185" s="1293"/>
      <c r="AA185" s="1293"/>
      <c r="AB185" s="1288" t="str">
        <f>+VLOOKUP(B185,'[6]SURABAYA ANTERAJA'!$C$7:$D$218,2,0)</f>
        <v>SATUWI </v>
      </c>
    </row>
    <row r="186" ht="15.75" customHeight="1">
      <c r="A186" s="1027" t="s">
        <v>24</v>
      </c>
      <c r="B186" s="228" t="s">
        <v>2080</v>
      </c>
      <c r="C186" s="1127" t="s">
        <v>1741</v>
      </c>
      <c r="D186" s="679" t="s">
        <v>34</v>
      </c>
      <c r="E186" s="679" t="s">
        <v>193</v>
      </c>
      <c r="F186" s="679" t="s">
        <v>177</v>
      </c>
      <c r="G186" s="395">
        <v>4300479</v>
      </c>
      <c r="H186" s="1045">
        <v>-172019.16</v>
      </c>
      <c r="I186" s="293">
        <f t="shared" si="54"/>
        <v>210293.4231</v>
      </c>
      <c r="J186" s="293">
        <f t="shared" si="55"/>
        <v>172019.16</v>
      </c>
      <c r="K186" s="293">
        <f t="shared" si="56"/>
        <v>86009.58</v>
      </c>
      <c r="L186" s="293">
        <v>15000</v>
      </c>
      <c r="M186" s="295">
        <f t="shared" si="52"/>
        <v>4611782.0031</v>
      </c>
      <c r="N186" s="296">
        <f t="shared" si="57"/>
        <v>368942.560248</v>
      </c>
      <c r="O186" s="399">
        <f>+VLOOKUP(C186,[7]Summary!$C$8:$E$205,3,0)</f>
        <v>1425000</v>
      </c>
      <c r="P186" s="447"/>
      <c r="Q186" s="447"/>
      <c r="R186" s="328">
        <f t="shared" si="58"/>
        <v>6405724.563348</v>
      </c>
      <c r="S186" s="328">
        <f t="shared" si="59"/>
        <v>36894.2560248</v>
      </c>
      <c r="T186" s="329">
        <f t="shared" si="60"/>
        <v>6442618.8193728</v>
      </c>
      <c r="U186" s="1272">
        <v>44409</v>
      </c>
      <c r="V186" s="155">
        <v>44500</v>
      </c>
      <c r="W186" s="1169"/>
      <c r="X186" s="1288"/>
      <c r="Y186" s="1288"/>
      <c r="Z186" s="1294"/>
      <c r="AA186" s="1294"/>
      <c r="AB186" s="1288" t="str">
        <f>+VLOOKUP(B186,'[6]SURABAYA ANTERAJA'!$C$7:$D$218,2,0)</f>
        <v>SHOLEH</v>
      </c>
    </row>
    <row r="187" ht="15.75" customHeight="1">
      <c r="A187" s="1027" t="s">
        <v>24</v>
      </c>
      <c r="B187" s="1257" t="s">
        <v>569</v>
      </c>
      <c r="C187" s="1258" t="s">
        <v>570</v>
      </c>
      <c r="D187" s="1027" t="s">
        <v>34</v>
      </c>
      <c r="E187" s="1027" t="s">
        <v>193</v>
      </c>
      <c r="F187" s="1027" t="s">
        <v>177</v>
      </c>
      <c r="G187" s="1045">
        <v>4300479</v>
      </c>
      <c r="H187" s="1045">
        <v>0</v>
      </c>
      <c r="I187" s="1225">
        <f t="shared" si="54"/>
        <v>210293.4231</v>
      </c>
      <c r="J187" s="1225">
        <f t="shared" si="55"/>
        <v>172019.16</v>
      </c>
      <c r="K187" s="1225">
        <f t="shared" si="56"/>
        <v>86009.58</v>
      </c>
      <c r="L187" s="1225">
        <v>15000</v>
      </c>
      <c r="M187" s="295">
        <f t="shared" si="52"/>
        <v>4783801.1631</v>
      </c>
      <c r="N187" s="1226">
        <f t="shared" si="57"/>
        <v>382704.093048</v>
      </c>
      <c r="O187" s="399">
        <f>+VLOOKUP(C187,[7]Summary!$C$8:$E$205,3,0)</f>
        <v>450000</v>
      </c>
      <c r="P187" s="1227"/>
      <c r="Q187" s="1227"/>
      <c r="R187" s="1235">
        <f t="shared" si="58"/>
        <v>5616505.256147999</v>
      </c>
      <c r="S187" s="1235">
        <f t="shared" si="59"/>
        <v>38270.4093048</v>
      </c>
      <c r="T187" s="1236">
        <f t="shared" si="60"/>
        <v>5654775.6654528</v>
      </c>
      <c r="U187" s="1270">
        <v>44378</v>
      </c>
      <c r="V187" s="1271">
        <v>44469</v>
      </c>
      <c r="W187" s="1062"/>
      <c r="X187" s="1288"/>
      <c r="Y187" s="1288"/>
      <c r="Z187" s="1293"/>
      <c r="AA187" s="1293"/>
      <c r="AB187" s="1288" t="str">
        <f>+VLOOKUP(B187,'[6]SURABAYA ANTERAJA'!$C$7:$D$218,2,0)</f>
        <v>SHOLIHIN</v>
      </c>
    </row>
    <row r="188" ht="15.75" customHeight="1">
      <c r="A188" s="1027" t="s">
        <v>24</v>
      </c>
      <c r="B188" s="228">
        <v>2209</v>
      </c>
      <c r="C188" s="1127" t="s">
        <v>2081</v>
      </c>
      <c r="D188" s="679" t="s">
        <v>34</v>
      </c>
      <c r="E188" s="679" t="s">
        <v>193</v>
      </c>
      <c r="F188" s="679" t="s">
        <v>177</v>
      </c>
      <c r="G188" s="395">
        <v>4300479</v>
      </c>
      <c r="H188" s="1045">
        <v>0</v>
      </c>
      <c r="I188" s="293">
        <f t="shared" si="54"/>
        <v>210293.4231</v>
      </c>
      <c r="J188" s="293">
        <f t="shared" si="55"/>
        <v>172019.16</v>
      </c>
      <c r="K188" s="293">
        <f t="shared" si="56"/>
        <v>86009.58</v>
      </c>
      <c r="L188" s="293">
        <v>15000</v>
      </c>
      <c r="M188" s="295">
        <f t="shared" si="52"/>
        <v>4783801.1631</v>
      </c>
      <c r="N188" s="296">
        <f t="shared" si="57"/>
        <v>382704.093048</v>
      </c>
      <c r="O188" s="399">
        <f>+VLOOKUP(C188,[7]Summary!$C$8:$E$205,3,0)</f>
        <v>420000</v>
      </c>
      <c r="P188" s="447"/>
      <c r="Q188" s="398"/>
      <c r="R188" s="328">
        <f t="shared" si="58"/>
        <v>5586505.256147999</v>
      </c>
      <c r="S188" s="328">
        <f t="shared" si="59"/>
        <v>38270.4093048</v>
      </c>
      <c r="T188" s="329">
        <f t="shared" si="60"/>
        <v>5624775.6654528</v>
      </c>
      <c r="U188" s="1272">
        <v>44409</v>
      </c>
      <c r="V188" s="155">
        <v>44500</v>
      </c>
      <c r="W188" s="1169"/>
      <c r="X188" s="1288"/>
      <c r="Y188" s="1288"/>
      <c r="Z188" s="1294"/>
      <c r="AA188" s="1294"/>
      <c r="AB188" s="1288" t="str">
        <f>+VLOOKUP(B188,'[6]SURABAYA ANTERAJA'!$C$7:$D$218,2,0)</f>
        <v>SOEKARNO</v>
      </c>
    </row>
    <row r="189" ht="15.75" customHeight="1">
      <c r="A189" s="1027" t="s">
        <v>24</v>
      </c>
      <c r="B189" s="1257" t="s">
        <v>2082</v>
      </c>
      <c r="C189" s="1258" t="s">
        <v>2083</v>
      </c>
      <c r="D189" s="1027" t="s">
        <v>34</v>
      </c>
      <c r="E189" s="1027" t="s">
        <v>193</v>
      </c>
      <c r="F189" s="1027" t="s">
        <v>177</v>
      </c>
      <c r="G189" s="1045">
        <v>4300479</v>
      </c>
      <c r="H189" s="1045">
        <v>-172019.16</v>
      </c>
      <c r="I189" s="1225">
        <f t="shared" si="54"/>
        <v>210293.4231</v>
      </c>
      <c r="J189" s="1225">
        <f t="shared" si="55"/>
        <v>172019.16</v>
      </c>
      <c r="K189" s="1225">
        <f t="shared" si="56"/>
        <v>86009.58</v>
      </c>
      <c r="L189" s="1225">
        <v>15000</v>
      </c>
      <c r="M189" s="295">
        <f t="shared" si="52"/>
        <v>4611782.0031</v>
      </c>
      <c r="N189" s="1226">
        <f t="shared" si="57"/>
        <v>368942.560248</v>
      </c>
      <c r="O189" s="399">
        <f>+VLOOKUP(C189,[7]Summary!$C$8:$E$205,3,0)</f>
        <v>495000</v>
      </c>
      <c r="P189" s="1227"/>
      <c r="Q189" s="1227"/>
      <c r="R189" s="1235">
        <f t="shared" si="58"/>
        <v>5475724.563348</v>
      </c>
      <c r="S189" s="1235">
        <f t="shared" si="59"/>
        <v>36894.2560248</v>
      </c>
      <c r="T189" s="1236">
        <f t="shared" si="60"/>
        <v>5512618.8193728</v>
      </c>
      <c r="U189" s="1270">
        <v>44348</v>
      </c>
      <c r="V189" s="1271">
        <v>44439</v>
      </c>
      <c r="W189" s="1062"/>
      <c r="X189" s="1288"/>
      <c r="Y189" s="1288"/>
      <c r="Z189" s="1288"/>
      <c r="AA189" s="1288"/>
      <c r="AB189" s="1288" t="str">
        <f>+VLOOKUP(B189,'[6]SURABAYA ANTERAJA'!$C$7:$D$218,2,0)</f>
        <v>SONI RAKHMAT </v>
      </c>
    </row>
    <row r="190" ht="15.75" customHeight="1">
      <c r="A190" s="1027" t="s">
        <v>24</v>
      </c>
      <c r="B190" s="228" t="s">
        <v>2084</v>
      </c>
      <c r="C190" s="1127" t="s">
        <v>2085</v>
      </c>
      <c r="D190" s="679" t="s">
        <v>34</v>
      </c>
      <c r="E190" s="679" t="s">
        <v>193</v>
      </c>
      <c r="F190" s="679" t="s">
        <v>177</v>
      </c>
      <c r="G190" s="395">
        <v>4300479</v>
      </c>
      <c r="H190" s="1045">
        <v>0</v>
      </c>
      <c r="I190" s="293">
        <f t="shared" si="54"/>
        <v>210293.4231</v>
      </c>
      <c r="J190" s="293">
        <f t="shared" si="55"/>
        <v>172019.16</v>
      </c>
      <c r="K190" s="293">
        <f t="shared" si="56"/>
        <v>86009.58</v>
      </c>
      <c r="L190" s="293">
        <v>15000</v>
      </c>
      <c r="M190" s="295">
        <f t="shared" si="52"/>
        <v>4783801.1631</v>
      </c>
      <c r="N190" s="296">
        <f t="shared" si="57"/>
        <v>382704.093048</v>
      </c>
      <c r="O190" s="399">
        <f>+VLOOKUP(C190,[7]Summary!$C$8:$E$205,3,0)</f>
        <v>252000</v>
      </c>
      <c r="P190" s="447"/>
      <c r="Q190" s="447"/>
      <c r="R190" s="328">
        <f t="shared" si="58"/>
        <v>5418505.256147999</v>
      </c>
      <c r="S190" s="328">
        <f t="shared" si="59"/>
        <v>38270.4093048</v>
      </c>
      <c r="T190" s="329">
        <f t="shared" si="60"/>
        <v>5456775.6654528</v>
      </c>
      <c r="U190" s="1272">
        <v>44378</v>
      </c>
      <c r="V190" s="155">
        <v>44469</v>
      </c>
      <c r="W190" s="1169"/>
      <c r="X190" s="1288"/>
      <c r="Y190" s="1288"/>
      <c r="Z190" s="1294"/>
      <c r="AA190" s="1294"/>
      <c r="AB190" s="1288" t="str">
        <f>+VLOOKUP(B190,'[6]SURABAYA ANTERAJA'!$C$7:$D$218,2,0)</f>
        <v>SUDJARWOKO</v>
      </c>
    </row>
    <row r="191" ht="15.75" customHeight="1">
      <c r="A191" s="1027" t="s">
        <v>24</v>
      </c>
      <c r="B191" s="1257" t="s">
        <v>2086</v>
      </c>
      <c r="C191" s="1258" t="s">
        <v>2087</v>
      </c>
      <c r="D191" s="1027" t="s">
        <v>34</v>
      </c>
      <c r="E191" s="1027" t="s">
        <v>193</v>
      </c>
      <c r="F191" s="1027" t="s">
        <v>177</v>
      </c>
      <c r="G191" s="1045">
        <v>4300479</v>
      </c>
      <c r="H191" s="1045">
        <v>-344038.32</v>
      </c>
      <c r="I191" s="1225">
        <f t="shared" si="54"/>
        <v>210293.4231</v>
      </c>
      <c r="J191" s="1225">
        <f t="shared" si="55"/>
        <v>172019.16</v>
      </c>
      <c r="K191" s="1225">
        <f t="shared" si="56"/>
        <v>86009.58</v>
      </c>
      <c r="L191" s="1225">
        <v>15000</v>
      </c>
      <c r="M191" s="295">
        <f t="shared" si="52"/>
        <v>4439762.8431</v>
      </c>
      <c r="N191" s="1226">
        <f t="shared" si="57"/>
        <v>355181.027448</v>
      </c>
      <c r="O191" s="399">
        <v>970000</v>
      </c>
      <c r="P191" s="1227"/>
      <c r="Q191" s="1227"/>
      <c r="R191" s="1235">
        <f t="shared" si="58"/>
        <v>5764943.870548</v>
      </c>
      <c r="S191" s="1235">
        <f t="shared" si="59"/>
        <v>35518.1027448</v>
      </c>
      <c r="T191" s="1236">
        <f t="shared" si="60"/>
        <v>5800461.9732928</v>
      </c>
      <c r="U191" s="1270">
        <v>44348</v>
      </c>
      <c r="V191" s="1271">
        <v>44439</v>
      </c>
      <c r="W191" s="1062"/>
      <c r="X191" s="1288"/>
      <c r="Y191" s="1288"/>
      <c r="Z191" s="1293"/>
      <c r="AA191" s="1293"/>
      <c r="AB191" s="1288" t="str">
        <f>+VLOOKUP(B191,'[6]SURABAYA ANTERAJA'!$C$7:$D$218,2,0)</f>
        <v>SUDORI </v>
      </c>
    </row>
    <row r="192" ht="15.75" customHeight="1">
      <c r="A192" s="1027" t="s">
        <v>24</v>
      </c>
      <c r="B192" s="1257" t="s">
        <v>2088</v>
      </c>
      <c r="C192" s="1258" t="s">
        <v>2089</v>
      </c>
      <c r="D192" s="1027" t="s">
        <v>34</v>
      </c>
      <c r="E192" s="1027" t="s">
        <v>193</v>
      </c>
      <c r="F192" s="1027" t="s">
        <v>177</v>
      </c>
      <c r="G192" s="1045">
        <v>4300479</v>
      </c>
      <c r="H192" s="1045">
        <v>0</v>
      </c>
      <c r="I192" s="1225">
        <f t="shared" si="54"/>
        <v>210293.4231</v>
      </c>
      <c r="J192" s="1225">
        <f t="shared" si="55"/>
        <v>172019.16</v>
      </c>
      <c r="K192" s="1225">
        <f t="shared" si="56"/>
        <v>86009.58</v>
      </c>
      <c r="L192" s="1225">
        <v>15000</v>
      </c>
      <c r="M192" s="295">
        <f t="shared" si="52"/>
        <v>4783801.1631</v>
      </c>
      <c r="N192" s="1226">
        <f t="shared" si="57"/>
        <v>382704.093048</v>
      </c>
      <c r="O192" s="399">
        <f>+VLOOKUP(C192,[7]Summary!$C$8:$E$205,3,0)</f>
        <v>500000</v>
      </c>
      <c r="P192" s="1227"/>
      <c r="Q192" s="1227"/>
      <c r="R192" s="1235">
        <f t="shared" si="58"/>
        <v>5666505.256147999</v>
      </c>
      <c r="S192" s="1235">
        <f t="shared" si="59"/>
        <v>38270.4093048</v>
      </c>
      <c r="T192" s="1236">
        <f t="shared" si="60"/>
        <v>5704775.6654528</v>
      </c>
      <c r="U192" s="1270">
        <v>44409</v>
      </c>
      <c r="V192" s="1271">
        <v>44439</v>
      </c>
      <c r="W192" s="1062"/>
      <c r="X192" s="1288"/>
      <c r="Y192" s="1288"/>
      <c r="Z192" s="1288"/>
      <c r="AA192" s="1288"/>
      <c r="AB192" s="1288" t="str">
        <f>+VLOOKUP(B192,'[6]SURABAYA ANTERAJA'!$C$7:$D$218,2,0)</f>
        <v>SUJOKO </v>
      </c>
    </row>
    <row r="193" ht="15.75" customHeight="1">
      <c r="A193" s="1027" t="s">
        <v>24</v>
      </c>
      <c r="B193" s="1257" t="s">
        <v>2090</v>
      </c>
      <c r="C193" s="1258" t="s">
        <v>2091</v>
      </c>
      <c r="D193" s="1027" t="s">
        <v>34</v>
      </c>
      <c r="E193" s="1027" t="s">
        <v>193</v>
      </c>
      <c r="F193" s="1027" t="s">
        <v>177</v>
      </c>
      <c r="G193" s="1045">
        <v>4300479</v>
      </c>
      <c r="H193" s="1045">
        <v>-172019.16</v>
      </c>
      <c r="I193" s="1225">
        <f t="shared" si="54"/>
        <v>210293.4231</v>
      </c>
      <c r="J193" s="1225">
        <f t="shared" si="55"/>
        <v>172019.16</v>
      </c>
      <c r="K193" s="1225">
        <f t="shared" si="56"/>
        <v>86009.58</v>
      </c>
      <c r="L193" s="1225">
        <v>15000</v>
      </c>
      <c r="M193" s="295">
        <f t="shared" si="52"/>
        <v>4611782.0031</v>
      </c>
      <c r="N193" s="1226">
        <f t="shared" si="57"/>
        <v>368942.560248</v>
      </c>
      <c r="O193" s="399">
        <f>+VLOOKUP(C193,[7]Summary!$C$8:$E$205,3,0)</f>
        <v>545000</v>
      </c>
      <c r="P193" s="1227"/>
      <c r="Q193" s="1227"/>
      <c r="R193" s="1235">
        <f t="shared" si="58"/>
        <v>5525724.563348</v>
      </c>
      <c r="S193" s="1235">
        <f t="shared" si="59"/>
        <v>36894.2560248</v>
      </c>
      <c r="T193" s="1236">
        <f t="shared" si="60"/>
        <v>5562618.8193728</v>
      </c>
      <c r="U193" s="1270">
        <v>44409</v>
      </c>
      <c r="V193" s="1271">
        <v>44439</v>
      </c>
      <c r="W193" s="1062"/>
      <c r="X193" s="1288"/>
      <c r="Y193" s="1288"/>
      <c r="Z193" s="1293"/>
      <c r="AA193" s="1293"/>
      <c r="AB193" s="1288" t="str">
        <f>+VLOOKUP(B193,'[6]SURABAYA ANTERAJA'!$C$7:$D$218,2,0)</f>
        <v>SULIS SETYAWAN</v>
      </c>
    </row>
    <row r="194" ht="15.75" customHeight="1">
      <c r="A194" s="1027" t="s">
        <v>24</v>
      </c>
      <c r="B194" s="239" t="s">
        <v>2092</v>
      </c>
      <c r="C194" s="1153" t="s">
        <v>2093</v>
      </c>
      <c r="D194" s="491" t="s">
        <v>34</v>
      </c>
      <c r="E194" s="491" t="s">
        <v>193</v>
      </c>
      <c r="F194" s="491" t="s">
        <v>177</v>
      </c>
      <c r="G194" s="304">
        <v>4300479</v>
      </c>
      <c r="H194" s="1045">
        <v>-172019.16</v>
      </c>
      <c r="I194" s="298">
        <f t="shared" si="54"/>
        <v>210293.4231</v>
      </c>
      <c r="J194" s="298">
        <f t="shared" si="55"/>
        <v>172019.16</v>
      </c>
      <c r="K194" s="298">
        <f t="shared" si="56"/>
        <v>86009.58</v>
      </c>
      <c r="L194" s="298">
        <v>15000</v>
      </c>
      <c r="M194" s="295">
        <f t="shared" si="52"/>
        <v>4611782.0031</v>
      </c>
      <c r="N194" s="303">
        <f t="shared" si="57"/>
        <v>368942.560248</v>
      </c>
      <c r="O194" s="399">
        <f>+VLOOKUP(C194,[7]Summary!$C$8:$E$205,3,0)</f>
        <v>530000</v>
      </c>
      <c r="P194" s="399"/>
      <c r="Q194" s="399"/>
      <c r="R194" s="335">
        <f t="shared" si="58"/>
        <v>5510724.563348</v>
      </c>
      <c r="S194" s="335">
        <f t="shared" si="59"/>
        <v>36894.2560248</v>
      </c>
      <c r="T194" s="336">
        <f t="shared" si="60"/>
        <v>5547618.8193728</v>
      </c>
      <c r="U194" s="417">
        <v>44409</v>
      </c>
      <c r="V194" s="337">
        <v>44500</v>
      </c>
      <c r="W194" s="1175"/>
      <c r="X194" s="1288"/>
      <c r="Y194" s="1288"/>
      <c r="AB194" s="1288" t="str">
        <f>+VLOOKUP(B194,'[6]SURABAYA ANTERAJA'!$C$7:$D$218,2,0)</f>
        <v>SUNARYO</v>
      </c>
    </row>
    <row r="195" ht="15.75" customHeight="1">
      <c r="A195" s="1027" t="s">
        <v>24</v>
      </c>
      <c r="B195" s="239" t="s">
        <v>2094</v>
      </c>
      <c r="C195" s="1153" t="s">
        <v>2095</v>
      </c>
      <c r="D195" s="491" t="s">
        <v>34</v>
      </c>
      <c r="E195" s="491" t="s">
        <v>193</v>
      </c>
      <c r="F195" s="491" t="s">
        <v>177</v>
      </c>
      <c r="G195" s="304">
        <v>4300479</v>
      </c>
      <c r="H195" s="1045">
        <v>0</v>
      </c>
      <c r="I195" s="298">
        <f t="shared" si="54"/>
        <v>210293.4231</v>
      </c>
      <c r="J195" s="298">
        <f t="shared" si="55"/>
        <v>172019.16</v>
      </c>
      <c r="K195" s="298">
        <f t="shared" si="56"/>
        <v>86009.58</v>
      </c>
      <c r="L195" s="298">
        <v>15000</v>
      </c>
      <c r="M195" s="295">
        <f t="shared" si="52"/>
        <v>4783801.1631</v>
      </c>
      <c r="N195" s="303">
        <f t="shared" si="57"/>
        <v>382704.093048</v>
      </c>
      <c r="O195" s="399">
        <f>+VLOOKUP(C195,[7]Summary!$C$8:$E$205,3,0)</f>
        <v>95000</v>
      </c>
      <c r="P195" s="399"/>
      <c r="Q195" s="399"/>
      <c r="R195" s="335">
        <f t="shared" si="58"/>
        <v>5261505.256147999</v>
      </c>
      <c r="S195" s="335">
        <f t="shared" si="59"/>
        <v>38270.4093048</v>
      </c>
      <c r="T195" s="336">
        <f t="shared" si="60"/>
        <v>5299775.6654528</v>
      </c>
      <c r="U195" s="417">
        <v>44351</v>
      </c>
      <c r="V195" s="337">
        <v>44450</v>
      </c>
      <c r="W195" s="1290"/>
      <c r="X195" s="1288"/>
      <c r="Y195" s="1288"/>
      <c r="Z195" s="1146"/>
      <c r="AA195" s="1146"/>
      <c r="AB195" s="1288" t="str">
        <f>+VLOOKUP(B195,'[6]SURABAYA ANTERAJA'!$C$7:$D$218,2,0)</f>
        <v>SUPRIYONO</v>
      </c>
    </row>
    <row r="196" ht="15.75" customHeight="1">
      <c r="A196" s="1027" t="s">
        <v>24</v>
      </c>
      <c r="B196" s="239" t="s">
        <v>2096</v>
      </c>
      <c r="C196" s="1153" t="s">
        <v>2097</v>
      </c>
      <c r="D196" s="491" t="s">
        <v>34</v>
      </c>
      <c r="E196" s="491" t="s">
        <v>193</v>
      </c>
      <c r="F196" s="491" t="s">
        <v>177</v>
      </c>
      <c r="G196" s="304">
        <v>4300479</v>
      </c>
      <c r="H196" s="1045">
        <v>-172019.16</v>
      </c>
      <c r="I196" s="298">
        <f t="shared" si="54"/>
        <v>210293.4231</v>
      </c>
      <c r="J196" s="298">
        <f t="shared" si="55"/>
        <v>172019.16</v>
      </c>
      <c r="K196" s="298">
        <f t="shared" si="56"/>
        <v>86009.58</v>
      </c>
      <c r="L196" s="298">
        <v>15000</v>
      </c>
      <c r="M196" s="295">
        <f t="shared" si="52"/>
        <v>4611782.0031</v>
      </c>
      <c r="N196" s="303">
        <f t="shared" si="57"/>
        <v>368942.560248</v>
      </c>
      <c r="O196" s="399">
        <f>+VLOOKUP(C196,[7]Summary!$C$8:$E$205,3,0)</f>
        <v>600000</v>
      </c>
      <c r="P196" s="399"/>
      <c r="Q196" s="399"/>
      <c r="R196" s="335">
        <f t="shared" si="58"/>
        <v>5580724.563348</v>
      </c>
      <c r="S196" s="335">
        <f t="shared" si="59"/>
        <v>36894.2560248</v>
      </c>
      <c r="T196" s="336">
        <f t="shared" si="60"/>
        <v>5617618.8193728</v>
      </c>
      <c r="U196" s="417">
        <v>44341</v>
      </c>
      <c r="V196" s="337">
        <v>44439</v>
      </c>
      <c r="W196" s="1290"/>
      <c r="X196" s="1288"/>
      <c r="Y196" s="1288"/>
      <c r="Z196" s="1146"/>
      <c r="AA196" s="1146"/>
      <c r="AB196" s="1288" t="str">
        <f>+VLOOKUP(B196,'[6]SURABAYA ANTERAJA'!$C$7:$D$218,2,0)</f>
        <v>SUYANTO</v>
      </c>
    </row>
    <row r="197" ht="15.75" customHeight="1">
      <c r="A197" s="1027" t="s">
        <v>24</v>
      </c>
      <c r="B197" s="1257" t="s">
        <v>2098</v>
      </c>
      <c r="C197" s="1258" t="s">
        <v>2099</v>
      </c>
      <c r="D197" s="1027" t="s">
        <v>34</v>
      </c>
      <c r="E197" s="1027" t="s">
        <v>193</v>
      </c>
      <c r="F197" s="1027" t="s">
        <v>177</v>
      </c>
      <c r="G197" s="1045">
        <v>4300479</v>
      </c>
      <c r="H197" s="1045">
        <v>-344038.32</v>
      </c>
      <c r="I197" s="1225">
        <f t="shared" si="54"/>
        <v>210293.4231</v>
      </c>
      <c r="J197" s="1225">
        <f t="shared" si="55"/>
        <v>172019.16</v>
      </c>
      <c r="K197" s="1225">
        <f t="shared" si="56"/>
        <v>86009.58</v>
      </c>
      <c r="L197" s="1225">
        <v>15000</v>
      </c>
      <c r="M197" s="295">
        <f t="shared" si="52"/>
        <v>4439762.8431</v>
      </c>
      <c r="N197" s="1226">
        <f t="shared" si="57"/>
        <v>355181.027448</v>
      </c>
      <c r="O197" s="399">
        <f>+VLOOKUP(C197,[7]Summary!$C$8:$E$205,3,0)</f>
        <v>450000</v>
      </c>
      <c r="P197" s="1227"/>
      <c r="Q197" s="1227"/>
      <c r="R197" s="1235">
        <f t="shared" si="58"/>
        <v>5244943.870548001</v>
      </c>
      <c r="S197" s="1235">
        <f t="shared" si="59"/>
        <v>35518.1027448</v>
      </c>
      <c r="T197" s="1236">
        <f t="shared" si="60"/>
        <v>5280461.973292801</v>
      </c>
      <c r="U197" s="1270">
        <v>44409</v>
      </c>
      <c r="V197" s="1271">
        <v>44439</v>
      </c>
      <c r="W197" s="1062"/>
      <c r="X197" s="1288"/>
      <c r="Y197" s="1288"/>
      <c r="Z197" s="1293"/>
      <c r="AA197" s="1293"/>
      <c r="AB197" s="1288" t="str">
        <f>+VLOOKUP(B197,'[6]SURABAYA ANTERAJA'!$C$7:$D$218,2,0)</f>
        <v>TAUFIK HUSEN</v>
      </c>
    </row>
    <row r="198" ht="15.75" customHeight="1">
      <c r="A198" s="1027" t="s">
        <v>24</v>
      </c>
      <c r="B198" s="239" t="s">
        <v>2100</v>
      </c>
      <c r="C198" s="1153" t="s">
        <v>2101</v>
      </c>
      <c r="D198" s="491" t="s">
        <v>34</v>
      </c>
      <c r="E198" s="491" t="s">
        <v>193</v>
      </c>
      <c r="F198" s="491" t="s">
        <v>177</v>
      </c>
      <c r="G198" s="304">
        <v>4300479</v>
      </c>
      <c r="H198" s="1045">
        <v>-172019.16</v>
      </c>
      <c r="I198" s="298">
        <f t="shared" si="54"/>
        <v>210293.4231</v>
      </c>
      <c r="J198" s="298">
        <f t="shared" si="55"/>
        <v>172019.16</v>
      </c>
      <c r="K198" s="298">
        <f t="shared" si="56"/>
        <v>86009.58</v>
      </c>
      <c r="L198" s="298">
        <v>15000</v>
      </c>
      <c r="M198" s="295">
        <f t="shared" si="52"/>
        <v>4611782.0031</v>
      </c>
      <c r="N198" s="303">
        <f t="shared" si="57"/>
        <v>368942.560248</v>
      </c>
      <c r="O198" s="399">
        <f>+VLOOKUP(C198,[7]Summary!$C$8:$E$205,3,0)</f>
        <v>600000</v>
      </c>
      <c r="P198" s="399"/>
      <c r="Q198" s="399"/>
      <c r="R198" s="335">
        <f t="shared" si="58"/>
        <v>5580724.563348</v>
      </c>
      <c r="S198" s="335">
        <f t="shared" si="59"/>
        <v>36894.2560248</v>
      </c>
      <c r="T198" s="336">
        <f t="shared" si="60"/>
        <v>5617618.8193728</v>
      </c>
      <c r="U198" s="417">
        <v>44354</v>
      </c>
      <c r="V198" s="337">
        <v>44439</v>
      </c>
      <c r="W198" s="1175"/>
      <c r="X198" s="1288"/>
      <c r="Y198" s="1288"/>
      <c r="AB198" s="1288" t="str">
        <f>+VLOOKUP(B198,'[6]SURABAYA ANTERAJA'!$C$7:$D$218,2,0)</f>
        <v>TAUFIK TAUFANI</v>
      </c>
    </row>
    <row r="199" ht="15.75" customHeight="1">
      <c r="A199" s="1027" t="s">
        <v>24</v>
      </c>
      <c r="B199" s="239" t="s">
        <v>2102</v>
      </c>
      <c r="C199" s="1153" t="s">
        <v>2103</v>
      </c>
      <c r="D199" s="491" t="s">
        <v>34</v>
      </c>
      <c r="E199" s="491" t="s">
        <v>193</v>
      </c>
      <c r="F199" s="491" t="s">
        <v>177</v>
      </c>
      <c r="G199" s="304">
        <v>4300479</v>
      </c>
      <c r="H199" s="1045">
        <v>-516057.48</v>
      </c>
      <c r="I199" s="298">
        <f t="shared" si="54"/>
        <v>210293.4231</v>
      </c>
      <c r="J199" s="298">
        <f t="shared" si="55"/>
        <v>172019.16</v>
      </c>
      <c r="K199" s="298">
        <f t="shared" si="56"/>
        <v>86009.58</v>
      </c>
      <c r="L199" s="298">
        <v>15000</v>
      </c>
      <c r="M199" s="295">
        <f t="shared" si="52"/>
        <v>4267743.6831</v>
      </c>
      <c r="N199" s="303">
        <f t="shared" si="57"/>
        <v>341419.494648</v>
      </c>
      <c r="O199" s="399">
        <f>+VLOOKUP(C199,[7]Summary!$C$8:$E$205,3,0)</f>
        <v>485000</v>
      </c>
      <c r="P199" s="399"/>
      <c r="Q199" s="399"/>
      <c r="R199" s="335">
        <f t="shared" si="58"/>
        <v>5094163.177748</v>
      </c>
      <c r="S199" s="335">
        <f t="shared" si="59"/>
        <v>34141.9494648</v>
      </c>
      <c r="T199" s="336">
        <f t="shared" si="60"/>
        <v>5128305.1272128</v>
      </c>
      <c r="U199" s="417">
        <v>44409</v>
      </c>
      <c r="V199" s="337">
        <v>44500</v>
      </c>
      <c r="W199" s="1175"/>
      <c r="X199" s="1288"/>
      <c r="Y199" s="1288"/>
      <c r="AB199" s="1288" t="str">
        <f>+VLOOKUP(B199,'[6]SURABAYA ANTERAJA'!$C$7:$D$218,2,0)</f>
        <v>THOMAS SANTOSO</v>
      </c>
    </row>
    <row r="200" ht="15.75" customHeight="1">
      <c r="A200" s="1027" t="s">
        <v>24</v>
      </c>
      <c r="B200" s="239" t="s">
        <v>2104</v>
      </c>
      <c r="C200" s="1153" t="s">
        <v>2105</v>
      </c>
      <c r="D200" s="491" t="s">
        <v>34</v>
      </c>
      <c r="E200" s="491" t="s">
        <v>193</v>
      </c>
      <c r="F200" s="491" t="s">
        <v>177</v>
      </c>
      <c r="G200" s="304">
        <v>4300479</v>
      </c>
      <c r="H200" s="1045">
        <v>0</v>
      </c>
      <c r="I200" s="298">
        <f t="shared" si="54"/>
        <v>210293.4231</v>
      </c>
      <c r="J200" s="298">
        <f t="shared" si="55"/>
        <v>172019.16</v>
      </c>
      <c r="K200" s="298">
        <f t="shared" si="56"/>
        <v>86009.58</v>
      </c>
      <c r="L200" s="298">
        <v>15000</v>
      </c>
      <c r="M200" s="295">
        <f t="shared" si="52"/>
        <v>4783801.1631</v>
      </c>
      <c r="N200" s="303">
        <f t="shared" si="57"/>
        <v>382704.093048</v>
      </c>
      <c r="O200" s="399">
        <f>+VLOOKUP(C200,[7]Summary!$C$8:$E$205,3,0)</f>
        <v>257500</v>
      </c>
      <c r="P200" s="399"/>
      <c r="Q200" s="399"/>
      <c r="R200" s="335">
        <f t="shared" si="58"/>
        <v>5424005.256147999</v>
      </c>
      <c r="S200" s="335">
        <f t="shared" si="59"/>
        <v>38270.4093048</v>
      </c>
      <c r="T200" s="336">
        <f t="shared" si="60"/>
        <v>5462275.6654528</v>
      </c>
      <c r="U200" s="417">
        <v>44391</v>
      </c>
      <c r="V200" s="337">
        <v>44469</v>
      </c>
      <c r="W200" s="1290"/>
      <c r="X200" s="1288"/>
      <c r="Y200" s="1288"/>
      <c r="Z200" s="1146"/>
      <c r="AA200" s="1146"/>
      <c r="AB200" s="1288" t="str">
        <f>+VLOOKUP(B200,'[6]SURABAYA ANTERAJA'!$C$7:$D$218,2,0)</f>
        <v>TRI LAKSONO</v>
      </c>
    </row>
    <row r="201" ht="15.75" customHeight="1">
      <c r="A201" s="1027" t="s">
        <v>24</v>
      </c>
      <c r="B201" s="1257" t="s">
        <v>2106</v>
      </c>
      <c r="C201" s="1258" t="s">
        <v>2107</v>
      </c>
      <c r="D201" s="1027" t="s">
        <v>34</v>
      </c>
      <c r="E201" s="1027" t="s">
        <v>193</v>
      </c>
      <c r="F201" s="1027" t="s">
        <v>177</v>
      </c>
      <c r="G201" s="1045">
        <v>4300479</v>
      </c>
      <c r="H201" s="1045">
        <v>0</v>
      </c>
      <c r="I201" s="1225">
        <f t="shared" si="54"/>
        <v>210293.4231</v>
      </c>
      <c r="J201" s="1225">
        <f t="shared" si="55"/>
        <v>172019.16</v>
      </c>
      <c r="K201" s="1225">
        <f t="shared" si="56"/>
        <v>86009.58</v>
      </c>
      <c r="L201" s="1225">
        <v>15000</v>
      </c>
      <c r="M201" s="295">
        <f t="shared" si="52"/>
        <v>4783801.1631</v>
      </c>
      <c r="N201" s="1226">
        <f t="shared" si="57"/>
        <v>382704.093048</v>
      </c>
      <c r="O201" s="399">
        <f>+VLOOKUP(C201,[7]Summary!$C$8:$E$205,3,0)</f>
        <v>690000</v>
      </c>
      <c r="P201" s="1227"/>
      <c r="Q201" s="1227"/>
      <c r="R201" s="1235">
        <f t="shared" si="58"/>
        <v>5856505.256147999</v>
      </c>
      <c r="S201" s="1235">
        <f t="shared" si="59"/>
        <v>38270.4093048</v>
      </c>
      <c r="T201" s="1236">
        <f t="shared" si="60"/>
        <v>5894775.6654528</v>
      </c>
      <c r="U201" s="1270">
        <v>44348</v>
      </c>
      <c r="V201" s="1271">
        <v>44439</v>
      </c>
      <c r="W201" s="1062"/>
      <c r="X201" s="1288"/>
      <c r="Y201" s="1288"/>
      <c r="Z201" s="1288"/>
      <c r="AA201" s="1288"/>
      <c r="AB201" s="1288" t="str">
        <f>+VLOOKUP(B201,'[6]SURABAYA ANTERAJA'!$C$7:$D$218,2,0)</f>
        <v>TRI WIDODO </v>
      </c>
    </row>
    <row r="202" ht="15.75" customHeight="1">
      <c r="A202" s="1027" t="s">
        <v>24</v>
      </c>
      <c r="B202" s="1257" t="s">
        <v>2108</v>
      </c>
      <c r="C202" s="1258" t="s">
        <v>2109</v>
      </c>
      <c r="D202" s="1027" t="s">
        <v>34</v>
      </c>
      <c r="E202" s="1027" t="s">
        <v>193</v>
      </c>
      <c r="F202" s="1027" t="s">
        <v>177</v>
      </c>
      <c r="G202" s="1045">
        <v>4300479</v>
      </c>
      <c r="H202" s="1045">
        <v>0</v>
      </c>
      <c r="I202" s="1225">
        <f t="shared" si="54"/>
        <v>210293.4231</v>
      </c>
      <c r="J202" s="1225">
        <f t="shared" si="55"/>
        <v>172019.16</v>
      </c>
      <c r="K202" s="1225">
        <f t="shared" si="56"/>
        <v>86009.58</v>
      </c>
      <c r="L202" s="1225">
        <v>15000</v>
      </c>
      <c r="M202" s="295">
        <f t="shared" si="52"/>
        <v>4783801.1631</v>
      </c>
      <c r="N202" s="1226">
        <f t="shared" si="57"/>
        <v>382704.093048</v>
      </c>
      <c r="O202" s="399">
        <f>+VLOOKUP(C202,[7]Summary!$C$8:$E$205,3,0)</f>
        <v>887500</v>
      </c>
      <c r="P202" s="1227"/>
      <c r="Q202" s="1227"/>
      <c r="R202" s="1235">
        <f t="shared" si="58"/>
        <v>6054005.256147999</v>
      </c>
      <c r="S202" s="1235">
        <f t="shared" si="59"/>
        <v>38270.4093048</v>
      </c>
      <c r="T202" s="1236">
        <f t="shared" si="60"/>
        <v>6092275.6654528</v>
      </c>
      <c r="U202" s="1270">
        <v>44348</v>
      </c>
      <c r="V202" s="1271">
        <v>44439</v>
      </c>
      <c r="W202" s="1062"/>
      <c r="X202" s="1288"/>
      <c r="Y202" s="1288"/>
      <c r="Z202" s="1288"/>
      <c r="AA202" s="1288"/>
      <c r="AB202" s="1288" t="str">
        <f>+VLOOKUP(B202,'[6]SURABAYA ANTERAJA'!$C$7:$D$218,2,0)</f>
        <v>TRI WISNU WIJAYANTO </v>
      </c>
    </row>
    <row r="203" ht="15.75" customHeight="1">
      <c r="A203" s="1027" t="s">
        <v>24</v>
      </c>
      <c r="B203" s="1257" t="s">
        <v>2110</v>
      </c>
      <c r="C203" s="1258" t="s">
        <v>2111</v>
      </c>
      <c r="D203" s="1027" t="s">
        <v>34</v>
      </c>
      <c r="E203" s="1027" t="s">
        <v>193</v>
      </c>
      <c r="F203" s="1027" t="s">
        <v>177</v>
      </c>
      <c r="G203" s="1045">
        <v>4300479</v>
      </c>
      <c r="H203" s="1045">
        <v>-344038.32</v>
      </c>
      <c r="I203" s="1225">
        <f t="shared" si="54"/>
        <v>210293.4231</v>
      </c>
      <c r="J203" s="1225">
        <f t="shared" si="55"/>
        <v>172019.16</v>
      </c>
      <c r="K203" s="1225">
        <f t="shared" si="56"/>
        <v>86009.58</v>
      </c>
      <c r="L203" s="1225">
        <v>15000</v>
      </c>
      <c r="M203" s="295">
        <f t="shared" si="52"/>
        <v>4439762.8431</v>
      </c>
      <c r="N203" s="1226">
        <f t="shared" si="57"/>
        <v>355181.027448</v>
      </c>
      <c r="O203" s="399">
        <f>+VLOOKUP(C203,[7]Summary!$C$8:$E$205,3,0)</f>
        <v>445000</v>
      </c>
      <c r="P203" s="1227"/>
      <c r="Q203" s="1227"/>
      <c r="R203" s="1235">
        <f t="shared" si="58"/>
        <v>5239943.870548001</v>
      </c>
      <c r="S203" s="1235">
        <f t="shared" si="59"/>
        <v>35518.1027448</v>
      </c>
      <c r="T203" s="1236">
        <f t="shared" si="60"/>
        <v>5275461.973292801</v>
      </c>
      <c r="U203" s="1270">
        <v>44378</v>
      </c>
      <c r="V203" s="1271">
        <v>44469</v>
      </c>
      <c r="W203" s="1062"/>
      <c r="X203" s="1288"/>
      <c r="Y203" s="1288"/>
      <c r="Z203" s="1293"/>
      <c r="AA203" s="1293"/>
      <c r="AB203" s="1288" t="str">
        <f>+VLOOKUP(B203,'[6]SURABAYA ANTERAJA'!$C$7:$D$218,2,0)</f>
        <v>UUN PRASTIANTORO</v>
      </c>
    </row>
    <row r="204" ht="15.75" customHeight="1">
      <c r="A204" s="1027" t="s">
        <v>24</v>
      </c>
      <c r="B204" s="1257" t="s">
        <v>2112</v>
      </c>
      <c r="C204" s="1260" t="s">
        <v>2113</v>
      </c>
      <c r="D204" s="1027" t="s">
        <v>34</v>
      </c>
      <c r="E204" s="1027" t="s">
        <v>193</v>
      </c>
      <c r="F204" s="1027" t="s">
        <v>177</v>
      </c>
      <c r="G204" s="1045">
        <v>4300479</v>
      </c>
      <c r="H204" s="1045">
        <v>0</v>
      </c>
      <c r="I204" s="1225">
        <f t="shared" si="54"/>
        <v>210293.4231</v>
      </c>
      <c r="J204" s="1225">
        <f t="shared" si="55"/>
        <v>172019.16</v>
      </c>
      <c r="K204" s="1225">
        <f t="shared" si="56"/>
        <v>86009.58</v>
      </c>
      <c r="L204" s="1225">
        <v>15000</v>
      </c>
      <c r="M204" s="295">
        <f t="shared" si="52"/>
        <v>4783801.1631</v>
      </c>
      <c r="N204" s="1226">
        <f t="shared" si="57"/>
        <v>382704.093048</v>
      </c>
      <c r="O204" s="399">
        <f>+VLOOKUP(C204,[7]Summary!$C$8:$E$205,3,0)</f>
        <v>762500</v>
      </c>
      <c r="P204" s="1227"/>
      <c r="Q204" s="1227"/>
      <c r="R204" s="1235">
        <f t="shared" si="58"/>
        <v>5929005.256147999</v>
      </c>
      <c r="S204" s="1235">
        <f t="shared" si="59"/>
        <v>38270.4093048</v>
      </c>
      <c r="T204" s="1236">
        <f t="shared" si="60"/>
        <v>5967275.6654528</v>
      </c>
      <c r="U204" s="1237">
        <v>44378</v>
      </c>
      <c r="V204" s="1291">
        <v>44469</v>
      </c>
      <c r="W204" s="1062"/>
      <c r="X204" s="1288"/>
      <c r="Y204" s="1288"/>
      <c r="Z204" s="1288"/>
      <c r="AA204" s="1288"/>
      <c r="AB204" s="1288" t="str">
        <f>+VLOOKUP(B204,'[6]SURABAYA ANTERAJA'!$C$7:$D$218,2,0)</f>
        <v>WAHYU BUDI SANTOSO</v>
      </c>
    </row>
    <row r="205" ht="15.75" customHeight="1">
      <c r="A205" s="1027" t="s">
        <v>24</v>
      </c>
      <c r="B205" s="1257" t="s">
        <v>2114</v>
      </c>
      <c r="C205" s="1258" t="s">
        <v>2115</v>
      </c>
      <c r="D205" s="1027" t="s">
        <v>34</v>
      </c>
      <c r="E205" s="1027" t="s">
        <v>193</v>
      </c>
      <c r="F205" s="1027" t="s">
        <v>177</v>
      </c>
      <c r="G205" s="1045">
        <v>4300479</v>
      </c>
      <c r="H205" s="1045">
        <v>-344038.32</v>
      </c>
      <c r="I205" s="1225">
        <f t="shared" si="54"/>
        <v>210293.4231</v>
      </c>
      <c r="J205" s="1225">
        <f t="shared" si="55"/>
        <v>172019.16</v>
      </c>
      <c r="K205" s="1225">
        <f t="shared" si="56"/>
        <v>86009.58</v>
      </c>
      <c r="L205" s="1225">
        <v>15000</v>
      </c>
      <c r="M205" s="295">
        <f t="shared" si="52"/>
        <v>4439762.8431</v>
      </c>
      <c r="N205" s="1226">
        <f t="shared" si="57"/>
        <v>355181.027448</v>
      </c>
      <c r="O205" s="399">
        <f>+VLOOKUP(C205,[7]Summary!$C$8:$E$205,3,0)</f>
        <v>275000</v>
      </c>
      <c r="P205" s="1227"/>
      <c r="Q205" s="1227"/>
      <c r="R205" s="1235">
        <f t="shared" si="58"/>
        <v>5069943.870548001</v>
      </c>
      <c r="S205" s="1235">
        <f t="shared" si="59"/>
        <v>35518.1027448</v>
      </c>
      <c r="T205" s="1236">
        <f t="shared" si="60"/>
        <v>5105461.973292801</v>
      </c>
      <c r="U205" s="1270">
        <v>44409</v>
      </c>
      <c r="V205" s="1271">
        <v>44439</v>
      </c>
      <c r="W205" s="1062"/>
      <c r="X205" s="1288"/>
      <c r="Y205" s="1288"/>
      <c r="Z205" s="1293"/>
      <c r="AA205" s="1293"/>
      <c r="AB205" s="1288" t="str">
        <f>+VLOOKUP(B205,'[6]SURABAYA ANTERAJA'!$C$7:$D$218,2,0)</f>
        <v>WAHYU HIDAYAT</v>
      </c>
    </row>
    <row r="206" ht="15.75" customHeight="1">
      <c r="A206" s="1027" t="s">
        <v>24</v>
      </c>
      <c r="B206" s="1257" t="s">
        <v>2116</v>
      </c>
      <c r="C206" s="1258" t="s">
        <v>2117</v>
      </c>
      <c r="D206" s="1027" t="s">
        <v>34</v>
      </c>
      <c r="E206" s="1027" t="s">
        <v>193</v>
      </c>
      <c r="F206" s="1027" t="s">
        <v>177</v>
      </c>
      <c r="G206" s="1045">
        <v>4300479</v>
      </c>
      <c r="H206" s="1045">
        <v>-344038.32</v>
      </c>
      <c r="I206" s="1225">
        <f t="shared" si="54"/>
        <v>210293.4231</v>
      </c>
      <c r="J206" s="1225">
        <f t="shared" si="55"/>
        <v>172019.16</v>
      </c>
      <c r="K206" s="1225">
        <f t="shared" si="56"/>
        <v>86009.58</v>
      </c>
      <c r="L206" s="1225">
        <v>15000</v>
      </c>
      <c r="M206" s="295">
        <f t="shared" si="52"/>
        <v>4439762.8431</v>
      </c>
      <c r="N206" s="1226">
        <f t="shared" si="57"/>
        <v>355181.027448</v>
      </c>
      <c r="O206" s="399">
        <f>+VLOOKUP(C206,[7]Summary!$C$8:$E$205,3,0)</f>
        <v>400000</v>
      </c>
      <c r="P206" s="1227"/>
      <c r="Q206" s="1227"/>
      <c r="R206" s="1235">
        <f t="shared" si="58"/>
        <v>5194943.870548001</v>
      </c>
      <c r="S206" s="1235">
        <f t="shared" si="59"/>
        <v>35518.1027448</v>
      </c>
      <c r="T206" s="1236">
        <f t="shared" si="60"/>
        <v>5230461.973292801</v>
      </c>
      <c r="U206" s="1270">
        <v>44378</v>
      </c>
      <c r="V206" s="1271">
        <v>44469</v>
      </c>
      <c r="W206" s="1062"/>
      <c r="X206" s="1288"/>
      <c r="Y206" s="1288"/>
      <c r="Z206" s="1293"/>
      <c r="AA206" s="1293"/>
      <c r="AB206" s="1288" t="str">
        <f>+VLOOKUP(B206,'[6]SURABAYA ANTERAJA'!$C$7:$D$218,2,0)</f>
        <v>WAHYU ROY RACHMAN</v>
      </c>
    </row>
    <row r="207" ht="15.75" customHeight="1">
      <c r="A207" s="1027" t="s">
        <v>24</v>
      </c>
      <c r="B207" s="1257" t="s">
        <v>2118</v>
      </c>
      <c r="C207" s="1258" t="s">
        <v>2119</v>
      </c>
      <c r="D207" s="1027" t="s">
        <v>34</v>
      </c>
      <c r="E207" s="1027" t="s">
        <v>193</v>
      </c>
      <c r="F207" s="1027" t="s">
        <v>177</v>
      </c>
      <c r="G207" s="1045">
        <v>4300479</v>
      </c>
      <c r="H207" s="1045">
        <v>0</v>
      </c>
      <c r="I207" s="1225">
        <f t="shared" si="54"/>
        <v>210293.4231</v>
      </c>
      <c r="J207" s="1225">
        <f t="shared" si="55"/>
        <v>172019.16</v>
      </c>
      <c r="K207" s="1225">
        <f t="shared" si="56"/>
        <v>86009.58</v>
      </c>
      <c r="L207" s="1225">
        <v>15000</v>
      </c>
      <c r="M207" s="295">
        <f t="shared" si="52"/>
        <v>4783801.1631</v>
      </c>
      <c r="N207" s="1226">
        <f t="shared" si="57"/>
        <v>382704.093048</v>
      </c>
      <c r="O207" s="399">
        <f>+VLOOKUP(C207,[7]Summary!$C$8:$E$205,3,0)</f>
        <v>545000</v>
      </c>
      <c r="P207" s="1227"/>
      <c r="Q207" s="1227"/>
      <c r="R207" s="1235">
        <f t="shared" si="58"/>
        <v>5711505.256147999</v>
      </c>
      <c r="S207" s="1235">
        <f t="shared" si="59"/>
        <v>38270.4093048</v>
      </c>
      <c r="T207" s="1236">
        <f t="shared" si="60"/>
        <v>5749775.6654528</v>
      </c>
      <c r="U207" s="1270">
        <v>44378</v>
      </c>
      <c r="V207" s="1271">
        <v>44469</v>
      </c>
      <c r="W207" s="1062"/>
      <c r="X207" s="1288"/>
      <c r="Y207" s="1288"/>
      <c r="Z207" s="1293"/>
      <c r="AA207" s="1293"/>
      <c r="AB207" s="1288" t="str">
        <f>+VLOOKUP(B207,'[6]SURABAYA ANTERAJA'!$C$7:$D$218,2,0)</f>
        <v>WIWIT SUGIANTO</v>
      </c>
    </row>
    <row r="208" ht="15.75" customHeight="1">
      <c r="A208" s="1027" t="s">
        <v>24</v>
      </c>
      <c r="B208" s="1257" t="s">
        <v>571</v>
      </c>
      <c r="C208" s="1258" t="s">
        <v>572</v>
      </c>
      <c r="D208" s="1027" t="s">
        <v>34</v>
      </c>
      <c r="E208" s="1027" t="s">
        <v>193</v>
      </c>
      <c r="F208" s="1027" t="s">
        <v>177</v>
      </c>
      <c r="G208" s="1045">
        <v>4300479</v>
      </c>
      <c r="H208" s="1045">
        <v>0</v>
      </c>
      <c r="I208" s="1225">
        <f t="shared" si="54"/>
        <v>210293.4231</v>
      </c>
      <c r="J208" s="1225">
        <f t="shared" si="55"/>
        <v>172019.16</v>
      </c>
      <c r="K208" s="1225">
        <f t="shared" si="56"/>
        <v>86009.58</v>
      </c>
      <c r="L208" s="1225">
        <v>15000</v>
      </c>
      <c r="M208" s="295">
        <f t="shared" si="52"/>
        <v>4783801.1631</v>
      </c>
      <c r="N208" s="1226">
        <f t="shared" si="57"/>
        <v>382704.093048</v>
      </c>
      <c r="O208" s="399">
        <v>557500</v>
      </c>
      <c r="P208" s="1227"/>
      <c r="Q208" s="1227"/>
      <c r="R208" s="1235">
        <f t="shared" si="58"/>
        <v>5724005.256148</v>
      </c>
      <c r="S208" s="1235">
        <f t="shared" si="59"/>
        <v>38270.4093048</v>
      </c>
      <c r="T208" s="1236">
        <f t="shared" si="60"/>
        <v>5762275.6654528</v>
      </c>
      <c r="U208" s="1270">
        <v>44378</v>
      </c>
      <c r="V208" s="1271">
        <v>44469</v>
      </c>
      <c r="W208" s="1062"/>
      <c r="X208" s="1288"/>
      <c r="Y208" s="1288"/>
      <c r="Z208" s="1293"/>
      <c r="AA208" s="1293"/>
      <c r="AB208" s="1288" t="str">
        <f>+VLOOKUP(B208,'[6]SURABAYA ANTERAJA'!$C$7:$D$218,2,0)</f>
        <v>YULIUS JOKO GEDEON</v>
      </c>
    </row>
    <row r="209" ht="15.75" customHeight="1">
      <c r="A209" s="1027" t="s">
        <v>24</v>
      </c>
      <c r="B209" s="228" t="s">
        <v>2120</v>
      </c>
      <c r="C209" s="1127" t="s">
        <v>2121</v>
      </c>
      <c r="D209" s="679" t="s">
        <v>34</v>
      </c>
      <c r="E209" s="679" t="s">
        <v>193</v>
      </c>
      <c r="F209" s="679" t="s">
        <v>177</v>
      </c>
      <c r="G209" s="395">
        <v>4300479</v>
      </c>
      <c r="H209" s="1259"/>
      <c r="I209" s="293">
        <f t="shared" si="54"/>
        <v>210293.4231</v>
      </c>
      <c r="J209" s="293">
        <f t="shared" si="55"/>
        <v>172019.16</v>
      </c>
      <c r="K209" s="293">
        <f t="shared" si="56"/>
        <v>86009.58</v>
      </c>
      <c r="L209" s="293">
        <v>15000</v>
      </c>
      <c r="M209" s="295">
        <f t="shared" si="52"/>
        <v>4783801.1631</v>
      </c>
      <c r="N209" s="296">
        <f t="shared" si="57"/>
        <v>382704.093048</v>
      </c>
      <c r="O209" s="399">
        <v>550000</v>
      </c>
      <c r="P209" s="447"/>
      <c r="Q209" s="447"/>
      <c r="R209" s="328">
        <f t="shared" si="58"/>
        <v>5716505.256148</v>
      </c>
      <c r="S209" s="328">
        <f t="shared" si="59"/>
        <v>38270.4093048</v>
      </c>
      <c r="T209" s="329">
        <f t="shared" si="60"/>
        <v>5754775.6654528</v>
      </c>
      <c r="U209" s="1272">
        <v>44378</v>
      </c>
      <c r="V209" s="155">
        <v>44469</v>
      </c>
      <c r="W209" s="1169"/>
      <c r="X209" s="1288"/>
      <c r="Y209" s="1288"/>
      <c r="Z209" s="1294"/>
      <c r="AA209" s="1294"/>
      <c r="AB209" s="1288" t="str">
        <f>+VLOOKUP(B209,'[6]SURABAYA ANTERAJA'!$C$7:$D$218,2,0)</f>
        <v>YUSA EKA MULIASIDI</v>
      </c>
    </row>
    <row r="210" ht="15.75" customHeight="1">
      <c r="A210" s="1027" t="s">
        <v>24</v>
      </c>
      <c r="B210" s="1257" t="s">
        <v>2122</v>
      </c>
      <c r="C210" s="1260" t="s">
        <v>2123</v>
      </c>
      <c r="D210" s="1027" t="s">
        <v>34</v>
      </c>
      <c r="E210" s="1027" t="s">
        <v>193</v>
      </c>
      <c r="F210" s="1027" t="s">
        <v>177</v>
      </c>
      <c r="G210" s="1045">
        <v>4300479</v>
      </c>
      <c r="H210" s="1045">
        <v>0</v>
      </c>
      <c r="I210" s="1225">
        <f t="shared" si="54"/>
        <v>210293.4231</v>
      </c>
      <c r="J210" s="1225">
        <f t="shared" si="55"/>
        <v>172019.16</v>
      </c>
      <c r="K210" s="1225">
        <f t="shared" si="56"/>
        <v>86009.58</v>
      </c>
      <c r="L210" s="1225">
        <v>15000</v>
      </c>
      <c r="M210" s="295">
        <f t="shared" si="52"/>
        <v>4783801.1631</v>
      </c>
      <c r="N210" s="1226">
        <f t="shared" si="57"/>
        <v>382704.093048</v>
      </c>
      <c r="O210" s="399">
        <f>+VLOOKUP(C210,[7]Summary!$C$8:$E$205,3,0)</f>
        <v>525000</v>
      </c>
      <c r="P210" s="1227"/>
      <c r="Q210" s="1227"/>
      <c r="R210" s="1235">
        <f t="shared" si="58"/>
        <v>5691505.256147999</v>
      </c>
      <c r="S210" s="1235">
        <f t="shared" si="59"/>
        <v>38270.4093048</v>
      </c>
      <c r="T210" s="1236">
        <f t="shared" si="60"/>
        <v>5729775.6654528</v>
      </c>
      <c r="U210" s="1237">
        <v>44378</v>
      </c>
      <c r="V210" s="1291">
        <v>44469</v>
      </c>
      <c r="W210" s="1062"/>
      <c r="X210" s="1288"/>
      <c r="Y210" s="1288"/>
      <c r="Z210" s="1304"/>
      <c r="AA210" s="1304"/>
      <c r="AB210" s="1288" t="str">
        <f>+VLOOKUP(B210,'[6]SURABAYA ANTERAJA'!$C$7:$D$218,2,0)</f>
        <v>YUSUF RSA LIFERE</v>
      </c>
    </row>
    <row r="211" ht="15.75" customHeight="1">
      <c r="A211" s="1027" t="s">
        <v>24</v>
      </c>
      <c r="B211" s="228" t="s">
        <v>2124</v>
      </c>
      <c r="C211" s="1127" t="s">
        <v>2125</v>
      </c>
      <c r="D211" s="679" t="s">
        <v>34</v>
      </c>
      <c r="E211" s="679" t="s">
        <v>193</v>
      </c>
      <c r="F211" s="679" t="s">
        <v>177</v>
      </c>
      <c r="G211" s="395">
        <v>4300479</v>
      </c>
      <c r="H211" s="1045">
        <v>0</v>
      </c>
      <c r="I211" s="293">
        <f t="shared" si="54"/>
        <v>210293.4231</v>
      </c>
      <c r="J211" s="293">
        <f t="shared" si="55"/>
        <v>172019.16</v>
      </c>
      <c r="K211" s="293">
        <f t="shared" si="56"/>
        <v>86009.58</v>
      </c>
      <c r="L211" s="293">
        <v>15000</v>
      </c>
      <c r="M211" s="295">
        <f t="shared" si="52"/>
        <v>4783801.1631</v>
      </c>
      <c r="N211" s="296">
        <f t="shared" si="57"/>
        <v>382704.093048</v>
      </c>
      <c r="O211" s="399">
        <f>+VLOOKUP(C211,[7]Summary!$C$8:$E$205,3,0)</f>
        <v>545000</v>
      </c>
      <c r="P211" s="447"/>
      <c r="Q211" s="447"/>
      <c r="R211" s="328">
        <f t="shared" si="58"/>
        <v>5711505.256147999</v>
      </c>
      <c r="S211" s="328">
        <f t="shared" si="59"/>
        <v>38270.4093048</v>
      </c>
      <c r="T211" s="329">
        <f t="shared" si="60"/>
        <v>5749775.6654528</v>
      </c>
      <c r="U211" s="1272">
        <v>44378</v>
      </c>
      <c r="V211" s="155">
        <v>44469</v>
      </c>
      <c r="W211" s="1169"/>
      <c r="X211" s="1288"/>
      <c r="Y211" s="1288"/>
      <c r="Z211" s="1294"/>
      <c r="AA211" s="1294"/>
      <c r="AB211" s="1288" t="str">
        <f>+VLOOKUP(B211,'[6]SURABAYA ANTERAJA'!$C$7:$D$218,2,0)</f>
        <v>ZEZAR PRIHANTORO</v>
      </c>
    </row>
    <row r="212" ht="15.75" customHeight="1">
      <c r="A212" s="1027" t="s">
        <v>24</v>
      </c>
      <c r="B212" s="1257" t="s">
        <v>2126</v>
      </c>
      <c r="C212" s="1258" t="s">
        <v>2127</v>
      </c>
      <c r="D212" s="1027" t="s">
        <v>34</v>
      </c>
      <c r="E212" s="1027" t="s">
        <v>193</v>
      </c>
      <c r="F212" s="1027" t="s">
        <v>177</v>
      </c>
      <c r="G212" s="1045">
        <v>4300479</v>
      </c>
      <c r="H212" s="1045">
        <v>0</v>
      </c>
      <c r="I212" s="1225">
        <f t="shared" si="54"/>
        <v>210293.4231</v>
      </c>
      <c r="J212" s="1225">
        <f t="shared" si="55"/>
        <v>172019.16</v>
      </c>
      <c r="K212" s="1225">
        <f t="shared" si="56"/>
        <v>86009.58</v>
      </c>
      <c r="L212" s="1225">
        <v>15000</v>
      </c>
      <c r="M212" s="295">
        <f t="shared" si="52"/>
        <v>4783801.1631</v>
      </c>
      <c r="N212" s="1226">
        <f t="shared" si="57"/>
        <v>382704.093048</v>
      </c>
      <c r="O212" s="399">
        <f>+VLOOKUP(C212,[7]Summary!$C$8:$E$205,3,0)</f>
        <v>1092500</v>
      </c>
      <c r="P212" s="1227"/>
      <c r="Q212" s="1227"/>
      <c r="R212" s="1235">
        <f t="shared" si="58"/>
        <v>6259005.256147999</v>
      </c>
      <c r="S212" s="1235">
        <f t="shared" si="59"/>
        <v>38270.4093048</v>
      </c>
      <c r="T212" s="1236">
        <f t="shared" si="60"/>
        <v>6297275.6654528</v>
      </c>
      <c r="U212" s="1270">
        <v>44378</v>
      </c>
      <c r="V212" s="1271">
        <v>44469</v>
      </c>
      <c r="W212" s="1062"/>
      <c r="X212" s="1288"/>
      <c r="Y212" s="1288"/>
      <c r="Z212" s="1288"/>
      <c r="AA212" s="1288"/>
      <c r="AB212" s="1288" t="str">
        <f>+VLOOKUP(B212,'[6]SURABAYA ANTERAJA'!$C$7:$D$218,2,0)</f>
        <v>ZULFADRI </v>
      </c>
    </row>
    <row r="213" ht="15.75" customHeight="1">
      <c r="A213" s="1027" t="s">
        <v>24</v>
      </c>
      <c r="B213" s="624" t="s">
        <v>2128</v>
      </c>
      <c r="C213" s="1296" t="s">
        <v>2129</v>
      </c>
      <c r="D213" s="1036" t="s">
        <v>34</v>
      </c>
      <c r="E213" s="1036" t="s">
        <v>193</v>
      </c>
      <c r="F213" s="1036" t="s">
        <v>177</v>
      </c>
      <c r="G213" s="649">
        <v>4300479</v>
      </c>
      <c r="H213" s="1045"/>
      <c r="I213" s="650">
        <f>+$I$4*4.89%</f>
        <v>210293.4231</v>
      </c>
      <c r="J213" s="650">
        <f>+$I$4*4%</f>
        <v>172019.16</v>
      </c>
      <c r="K213" s="650">
        <f>+$I$4*2%</f>
        <v>86009.58</v>
      </c>
      <c r="L213" s="650">
        <v>15000</v>
      </c>
      <c r="M213" s="308">
        <f t="shared" si="52"/>
        <v>4783801.1631</v>
      </c>
      <c r="N213" s="651">
        <f ref="N213:N215" t="shared" si="64">+M213*8%</f>
        <v>382704.093048</v>
      </c>
      <c r="O213" s="1194">
        <v>120000</v>
      </c>
      <c r="P213" s="1194"/>
      <c r="Q213" s="1194"/>
      <c r="R213" s="910">
        <f ref="R213:R215" t="shared" si="65">SUM(M213:Q213)</f>
        <v>5286505.256148</v>
      </c>
      <c r="S213" s="910">
        <f ref="S213:S215" t="shared" si="66">N213*0.1</f>
        <v>38270.4093048</v>
      </c>
      <c r="T213" s="911">
        <f ref="T213:T215" t="shared" si="67">R213+S213</f>
        <v>5324775.6654528</v>
      </c>
      <c r="U213" s="1298">
        <v>44393</v>
      </c>
      <c r="V213" s="1299">
        <v>44469</v>
      </c>
      <c r="W213" s="1300" t="s">
        <v>1720</v>
      </c>
      <c r="X213" s="1277"/>
      <c r="Y213" s="1277"/>
      <c r="Z213" s="1277"/>
      <c r="AA213" s="1277"/>
      <c r="AB213" s="1288" t="str">
        <f>+VLOOKUP(B213,'[6]SURABAYA ANTERAJA'!$C$7:$D$218,2,0)</f>
        <v>CATUR SEBASTIAN</v>
      </c>
    </row>
    <row r="214" ht="15.75" customHeight="1">
      <c r="A214" s="1027" t="s">
        <v>24</v>
      </c>
      <c r="B214" s="624" t="s">
        <v>2130</v>
      </c>
      <c r="C214" s="1296" t="s">
        <v>2131</v>
      </c>
      <c r="D214" s="1036" t="s">
        <v>34</v>
      </c>
      <c r="E214" s="1036" t="s">
        <v>193</v>
      </c>
      <c r="F214" s="1036" t="s">
        <v>177</v>
      </c>
      <c r="G214" s="649">
        <f>4300479/31*23</f>
        <v>3190677.96774194</v>
      </c>
      <c r="H214" s="1045"/>
      <c r="I214" s="650">
        <f ref="I214:I222" t="shared" si="68">+$I$4*4.89%</f>
        <v>210293.4231</v>
      </c>
      <c r="J214" s="650">
        <f ref="J214:J222" t="shared" si="69">+$I$4*4%</f>
        <v>172019.16</v>
      </c>
      <c r="K214" s="650">
        <f ref="K214:K222" t="shared" si="70">+$I$4*2%</f>
        <v>86009.58</v>
      </c>
      <c r="L214" s="650">
        <v>15000</v>
      </c>
      <c r="M214" s="308">
        <f t="shared" si="52"/>
        <v>3674000.13084194</v>
      </c>
      <c r="N214" s="651">
        <f t="shared" si="64"/>
        <v>293920.010467355</v>
      </c>
      <c r="O214" s="1194">
        <v>170000</v>
      </c>
      <c r="P214" s="1194"/>
      <c r="Q214" s="1194"/>
      <c r="R214" s="910">
        <f t="shared" si="65"/>
        <v>4137920.14130929</v>
      </c>
      <c r="S214" s="910">
        <f t="shared" si="66"/>
        <v>29392.0010467355</v>
      </c>
      <c r="T214" s="911">
        <f t="shared" si="67"/>
        <v>4167312.14235603</v>
      </c>
      <c r="U214" s="1298">
        <v>44401</v>
      </c>
      <c r="V214" s="1299">
        <v>44500</v>
      </c>
      <c r="W214" s="1300" t="s">
        <v>1720</v>
      </c>
      <c r="X214" s="1277"/>
      <c r="Y214" s="1277"/>
      <c r="Z214" s="1277"/>
      <c r="AA214" s="1277"/>
      <c r="AB214" s="1288" t="str">
        <f>+VLOOKUP(B214,'[6]SURABAYA ANTERAJA'!$C$7:$D$218,2,0)</f>
        <v>FARHAN DHIKA HAMAZ YONANDA</v>
      </c>
    </row>
    <row r="215" ht="15.75" customHeight="1">
      <c r="A215" s="1027" t="s">
        <v>24</v>
      </c>
      <c r="B215" s="624" t="s">
        <v>2132</v>
      </c>
      <c r="C215" s="1296" t="s">
        <v>432</v>
      </c>
      <c r="D215" s="1036" t="s">
        <v>34</v>
      </c>
      <c r="E215" s="1036" t="s">
        <v>193</v>
      </c>
      <c r="F215" s="1036" t="s">
        <v>177</v>
      </c>
      <c r="G215" s="649">
        <f>4300479/31*21</f>
        <v>2913227.70967742</v>
      </c>
      <c r="H215" s="1045"/>
      <c r="I215" s="650">
        <f t="shared" si="68"/>
        <v>210293.4231</v>
      </c>
      <c r="J215" s="650">
        <f t="shared" si="69"/>
        <v>172019.16</v>
      </c>
      <c r="K215" s="650">
        <f t="shared" si="70"/>
        <v>86009.58</v>
      </c>
      <c r="L215" s="650">
        <v>15000</v>
      </c>
      <c r="M215" s="308">
        <f t="shared" si="52"/>
        <v>3396549.87277742</v>
      </c>
      <c r="N215" s="651">
        <f t="shared" si="64"/>
        <v>271723.989822194</v>
      </c>
      <c r="O215" s="1194">
        <v>165000</v>
      </c>
      <c r="P215" s="1194"/>
      <c r="Q215" s="1194"/>
      <c r="R215" s="910">
        <f t="shared" si="65"/>
        <v>3833273.86259961</v>
      </c>
      <c r="S215" s="910">
        <f t="shared" si="66"/>
        <v>27172.3989822194</v>
      </c>
      <c r="T215" s="911">
        <f t="shared" si="67"/>
        <v>3860446.26158183</v>
      </c>
      <c r="U215" s="1298">
        <v>44399</v>
      </c>
      <c r="V215" s="1299">
        <v>44500</v>
      </c>
      <c r="W215" s="1300" t="s">
        <v>1720</v>
      </c>
      <c r="X215" s="1277"/>
      <c r="Y215" s="1277"/>
      <c r="Z215" s="1277"/>
      <c r="AA215" s="1277"/>
      <c r="AB215" s="1288" t="str">
        <f>+VLOOKUP(B215,'[6]SURABAYA ANTERAJA'!$C$7:$D$218,2,0)</f>
        <v>SUNARDI</v>
      </c>
    </row>
    <row r="216" ht="15.75" customHeight="1">
      <c r="A216" s="1027" t="s">
        <v>24</v>
      </c>
      <c r="B216" s="624">
        <v>2809</v>
      </c>
      <c r="C216" s="1296" t="s">
        <v>850</v>
      </c>
      <c r="D216" s="1036" t="s">
        <v>34</v>
      </c>
      <c r="E216" s="1036" t="s">
        <v>193</v>
      </c>
      <c r="F216" s="1036" t="s">
        <v>177</v>
      </c>
      <c r="G216" s="649">
        <f>4300479/31*10</f>
        <v>1387251.29032258</v>
      </c>
      <c r="H216" s="1045"/>
      <c r="I216" s="650">
        <f t="shared" si="68"/>
        <v>210293.4231</v>
      </c>
      <c r="J216" s="650">
        <f t="shared" si="69"/>
        <v>172019.16</v>
      </c>
      <c r="K216" s="650">
        <f t="shared" si="70"/>
        <v>86009.58</v>
      </c>
      <c r="L216" s="650">
        <v>15000</v>
      </c>
      <c r="M216" s="308">
        <f t="shared" si="52"/>
        <v>1870573.45342258</v>
      </c>
      <c r="N216" s="651">
        <f>+M216*8%</f>
        <v>149645.876273806</v>
      </c>
      <c r="O216" s="1194"/>
      <c r="P216" s="1194"/>
      <c r="Q216" s="1194"/>
      <c r="R216" s="910">
        <f>SUM(M216:Q216)</f>
        <v>2020219.32969639</v>
      </c>
      <c r="S216" s="910">
        <f>N216*0.1</f>
        <v>14964.5876273806</v>
      </c>
      <c r="T216" s="911">
        <f>R216+S216</f>
        <v>2035183.91732377</v>
      </c>
      <c r="U216" s="1298">
        <v>44414</v>
      </c>
      <c r="V216" s="1299">
        <v>44500</v>
      </c>
      <c r="W216" s="1300" t="s">
        <v>1720</v>
      </c>
      <c r="X216" s="1277"/>
      <c r="Y216" s="1277"/>
      <c r="Z216" s="1277"/>
      <c r="AA216" s="1277"/>
      <c r="AB216" s="1288" t="str">
        <f>+VLOOKUP(B216,'[6]SURABAYA ANTERAJA'!$C$7:$D$218,2,0)</f>
        <v>CAHYO FEBRI WIBOWO</v>
      </c>
    </row>
    <row r="217" ht="15.75" customHeight="1">
      <c r="A217" s="1027" t="s">
        <v>24</v>
      </c>
      <c r="B217" s="624" t="s">
        <v>2133</v>
      </c>
      <c r="C217" s="1296" t="s">
        <v>2134</v>
      </c>
      <c r="D217" s="1036" t="s">
        <v>34</v>
      </c>
      <c r="E217" s="1036" t="s">
        <v>193</v>
      </c>
      <c r="F217" s="1036" t="s">
        <v>177</v>
      </c>
      <c r="G217" s="649">
        <v>4300479</v>
      </c>
      <c r="H217" s="1045"/>
      <c r="I217" s="650">
        <f t="shared" si="68"/>
        <v>210293.4231</v>
      </c>
      <c r="J217" s="650">
        <f t="shared" si="69"/>
        <v>172019.16</v>
      </c>
      <c r="K217" s="650">
        <f t="shared" si="70"/>
        <v>86009.58</v>
      </c>
      <c r="L217" s="650">
        <v>15000</v>
      </c>
      <c r="M217" s="308">
        <f ref="M217:M224" t="shared" si="75">SUM(G217:L217)</f>
        <v>4783801.1631</v>
      </c>
      <c r="N217" s="651">
        <f ref="N217:N224" t="shared" si="76">+M217*8%</f>
        <v>382704.093048</v>
      </c>
      <c r="O217" s="1194">
        <v>130000</v>
      </c>
      <c r="P217" s="1194"/>
      <c r="Q217" s="1194"/>
      <c r="R217" s="910">
        <f ref="R217:R224" t="shared" si="77">SUM(M217:Q217)</f>
        <v>5296505.256148</v>
      </c>
      <c r="S217" s="910">
        <f ref="S217:S224" t="shared" si="78">N217*0.1</f>
        <v>38270.4093048</v>
      </c>
      <c r="T217" s="911">
        <f ref="T217:T224" t="shared" si="79">R217+S217</f>
        <v>5334775.6654528</v>
      </c>
      <c r="U217" s="1298">
        <v>44393</v>
      </c>
      <c r="V217" s="1299">
        <v>44469</v>
      </c>
      <c r="W217" s="1300" t="s">
        <v>1720</v>
      </c>
      <c r="X217" s="1277"/>
      <c r="Y217" s="1277"/>
      <c r="Z217" s="1277"/>
      <c r="AA217" s="1277"/>
      <c r="AB217" s="1288" t="str">
        <f>+VLOOKUP(B217,'[6]SURABAYA ANTERAJA'!$C$7:$D$218,2,0)</f>
        <v>SUPENDIK</v>
      </c>
    </row>
    <row r="218" ht="15.75" customHeight="1">
      <c r="A218" s="1027" t="s">
        <v>24</v>
      </c>
      <c r="B218" s="624" t="s">
        <v>2135</v>
      </c>
      <c r="C218" s="1296" t="s">
        <v>2136</v>
      </c>
      <c r="D218" s="1036" t="s">
        <v>34</v>
      </c>
      <c r="E218" s="1036" t="s">
        <v>193</v>
      </c>
      <c r="F218" s="1036" t="s">
        <v>177</v>
      </c>
      <c r="G218" s="649">
        <v>4300479</v>
      </c>
      <c r="H218" s="1045"/>
      <c r="I218" s="650">
        <f t="shared" si="68"/>
        <v>210293.4231</v>
      </c>
      <c r="J218" s="650">
        <f t="shared" si="69"/>
        <v>172019.16</v>
      </c>
      <c r="K218" s="650">
        <f t="shared" si="70"/>
        <v>86009.58</v>
      </c>
      <c r="L218" s="650">
        <v>15000</v>
      </c>
      <c r="M218" s="308">
        <f t="shared" si="75"/>
        <v>4783801.1631</v>
      </c>
      <c r="N218" s="651">
        <f t="shared" si="76"/>
        <v>382704.093048</v>
      </c>
      <c r="O218" s="1194">
        <v>250000</v>
      </c>
      <c r="P218" s="1194"/>
      <c r="Q218" s="1194"/>
      <c r="R218" s="910">
        <f t="shared" si="77"/>
        <v>5416505.256148</v>
      </c>
      <c r="S218" s="910">
        <f t="shared" si="78"/>
        <v>38270.4093048</v>
      </c>
      <c r="T218" s="911">
        <f t="shared" si="79"/>
        <v>5454775.6654528</v>
      </c>
      <c r="U218" s="1298">
        <v>44393</v>
      </c>
      <c r="V218" s="1299">
        <v>44469</v>
      </c>
      <c r="W218" s="1300" t="s">
        <v>1720</v>
      </c>
      <c r="X218" s="1277"/>
      <c r="Y218" s="1277"/>
      <c r="Z218" s="1277"/>
      <c r="AA218" s="1277"/>
      <c r="AB218" s="1288" t="str">
        <f>+VLOOKUP(B218,'[6]SURABAYA ANTERAJA'!$C$7:$D$218,2,0)</f>
        <v>HENDRIX ANDOKO </v>
      </c>
    </row>
    <row r="219" ht="15.75" customHeight="1">
      <c r="A219" s="1027" t="s">
        <v>24</v>
      </c>
      <c r="B219" s="624" t="s">
        <v>2137</v>
      </c>
      <c r="C219" s="1296" t="s">
        <v>2138</v>
      </c>
      <c r="D219" s="1036" t="s">
        <v>34</v>
      </c>
      <c r="E219" s="1036" t="s">
        <v>193</v>
      </c>
      <c r="F219" s="1036" t="s">
        <v>177</v>
      </c>
      <c r="G219" s="649">
        <v>4300479</v>
      </c>
      <c r="H219" s="1045"/>
      <c r="I219" s="650">
        <f t="shared" si="68"/>
        <v>210293.4231</v>
      </c>
      <c r="J219" s="650">
        <f t="shared" si="69"/>
        <v>172019.16</v>
      </c>
      <c r="K219" s="650">
        <f t="shared" si="70"/>
        <v>86009.58</v>
      </c>
      <c r="L219" s="650">
        <v>15000</v>
      </c>
      <c r="M219" s="308">
        <f t="shared" si="75"/>
        <v>4783801.1631</v>
      </c>
      <c r="N219" s="651">
        <f t="shared" si="76"/>
        <v>382704.093048</v>
      </c>
      <c r="O219" s="1194">
        <v>175000</v>
      </c>
      <c r="P219" s="1194"/>
      <c r="Q219" s="1194"/>
      <c r="R219" s="910">
        <f t="shared" si="77"/>
        <v>5341505.256148</v>
      </c>
      <c r="S219" s="910">
        <f t="shared" si="78"/>
        <v>38270.4093048</v>
      </c>
      <c r="T219" s="911">
        <f t="shared" si="79"/>
        <v>5379775.6654528</v>
      </c>
      <c r="U219" s="1298">
        <v>44393</v>
      </c>
      <c r="V219" s="1299">
        <v>44469</v>
      </c>
      <c r="W219" s="1300" t="s">
        <v>1720</v>
      </c>
      <c r="X219" s="1277"/>
      <c r="Y219" s="1277"/>
      <c r="Z219" s="1277"/>
      <c r="AA219" s="1277"/>
      <c r="AB219" s="1288" t="str">
        <f>+VLOOKUP(B219,'[6]SURABAYA ANTERAJA'!$C$7:$D$218,2,0)</f>
        <v>MISBAHUDDIN</v>
      </c>
    </row>
    <row r="220" ht="15.75" customHeight="1">
      <c r="A220" s="1027" t="s">
        <v>24</v>
      </c>
      <c r="B220" s="624">
        <v>2875</v>
      </c>
      <c r="C220" s="1296" t="s">
        <v>2139</v>
      </c>
      <c r="D220" s="1036" t="s">
        <v>34</v>
      </c>
      <c r="E220" s="1036" t="s">
        <v>193</v>
      </c>
      <c r="F220" s="1036" t="s">
        <v>177</v>
      </c>
      <c r="G220" s="649">
        <f>4300479/31*1</f>
        <v>138725.129032258</v>
      </c>
      <c r="H220" s="1045"/>
      <c r="I220" s="650">
        <f t="shared" si="68"/>
        <v>210293.4231</v>
      </c>
      <c r="J220" s="650">
        <f t="shared" si="69"/>
        <v>172019.16</v>
      </c>
      <c r="K220" s="650">
        <f t="shared" si="70"/>
        <v>86009.58</v>
      </c>
      <c r="L220" s="650">
        <v>15000</v>
      </c>
      <c r="M220" s="308">
        <f t="shared" si="75"/>
        <v>622047.292132258</v>
      </c>
      <c r="N220" s="651">
        <f t="shared" si="76"/>
        <v>49763.7833705806</v>
      </c>
      <c r="O220" s="1194">
        <v>175000</v>
      </c>
      <c r="P220" s="1194"/>
      <c r="Q220" s="1194"/>
      <c r="R220" s="910">
        <f t="shared" si="77"/>
        <v>846811.075502839</v>
      </c>
      <c r="S220" s="910">
        <f t="shared" si="78"/>
        <v>4976.37833705806</v>
      </c>
      <c r="T220" s="911">
        <f t="shared" si="79"/>
        <v>851787.453839897</v>
      </c>
      <c r="U220" s="1298">
        <v>44423</v>
      </c>
      <c r="V220" s="1299">
        <v>44500</v>
      </c>
      <c r="W220" s="1300" t="s">
        <v>1720</v>
      </c>
      <c r="X220" s="1277"/>
      <c r="Y220" s="1277"/>
      <c r="Z220" s="1277"/>
      <c r="AA220" s="1277"/>
      <c r="AB220" s="1288" t="str">
        <f>+VLOOKUP(B220,'[6]SURABAYA ANTERAJA'!$C$7:$D$218,2,0)</f>
        <v>ANDRIAN SUAWA</v>
      </c>
    </row>
    <row r="221" ht="15.75" customHeight="1">
      <c r="A221" s="1027" t="s">
        <v>30</v>
      </c>
      <c r="B221" s="1887"/>
      <c r="C221" s="1296" t="s">
        <v>2140</v>
      </c>
      <c r="D221" s="1036" t="s">
        <v>34</v>
      </c>
      <c r="E221" s="1036" t="s">
        <v>193</v>
      </c>
      <c r="F221" s="1036" t="s">
        <v>177</v>
      </c>
      <c r="G221" s="649">
        <f>4300479/31*23</f>
        <v>3190677.96774194</v>
      </c>
      <c r="H221" s="1045"/>
      <c r="I221" s="650">
        <f t="shared" si="68"/>
        <v>210293.4231</v>
      </c>
      <c r="J221" s="650">
        <f t="shared" si="69"/>
        <v>172019.16</v>
      </c>
      <c r="K221" s="650">
        <f t="shared" si="70"/>
        <v>86009.58</v>
      </c>
      <c r="L221" s="650">
        <v>15000</v>
      </c>
      <c r="M221" s="308">
        <f t="shared" si="75"/>
        <v>3674000.13084194</v>
      </c>
      <c r="N221" s="651">
        <f t="shared" si="76"/>
        <v>293920.010467355</v>
      </c>
      <c r="O221" s="1194">
        <v>175000</v>
      </c>
      <c r="P221" s="1194"/>
      <c r="Q221" s="1194"/>
      <c r="R221" s="910">
        <f t="shared" si="77"/>
        <v>4142920.14130929</v>
      </c>
      <c r="S221" s="910">
        <f t="shared" si="78"/>
        <v>29392.0010467355</v>
      </c>
      <c r="T221" s="911">
        <f t="shared" si="79"/>
        <v>4172312.14235603</v>
      </c>
      <c r="U221" s="1298">
        <v>44415</v>
      </c>
      <c r="V221" s="1299"/>
      <c r="W221" s="1300" t="s">
        <v>1720</v>
      </c>
      <c r="X221" s="1277"/>
      <c r="Y221" s="1277"/>
      <c r="Z221" s="1277"/>
      <c r="AA221" s="1277"/>
      <c r="AB221" s="1288" t="e">
        <f>+VLOOKUP(B221,'[6]SURABAYA ANTERAJA'!$C$7:$D$218,2,0)</f>
        <v>#N/A</v>
      </c>
    </row>
    <row r="222" ht="15.75" customHeight="1">
      <c r="A222" s="1027" t="s">
        <v>31</v>
      </c>
      <c r="B222" s="1888" t="s">
        <v>2141</v>
      </c>
      <c r="C222" s="1187" t="s">
        <v>2142</v>
      </c>
      <c r="D222" s="1185" t="s">
        <v>34</v>
      </c>
      <c r="E222" s="1185" t="s">
        <v>193</v>
      </c>
      <c r="F222" s="1185" t="s">
        <v>177</v>
      </c>
      <c r="G222" s="1186">
        <v>4300479</v>
      </c>
      <c r="H222" s="1045"/>
      <c r="I222" s="1190">
        <f t="shared" si="68"/>
        <v>210293.4231</v>
      </c>
      <c r="J222" s="1190">
        <f t="shared" si="69"/>
        <v>172019.16</v>
      </c>
      <c r="K222" s="1190">
        <f t="shared" si="70"/>
        <v>86009.58</v>
      </c>
      <c r="L222" s="1190">
        <v>15000</v>
      </c>
      <c r="M222" s="289">
        <f t="shared" si="75"/>
        <v>4783801.1631</v>
      </c>
      <c r="N222" s="1204">
        <f t="shared" si="76"/>
        <v>382704.093048</v>
      </c>
      <c r="O222" s="1197">
        <v>25000</v>
      </c>
      <c r="P222" s="1197"/>
      <c r="Q222" s="1197"/>
      <c r="R222" s="1198">
        <f t="shared" si="77"/>
        <v>5191505.256148</v>
      </c>
      <c r="S222" s="1198">
        <f t="shared" si="78"/>
        <v>38270.4093048</v>
      </c>
      <c r="T222" s="1199">
        <f t="shared" si="79"/>
        <v>5229775.6654528</v>
      </c>
      <c r="U222" s="1301">
        <v>44392</v>
      </c>
      <c r="V222" s="1302">
        <v>44416</v>
      </c>
      <c r="W222" s="1279" t="s">
        <v>2143</v>
      </c>
      <c r="X222" s="1203"/>
      <c r="Y222" s="1203"/>
      <c r="Z222" s="1203"/>
      <c r="AA222" s="1203"/>
      <c r="AB222" s="1203" t="e">
        <f>+VLOOKUP(B222,'[6]SURABAYA ANTERAJA'!$C$7:$D$218,2,0)</f>
        <v>#N/A</v>
      </c>
    </row>
    <row r="223" ht="15.75" customHeight="1">
      <c r="A223" s="1027" t="s">
        <v>31</v>
      </c>
      <c r="B223" s="1889" t="s">
        <v>2144</v>
      </c>
      <c r="C223" s="1297" t="s">
        <v>2145</v>
      </c>
      <c r="D223" s="1251" t="s">
        <v>34</v>
      </c>
      <c r="E223" s="592" t="s">
        <v>193</v>
      </c>
      <c r="F223" s="592" t="s">
        <v>177</v>
      </c>
      <c r="G223" s="409">
        <f>4300479/31*11</f>
        <v>1525976.41935484</v>
      </c>
      <c r="H223" s="1045"/>
      <c r="I223" s="287"/>
      <c r="J223" s="287"/>
      <c r="K223" s="287"/>
      <c r="L223" s="287"/>
      <c r="M223" s="295">
        <f t="shared" si="75"/>
        <v>1525976.41935484</v>
      </c>
      <c r="N223" s="290">
        <f t="shared" si="76"/>
        <v>122078.113548387</v>
      </c>
      <c r="O223" s="1197"/>
      <c r="P223" s="292"/>
      <c r="Q223" s="292"/>
      <c r="R223" s="323">
        <f t="shared" si="77"/>
        <v>1648054.53290323</v>
      </c>
      <c r="S223" s="323">
        <f t="shared" si="78"/>
        <v>12207.8113548387</v>
      </c>
      <c r="T223" s="324">
        <f t="shared" si="79"/>
        <v>1660262.34425806</v>
      </c>
      <c r="U223" s="1278">
        <v>44393</v>
      </c>
      <c r="V223" s="325">
        <v>44404</v>
      </c>
      <c r="W223" s="1279" t="s">
        <v>2146</v>
      </c>
      <c r="X223" s="1203"/>
      <c r="Y223" s="1203"/>
      <c r="AB223" s="1288" t="e">
        <f>+VLOOKUP(B223,'[6]SURABAYA ANTERAJA'!$C$7:$D$218,2,0)</f>
        <v>#N/A</v>
      </c>
    </row>
    <row r="224" ht="15.75" customHeight="1">
      <c r="A224" s="1027" t="s">
        <v>31</v>
      </c>
      <c r="B224" s="1889" t="s">
        <v>2147</v>
      </c>
      <c r="C224" s="1297" t="s">
        <v>647</v>
      </c>
      <c r="D224" s="1251" t="s">
        <v>34</v>
      </c>
      <c r="E224" s="592" t="s">
        <v>193</v>
      </c>
      <c r="F224" s="592" t="s">
        <v>177</v>
      </c>
      <c r="G224" s="409">
        <f>4300479/31*3</f>
        <v>416175.387096774</v>
      </c>
      <c r="H224" s="1045"/>
      <c r="I224" s="287"/>
      <c r="J224" s="287"/>
      <c r="K224" s="287"/>
      <c r="L224" s="287"/>
      <c r="M224" s="295">
        <f t="shared" si="75"/>
        <v>416175.387096774</v>
      </c>
      <c r="N224" s="290">
        <f t="shared" si="76"/>
        <v>33294.0309677419</v>
      </c>
      <c r="O224" s="1197">
        <v>300000</v>
      </c>
      <c r="P224" s="292"/>
      <c r="Q224" s="292"/>
      <c r="R224" s="323">
        <f t="shared" si="77"/>
        <v>749469.418064516</v>
      </c>
      <c r="S224" s="323">
        <f t="shared" si="78"/>
        <v>3329.40309677419</v>
      </c>
      <c r="T224" s="324">
        <f t="shared" si="79"/>
        <v>752798.82116129</v>
      </c>
      <c r="U224" s="1278">
        <v>44378</v>
      </c>
      <c r="V224" s="325">
        <v>44396</v>
      </c>
      <c r="W224" s="1279" t="s">
        <v>2143</v>
      </c>
      <c r="X224" s="1203"/>
      <c r="Y224" s="1203"/>
      <c r="AB224" s="1288" t="e">
        <f>+VLOOKUP(B224,'[6]SURABAYA ANTERAJA'!$C$7:$D$218,2,0)</f>
        <v>#N/A</v>
      </c>
    </row>
    <row r="225" ht="12" customHeight="1">
      <c r="A225" s="1748" t="s">
        <v>30</v>
      </c>
      <c r="B225" s="1885"/>
      <c r="C225" s="1748"/>
      <c r="D225" s="1748"/>
      <c r="E225" s="1748"/>
      <c r="F225" s="1748"/>
      <c r="G225" s="386">
        <f ref="G225:T225" t="shared" si="82">SUM(G24:G224)</f>
        <v>844836035.806452</v>
      </c>
      <c r="H225" s="386">
        <f t="shared" si="82"/>
        <v>-21158356.68</v>
      </c>
      <c r="I225" s="386">
        <f t="shared" si="82"/>
        <v>41638097.7738</v>
      </c>
      <c r="J225" s="386">
        <f t="shared" si="82"/>
        <v>34059793.68</v>
      </c>
      <c r="K225" s="386">
        <f t="shared" si="82"/>
        <v>17029896.84</v>
      </c>
      <c r="L225" s="386">
        <f t="shared" si="82"/>
        <v>2970000</v>
      </c>
      <c r="M225" s="386">
        <f t="shared" si="82"/>
        <v>919375467.420252</v>
      </c>
      <c r="N225" s="386">
        <f t="shared" si="82"/>
        <v>73550037.3936201</v>
      </c>
      <c r="O225" s="386">
        <f t="shared" si="82"/>
        <v>114620000</v>
      </c>
      <c r="P225" s="386">
        <f t="shared" si="82"/>
        <v>0</v>
      </c>
      <c r="Q225" s="386">
        <f t="shared" si="82"/>
        <v>0</v>
      </c>
      <c r="R225" s="386">
        <f t="shared" si="82"/>
        <v>1107545504.8138719</v>
      </c>
      <c r="S225" s="386">
        <f t="shared" si="82"/>
        <v>7355003.73936204</v>
      </c>
      <c r="T225" s="386">
        <f t="shared" si="82"/>
        <v>1114900508.5532343</v>
      </c>
      <c r="U225" s="1238"/>
      <c r="V225" s="332"/>
    </row>
    <row r="226" ht="12" customHeight="1">
      <c r="A226" s="0" t="s">
        <v>30</v>
      </c>
      <c r="B226" s="1861"/>
      <c r="C226" s="209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V226" s="317"/>
    </row>
    <row r="227" ht="12" customHeight="1">
      <c r="A227" s="1749" t="s">
        <v>30</v>
      </c>
      <c r="B227" s="1890"/>
      <c r="C227" s="1749"/>
      <c r="D227" s="1749"/>
      <c r="E227" s="1749"/>
      <c r="F227" s="1749"/>
      <c r="G227" s="700">
        <f ref="G227:T227" t="shared" si="83">+G21+G225</f>
        <v>897812380.709677</v>
      </c>
      <c r="H227" s="700">
        <f t="shared" si="83"/>
        <v>-21158356.68</v>
      </c>
      <c r="I227" s="700">
        <f t="shared" si="83"/>
        <v>44371912.2741</v>
      </c>
      <c r="J227" s="700">
        <f t="shared" si="83"/>
        <v>36296042.76</v>
      </c>
      <c r="K227" s="700">
        <f t="shared" si="83"/>
        <v>18148021.38</v>
      </c>
      <c r="L227" s="700">
        <f t="shared" si="83"/>
        <v>2991671</v>
      </c>
      <c r="M227" s="700">
        <f t="shared" si="83"/>
        <v>978461671.443778</v>
      </c>
      <c r="N227" s="700">
        <f t="shared" si="83"/>
        <v>78276933.7155022</v>
      </c>
      <c r="O227" s="700">
        <f t="shared" si="83"/>
        <v>121270000</v>
      </c>
      <c r="P227" s="700">
        <f t="shared" si="83"/>
        <v>1400000</v>
      </c>
      <c r="Q227" s="700">
        <f t="shared" si="83"/>
        <v>1338000</v>
      </c>
      <c r="R227" s="700">
        <f t="shared" si="83"/>
        <v>1180746605.1592798</v>
      </c>
      <c r="S227" s="700">
        <f t="shared" si="83"/>
        <v>7827693.37155024</v>
      </c>
      <c r="T227" s="700">
        <f t="shared" si="83"/>
        <v>1188574298.5308304</v>
      </c>
      <c r="U227" s="1303"/>
      <c r="V227" s="713"/>
      <c r="W227" s="1284"/>
    </row>
    <row r="228" ht="12" customHeight="1">
      <c r="A228" s="262" t="s">
        <v>30</v>
      </c>
      <c r="B228" s="1869"/>
      <c r="C228" s="263"/>
      <c r="D228" s="274"/>
      <c r="E228" s="264"/>
      <c r="F228" s="264"/>
      <c r="G228" s="275"/>
      <c r="H228" s="275"/>
      <c r="I228" s="262"/>
      <c r="J228" s="262"/>
      <c r="K228" s="262"/>
      <c r="L228" s="312"/>
      <c r="M228" s="263"/>
      <c r="N228" s="313"/>
      <c r="O228" s="1228"/>
      <c r="P228" s="313"/>
      <c r="R228" s="349"/>
      <c r="S228" s="270"/>
      <c r="T228" s="313"/>
      <c r="U228" s="1242"/>
      <c r="V228" s="348"/>
    </row>
    <row r="229" ht="12" customHeight="1">
      <c r="A229" s="0" t="s">
        <v>30</v>
      </c>
      <c r="B229" s="1869"/>
      <c r="C229" s="264" t="str">
        <f>+'MALANG BAT AGUSTUS - OK'!C26</f>
        <v>Karawang, 16 Agustus 2021</v>
      </c>
      <c r="D229" s="270"/>
      <c r="E229" s="270"/>
      <c r="F229" s="270"/>
      <c r="G229" s="271"/>
      <c r="H229" s="271"/>
      <c r="I229" s="310"/>
      <c r="J229" s="310"/>
      <c r="K229" s="310"/>
      <c r="L229" s="310"/>
      <c r="M229" s="310"/>
      <c r="N229" s="310"/>
      <c r="O229" s="310"/>
      <c r="P229" s="310"/>
      <c r="Q229" s="310"/>
      <c r="R229" s="310"/>
      <c r="S229" s="310"/>
      <c r="T229" s="310"/>
      <c r="U229" s="1242"/>
      <c r="V229" s="317"/>
    </row>
    <row r="230" ht="12" customHeight="1">
      <c r="A230" s="0" t="s">
        <v>30</v>
      </c>
      <c r="B230" s="1870"/>
      <c r="C230" s="387"/>
      <c r="D230" s="263"/>
      <c r="E230" s="264"/>
      <c r="F230" s="264"/>
      <c r="G230" s="210"/>
      <c r="H230" s="210"/>
      <c r="I230" s="270"/>
      <c r="J230" s="270"/>
      <c r="K230" s="270"/>
      <c r="L230" s="270"/>
      <c r="M230" s="270"/>
      <c r="N230" s="310"/>
      <c r="O230" s="310"/>
      <c r="P230" s="310"/>
      <c r="Q230" s="310"/>
      <c r="R230" s="270"/>
      <c r="S230" s="270"/>
      <c r="T230" s="310"/>
      <c r="U230" s="1242"/>
      <c r="V230" s="317"/>
    </row>
    <row r="231" ht="12" customHeight="1">
      <c r="A231" s="0" t="s">
        <v>30</v>
      </c>
      <c r="B231" s="1869"/>
      <c r="C231" s="264" t="s">
        <v>38</v>
      </c>
      <c r="D231" s="274"/>
      <c r="E231" s="264"/>
      <c r="F231" s="264"/>
      <c r="G231" s="275"/>
      <c r="H231" s="275"/>
      <c r="I231" s="262"/>
      <c r="J231" s="262"/>
      <c r="K231" s="262"/>
      <c r="L231" s="312"/>
      <c r="M231" s="263" t="s">
        <v>39</v>
      </c>
      <c r="N231" s="313"/>
      <c r="P231" s="313"/>
      <c r="R231" s="349"/>
      <c r="S231" s="270"/>
      <c r="T231" s="313"/>
      <c r="U231" s="1242"/>
      <c r="V231" s="348"/>
    </row>
    <row r="232" ht="12" customHeight="1">
      <c r="A232" s="0" t="s">
        <v>30</v>
      </c>
      <c r="B232" s="1871"/>
      <c r="C232" s="446"/>
      <c r="D232" s="209"/>
      <c r="G232" s="275"/>
      <c r="H232" s="275"/>
      <c r="I232" s="262"/>
      <c r="J232" s="315"/>
      <c r="K232" s="262"/>
      <c r="L232" s="312"/>
      <c r="M232" s="262"/>
      <c r="N232" s="270"/>
      <c r="O232" s="270"/>
      <c r="P232" s="270"/>
      <c r="Q232" s="270"/>
      <c r="R232" s="349"/>
      <c r="S232" s="270"/>
      <c r="T232" s="270"/>
      <c r="U232" s="1242"/>
      <c r="V232" s="348"/>
    </row>
    <row r="233" ht="12" customHeight="1">
      <c r="A233" s="0" t="s">
        <v>30</v>
      </c>
      <c r="B233" s="1871"/>
      <c r="C233" s="446"/>
      <c r="D233" s="209"/>
      <c r="G233" s="210"/>
      <c r="H233" s="210"/>
      <c r="I233" s="210"/>
      <c r="J233" s="270"/>
      <c r="K233" s="270"/>
      <c r="L233" s="310"/>
      <c r="M233" s="270"/>
      <c r="N233" s="270"/>
      <c r="O233" s="270"/>
      <c r="P233" s="270"/>
      <c r="Q233" s="270"/>
      <c r="R233" s="208"/>
      <c r="S233" s="270"/>
      <c r="T233" s="270"/>
      <c r="U233" s="1242"/>
      <c r="V233" s="348"/>
    </row>
    <row r="234" ht="12" customHeight="1">
      <c r="A234" s="0" t="s">
        <v>30</v>
      </c>
      <c r="B234" s="1869"/>
      <c r="C234" s="445"/>
      <c r="D234" s="274"/>
      <c r="E234" s="264"/>
      <c r="F234" s="264"/>
      <c r="G234" s="275"/>
      <c r="H234" s="275"/>
      <c r="I234" s="275"/>
      <c r="J234" s="262"/>
      <c r="K234" s="262"/>
      <c r="L234" s="312"/>
      <c r="M234" s="262"/>
      <c r="N234" s="262"/>
      <c r="O234" s="262"/>
      <c r="P234" s="262"/>
      <c r="Q234" s="262"/>
      <c r="R234" s="264"/>
      <c r="S234" s="270"/>
      <c r="T234" s="270"/>
      <c r="U234" s="1242"/>
      <c r="V234" s="348"/>
    </row>
    <row r="235" ht="12" customHeight="1">
      <c r="A235" s="0" t="s">
        <v>30</v>
      </c>
      <c r="B235" s="1870"/>
      <c r="C235" s="264"/>
      <c r="D235" s="264"/>
      <c r="E235" s="264"/>
      <c r="F235" s="264"/>
      <c r="G235" s="275"/>
      <c r="H235" s="275"/>
      <c r="I235" s="275"/>
      <c r="J235" s="262"/>
      <c r="K235" s="262"/>
      <c r="L235" s="312"/>
      <c r="M235" s="262"/>
      <c r="N235" s="262"/>
      <c r="O235" s="262"/>
      <c r="P235" s="262"/>
      <c r="Q235" s="262"/>
      <c r="R235" s="264"/>
      <c r="S235" s="208"/>
      <c r="T235" s="270"/>
      <c r="U235" s="1242"/>
      <c r="V235" s="348"/>
    </row>
    <row r="236" ht="12" customHeight="1">
      <c r="A236" s="0" t="s">
        <v>30</v>
      </c>
      <c r="B236" s="1870"/>
      <c r="C236" s="264"/>
      <c r="D236" s="264"/>
      <c r="E236" s="264"/>
      <c r="F236" s="264"/>
      <c r="G236" s="275"/>
      <c r="H236" s="275"/>
      <c r="I236" s="275"/>
      <c r="J236" s="262"/>
      <c r="K236" s="262"/>
      <c r="L236" s="312"/>
      <c r="M236" s="262"/>
      <c r="N236" s="262"/>
      <c r="O236" s="262"/>
      <c r="P236" s="262"/>
      <c r="Q236" s="262"/>
      <c r="R236" s="264"/>
      <c r="S236" s="270"/>
      <c r="U236" s="1242"/>
      <c r="V236" s="348"/>
    </row>
    <row r="237" ht="12" customHeight="1">
      <c r="A237" s="0" t="s">
        <v>30</v>
      </c>
      <c r="B237" s="1870"/>
      <c r="C237" s="264" t="s">
        <v>40</v>
      </c>
      <c r="D237" s="568"/>
      <c r="E237" s="264"/>
      <c r="F237" s="264"/>
      <c r="G237" s="275"/>
      <c r="H237" s="275"/>
      <c r="I237" s="275"/>
      <c r="J237" s="312" t="s">
        <v>41</v>
      </c>
      <c r="K237" s="263"/>
      <c r="L237" s="263"/>
      <c r="M237" s="263" t="s">
        <v>42</v>
      </c>
      <c r="O237" s="264" t="s">
        <v>43</v>
      </c>
      <c r="Q237" s="263"/>
      <c r="U237" s="1244"/>
      <c r="V237" s="350"/>
    </row>
    <row r="238" ht="12" customHeight="1">
      <c r="A238" s="0" t="s">
        <v>30</v>
      </c>
      <c r="B238" s="1891"/>
      <c r="C238" s="889"/>
      <c r="D238" s="855"/>
      <c r="E238" s="889"/>
      <c r="F238" s="889"/>
      <c r="G238" s="856"/>
      <c r="H238" s="856"/>
      <c r="I238" s="856"/>
      <c r="J238" s="896"/>
      <c r="K238" s="891"/>
      <c r="L238" s="891"/>
      <c r="M238" s="891"/>
      <c r="N238" s="891"/>
      <c r="O238" s="889"/>
      <c r="P238" s="891"/>
      <c r="Q238" s="891"/>
      <c r="R238" s="855"/>
      <c r="S238" s="855"/>
      <c r="T238" s="855"/>
      <c r="U238" s="1245"/>
      <c r="V238" s="899"/>
      <c r="W238" s="1246"/>
    </row>
    <row r="239" ht="12" customHeight="1">
      <c r="A239" s="0" t="s">
        <v>30</v>
      </c>
      <c r="B239" s="1861"/>
      <c r="C239" s="209"/>
      <c r="G239" s="210"/>
      <c r="H239" s="210"/>
      <c r="M239" s="210"/>
    </row>
  </sheetData>
  <mergeCells>
    <mergeCell ref="A21:F21"/>
    <mergeCell ref="A225:F225"/>
    <mergeCell ref="A227:F227"/>
  </mergeCells>
  <printOptions horizontalCentered="1"/>
  <pageMargins left="0.3" right="0" top="0.25" bottom="0.25" header="0.6" footer="0.45902777777777798"/>
  <pageSetup paperSize="9" scale="55" fitToHeight="0" orientation="landscape"/>
  <headerFooter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 tint="-0.499984740745262"/>
    <pageSetUpPr fitToPage="1"/>
  </sheetPr>
  <dimension ref="A1:W21"/>
  <sheetViews>
    <sheetView zoomScale="85" zoomScaleNormal="85" workbookViewId="0">
      <pane xSplit="7" ySplit="9" topLeftCell="H10" activePane="bottomRight" state="frozen"/>
      <selection pane="topRight"/>
      <selection pane="bottomLeft"/>
      <selection pane="bottomRight" activeCell="M31" sqref="M31"/>
    </sheetView>
  </sheetViews>
  <sheetFormatPr defaultColWidth="9.140625" defaultRowHeight="12" customHeight="1"/>
  <cols>
    <col min="1" max="1" width="5.7109375" customWidth="1"/>
    <col min="2" max="2" width="5.140625" customWidth="1"/>
    <col min="3" max="3" width="27.85546875" customWidth="1"/>
    <col min="4" max="4" width="14" customWidth="1"/>
    <col min="5" max="5" hidden="1" width="9.5703125" customWidth="1"/>
    <col min="6" max="6" hidden="1" width="12" customWidth="1"/>
    <col min="7" max="8" width="12.85546875" customWidth="1"/>
    <col min="9" max="9" width="12.28515625" customWidth="1"/>
    <col min="10" max="10" width="15.42578125" customWidth="1"/>
    <col min="11" max="11" width="11" customWidth="1"/>
    <col min="12" max="12" width="11.28515625" customWidth="1"/>
    <col min="13" max="13" width="13.85546875" customWidth="1"/>
    <col min="14" max="14" width="12.5703125" customWidth="1"/>
    <col min="15" max="15" width="11" customWidth="1"/>
    <col min="16" max="16" width="12.85546875" customWidth="1"/>
    <col min="17" max="17" width="9.85546875" customWidth="1"/>
    <col min="18" max="18" width="11.5703125" customWidth="1"/>
    <col min="19" max="19" width="8.7109375" customWidth="1"/>
    <col min="20" max="20" width="12.140625" customWidth="1"/>
    <col min="21" max="21" width="9.85546875" customWidth="1"/>
    <col min="22" max="22" width="10.28515625" customWidth="1"/>
    <col min="23" max="23" width="11.7109375" customWidth="1"/>
  </cols>
  <sheetData>
    <row r="1" ht="12" customHeight="1">
      <c r="A1" s="207" t="s">
        <v>0</v>
      </c>
      <c r="C1" s="209"/>
      <c r="G1" s="210"/>
      <c r="H1" s="210"/>
      <c r="M1" s="210"/>
      <c r="V1" s="317"/>
    </row>
    <row r="2" ht="12" customHeight="1">
      <c r="A2" s="207" t="s">
        <v>1804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1229"/>
      <c r="V2" s="318"/>
    </row>
    <row r="3" ht="15">
      <c r="A3" s="207" t="s">
        <v>2148</v>
      </c>
      <c r="C3" s="209"/>
      <c r="G3" s="213"/>
      <c r="H3" s="213"/>
      <c r="I3" s="1219"/>
      <c r="M3" s="210"/>
      <c r="Q3" s="1228"/>
      <c r="V3" s="317"/>
    </row>
    <row r="4" ht="15">
      <c r="A4" s="207"/>
      <c r="B4" s="634"/>
      <c r="C4" s="212"/>
      <c r="D4" s="211"/>
      <c r="E4" s="211"/>
      <c r="F4" s="211"/>
      <c r="G4" s="1123"/>
      <c r="H4" s="1123"/>
      <c r="I4" s="1123">
        <v>4300479</v>
      </c>
      <c r="J4" s="1135"/>
      <c r="K4" s="1135"/>
      <c r="L4" s="1135"/>
      <c r="M4" s="1136"/>
      <c r="N4" s="1135"/>
      <c r="O4" s="1135"/>
      <c r="P4" s="1135"/>
      <c r="Q4" s="281"/>
      <c r="R4" s="281"/>
      <c r="S4" s="281"/>
      <c r="T4" s="281"/>
      <c r="U4" s="1229"/>
      <c r="V4" s="656"/>
    </row>
    <row r="5" ht="15">
      <c r="A5" s="1208"/>
      <c r="B5" s="1208"/>
      <c r="C5" s="1208"/>
      <c r="D5" s="1208"/>
      <c r="E5" s="1208"/>
      <c r="F5" s="1208"/>
      <c r="G5" s="1209"/>
      <c r="H5" s="1209"/>
      <c r="I5" s="1220"/>
      <c r="J5" s="1220"/>
      <c r="K5" s="1220"/>
      <c r="L5" s="1220"/>
      <c r="M5" s="1220"/>
      <c r="N5" s="1220"/>
      <c r="O5" s="1220"/>
      <c r="P5" s="1220">
        <v>25000</v>
      </c>
      <c r="Q5" s="1209"/>
      <c r="R5" s="1209"/>
      <c r="S5" s="1209"/>
      <c r="T5" s="1209"/>
      <c r="U5" s="1230"/>
      <c r="V5" s="1231"/>
    </row>
    <row r="6" ht="22.5">
      <c r="A6" s="1210" t="s">
        <v>2</v>
      </c>
      <c r="B6" s="1211" t="s">
        <v>3</v>
      </c>
      <c r="C6" s="1211" t="s">
        <v>4</v>
      </c>
      <c r="D6" s="1211" t="s">
        <v>5</v>
      </c>
      <c r="E6" s="1211" t="s">
        <v>6</v>
      </c>
      <c r="F6" s="1212" t="s">
        <v>7</v>
      </c>
      <c r="G6" s="1213" t="s">
        <v>1805</v>
      </c>
      <c r="H6" s="219" t="s">
        <v>9</v>
      </c>
      <c r="I6" s="1221" t="s">
        <v>10</v>
      </c>
      <c r="J6" s="1222" t="s">
        <v>11</v>
      </c>
      <c r="K6" s="1222" t="s">
        <v>12</v>
      </c>
      <c r="L6" s="1223" t="s">
        <v>13</v>
      </c>
      <c r="M6" s="1223" t="s">
        <v>14</v>
      </c>
      <c r="N6" s="1044" t="s">
        <v>15</v>
      </c>
      <c r="O6" s="1044" t="s">
        <v>17</v>
      </c>
      <c r="P6" s="1224" t="s">
        <v>1536</v>
      </c>
      <c r="Q6" s="1232" t="s">
        <v>1172</v>
      </c>
      <c r="R6" s="1055" t="s">
        <v>19</v>
      </c>
      <c r="S6" s="1056" t="s">
        <v>20</v>
      </c>
      <c r="T6" s="1056" t="s">
        <v>21</v>
      </c>
      <c r="U6" s="1233" t="s">
        <v>22</v>
      </c>
      <c r="V6" s="1234" t="s">
        <v>23</v>
      </c>
    </row>
    <row r="7" ht="12" customHeight="1">
      <c r="A7" s="1027" t="s">
        <v>24</v>
      </c>
      <c r="B7" s="1529" t="s">
        <v>1806</v>
      </c>
      <c r="C7" s="1214" t="s">
        <v>1807</v>
      </c>
      <c r="D7" s="1027" t="s">
        <v>54</v>
      </c>
      <c r="E7" s="1215" t="s">
        <v>193</v>
      </c>
      <c r="F7" s="1215" t="s">
        <v>177</v>
      </c>
      <c r="G7" s="1045"/>
      <c r="H7" s="1045"/>
      <c r="I7" s="1225"/>
      <c r="J7" s="1225"/>
      <c r="K7" s="1225"/>
      <c r="L7" s="1225"/>
      <c r="M7" s="295">
        <f>SUM(G7,I7:L7)-H7</f>
        <v>0</v>
      </c>
      <c r="N7" s="1226">
        <f>+M7*8%</f>
        <v>0</v>
      </c>
      <c r="O7" s="1227">
        <v>100000</v>
      </c>
      <c r="P7" s="1227"/>
      <c r="Q7" s="447"/>
      <c r="R7" s="1235">
        <f>SUM(M7:Q7)</f>
        <v>100000</v>
      </c>
      <c r="S7" s="1235">
        <f>N7*0.1</f>
        <v>0</v>
      </c>
      <c r="T7" s="1236">
        <f>R7+S7</f>
        <v>100000</v>
      </c>
      <c r="U7" s="1237">
        <v>44348</v>
      </c>
      <c r="V7" s="1237">
        <v>44439</v>
      </c>
      <c r="W7" s="1146" t="s">
        <v>55</v>
      </c>
    </row>
    <row r="8" ht="15.75" customHeight="1">
      <c r="A8" s="1748" t="s">
        <v>30</v>
      </c>
      <c r="B8" s="1885"/>
      <c r="C8" s="1748"/>
      <c r="D8" s="1748"/>
      <c r="E8" s="1748"/>
      <c r="F8" s="1748"/>
      <c r="G8" s="386">
        <f ref="G8:T8" t="shared" si="1">SUM(G7:G7)</f>
        <v>0</v>
      </c>
      <c r="H8" s="386">
        <f t="shared" si="1"/>
        <v>0</v>
      </c>
      <c r="I8" s="386">
        <f t="shared" si="1"/>
        <v>0</v>
      </c>
      <c r="J8" s="386">
        <f t="shared" si="1"/>
        <v>0</v>
      </c>
      <c r="K8" s="386">
        <f t="shared" si="1"/>
        <v>0</v>
      </c>
      <c r="L8" s="386">
        <f t="shared" si="1"/>
        <v>0</v>
      </c>
      <c r="M8" s="386">
        <f t="shared" si="1"/>
        <v>0</v>
      </c>
      <c r="N8" s="386">
        <f t="shared" si="1"/>
        <v>0</v>
      </c>
      <c r="O8" s="386">
        <f t="shared" si="1"/>
        <v>100000</v>
      </c>
      <c r="P8" s="386">
        <f t="shared" si="1"/>
        <v>0</v>
      </c>
      <c r="Q8" s="386">
        <f t="shared" si="1"/>
        <v>0</v>
      </c>
      <c r="R8" s="386">
        <f t="shared" si="1"/>
        <v>100000</v>
      </c>
      <c r="S8" s="386">
        <f t="shared" si="1"/>
        <v>0</v>
      </c>
      <c r="T8" s="386">
        <f t="shared" si="1"/>
        <v>100000</v>
      </c>
      <c r="U8" s="1238"/>
      <c r="V8" s="332"/>
      <c r="W8" s="1239"/>
    </row>
    <row r="9" ht="12" customHeight="1">
      <c r="A9" s="1216" t="s">
        <v>30</v>
      </c>
      <c r="B9" s="1892"/>
      <c r="C9" s="1217"/>
      <c r="D9" s="1217"/>
      <c r="E9" s="1217"/>
      <c r="F9" s="1217"/>
      <c r="G9" s="1218"/>
      <c r="H9" s="1218"/>
      <c r="I9" s="1218"/>
      <c r="J9" s="1218"/>
      <c r="K9" s="1218"/>
      <c r="L9" s="1218"/>
      <c r="M9" s="1218"/>
      <c r="N9" s="1218"/>
      <c r="O9" s="1218"/>
      <c r="P9" s="1218"/>
      <c r="Q9" s="1218"/>
      <c r="R9" s="1218"/>
      <c r="S9" s="1218"/>
      <c r="T9" s="1218"/>
      <c r="U9" s="1240"/>
      <c r="V9" s="1241"/>
      <c r="W9" s="1239"/>
    </row>
    <row r="10" ht="12" customHeight="1">
      <c r="A10" s="262" t="s">
        <v>30</v>
      </c>
      <c r="B10" s="1869"/>
      <c r="C10" s="263"/>
      <c r="D10" s="274"/>
      <c r="E10" s="264"/>
      <c r="F10" s="264"/>
      <c r="G10" s="275"/>
      <c r="H10" s="275"/>
      <c r="I10" s="262"/>
      <c r="J10" s="262"/>
      <c r="K10" s="262"/>
      <c r="L10" s="312"/>
      <c r="M10" s="263"/>
      <c r="N10" s="313"/>
      <c r="O10" s="313"/>
      <c r="P10" s="1228"/>
      <c r="R10" s="349"/>
      <c r="S10" s="270"/>
      <c r="T10" s="313"/>
      <c r="U10" s="1242"/>
      <c r="V10" s="348"/>
    </row>
    <row r="11" ht="12" customHeight="1">
      <c r="A11" s="0" t="s">
        <v>30</v>
      </c>
      <c r="B11" s="1869"/>
      <c r="C11" s="264" t="str">
        <f>+'SURABAYA ANTERAJA AGUSTUS - OK'!C229</f>
        <v>Karawang, 16 Agustus 2021</v>
      </c>
      <c r="D11" s="270"/>
      <c r="E11" s="270"/>
      <c r="F11" s="270"/>
      <c r="G11" s="271"/>
      <c r="H11" s="271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1242"/>
      <c r="V11" s="317"/>
    </row>
    <row r="12" ht="12" customHeight="1">
      <c r="A12" s="0" t="s">
        <v>30</v>
      </c>
      <c r="B12" s="1870"/>
      <c r="C12" s="387"/>
      <c r="D12" s="263"/>
      <c r="E12" s="264"/>
      <c r="F12" s="264"/>
      <c r="G12" s="210"/>
      <c r="H12" s="210"/>
      <c r="I12" s="270"/>
      <c r="J12" s="270"/>
      <c r="K12" s="270"/>
      <c r="L12" s="270"/>
      <c r="M12" s="270"/>
      <c r="N12" s="310"/>
      <c r="O12" s="310"/>
      <c r="P12" s="310"/>
      <c r="Q12" s="310"/>
      <c r="R12" s="270"/>
      <c r="S12" s="270"/>
      <c r="T12" s="310"/>
      <c r="U12" s="1243"/>
      <c r="V12" s="317"/>
    </row>
    <row r="13" ht="12" customHeight="1">
      <c r="A13" s="0" t="s">
        <v>30</v>
      </c>
      <c r="B13" s="1869"/>
      <c r="C13" s="264" t="s">
        <v>38</v>
      </c>
      <c r="D13" s="274"/>
      <c r="E13" s="264"/>
      <c r="F13" s="264"/>
      <c r="G13" s="275"/>
      <c r="H13" s="275"/>
      <c r="I13" s="262"/>
      <c r="J13" s="315"/>
      <c r="K13" s="262"/>
      <c r="L13" s="312"/>
      <c r="M13" s="263" t="s">
        <v>39</v>
      </c>
      <c r="N13" s="313"/>
      <c r="O13" s="313"/>
      <c r="R13" s="349"/>
      <c r="S13" s="270"/>
      <c r="T13" s="313"/>
      <c r="U13" s="1243"/>
      <c r="V13" s="348"/>
    </row>
    <row r="14" ht="12" customHeight="1">
      <c r="A14" s="0" t="s">
        <v>30</v>
      </c>
      <c r="B14" s="1871"/>
      <c r="C14" s="446"/>
      <c r="D14" s="209"/>
      <c r="G14" s="275"/>
      <c r="H14" s="275"/>
      <c r="I14" s="262"/>
      <c r="J14" s="315"/>
      <c r="K14" s="262"/>
      <c r="L14" s="312"/>
      <c r="M14" s="262"/>
      <c r="N14" s="270"/>
      <c r="O14" s="270"/>
      <c r="P14" s="270"/>
      <c r="Q14" s="270"/>
      <c r="R14" s="349"/>
      <c r="S14" s="270"/>
      <c r="T14" s="270"/>
      <c r="U14" s="1243"/>
      <c r="V14" s="348"/>
    </row>
    <row r="15" ht="12" customHeight="1">
      <c r="A15" s="0" t="s">
        <v>30</v>
      </c>
      <c r="B15" s="1871"/>
      <c r="C15" s="446"/>
      <c r="D15" s="209"/>
      <c r="G15" s="210"/>
      <c r="H15" s="210"/>
      <c r="I15" s="210"/>
      <c r="J15" s="270"/>
      <c r="K15" s="270"/>
      <c r="L15" s="310"/>
      <c r="M15" s="270"/>
      <c r="N15" s="270"/>
      <c r="O15" s="270"/>
      <c r="P15" s="270"/>
      <c r="Q15" s="270"/>
      <c r="R15" s="208"/>
      <c r="S15" s="270"/>
      <c r="T15" s="270"/>
      <c r="U15" s="1243"/>
      <c r="V15" s="348"/>
    </row>
    <row r="16" ht="12" customHeight="1">
      <c r="A16" s="0" t="s">
        <v>30</v>
      </c>
      <c r="B16" s="1869"/>
      <c r="C16" s="445"/>
      <c r="D16" s="274"/>
      <c r="E16" s="264"/>
      <c r="F16" s="264"/>
      <c r="G16" s="275"/>
      <c r="H16" s="275"/>
      <c r="I16" s="275"/>
      <c r="J16" s="262"/>
      <c r="K16" s="262"/>
      <c r="L16" s="312"/>
      <c r="M16" s="262"/>
      <c r="N16" s="262"/>
      <c r="O16" s="262"/>
      <c r="P16" s="262"/>
      <c r="Q16" s="262"/>
      <c r="R16" s="264"/>
      <c r="S16" s="270"/>
      <c r="T16" s="270"/>
      <c r="U16" s="1242"/>
      <c r="V16" s="348"/>
    </row>
    <row r="17" ht="12" customHeight="1">
      <c r="A17" s="0" t="s">
        <v>30</v>
      </c>
      <c r="B17" s="1870"/>
      <c r="C17" s="264"/>
      <c r="D17" s="26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264"/>
      <c r="S17" s="208"/>
      <c r="T17" s="270"/>
      <c r="U17" s="1242"/>
      <c r="V17" s="348"/>
    </row>
    <row r="18" ht="12" customHeight="1">
      <c r="A18" s="0" t="s">
        <v>30</v>
      </c>
      <c r="B18" s="1870"/>
      <c r="C18" s="264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4"/>
      <c r="S18" s="270"/>
      <c r="U18" s="1242"/>
      <c r="V18" s="348"/>
    </row>
    <row r="19" ht="12" customHeight="1">
      <c r="A19" s="0" t="s">
        <v>30</v>
      </c>
      <c r="B19" s="1870"/>
      <c r="C19" s="264" t="s">
        <v>40</v>
      </c>
      <c r="D19" s="568"/>
      <c r="E19" s="264"/>
      <c r="F19" s="264"/>
      <c r="G19" s="275"/>
      <c r="H19" s="275"/>
      <c r="I19" s="275"/>
      <c r="J19" s="312" t="s">
        <v>41</v>
      </c>
      <c r="K19" s="263"/>
      <c r="L19" s="263"/>
      <c r="M19" s="263" t="s">
        <v>42</v>
      </c>
      <c r="P19" s="264" t="s">
        <v>43</v>
      </c>
      <c r="Q19" s="263"/>
      <c r="U19" s="1244"/>
      <c r="V19" s="350"/>
    </row>
    <row r="20" ht="12" customHeight="1">
      <c r="A20" s="0" t="s">
        <v>30</v>
      </c>
      <c r="B20" s="1891"/>
      <c r="C20" s="889"/>
      <c r="D20" s="855"/>
      <c r="E20" s="889"/>
      <c r="F20" s="889"/>
      <c r="G20" s="856"/>
      <c r="H20" s="856"/>
      <c r="I20" s="856"/>
      <c r="J20" s="896"/>
      <c r="K20" s="891"/>
      <c r="L20" s="891"/>
      <c r="M20" s="891"/>
      <c r="N20" s="891"/>
      <c r="O20" s="891"/>
      <c r="P20" s="889"/>
      <c r="Q20" s="891"/>
      <c r="R20" s="855"/>
      <c r="S20" s="855"/>
      <c r="T20" s="855"/>
      <c r="U20" s="1245"/>
      <c r="V20" s="899"/>
      <c r="W20" s="1246"/>
    </row>
    <row r="21" ht="12" customHeight="1">
      <c r="A21" s="0" t="s">
        <v>30</v>
      </c>
      <c r="B21" s="1861"/>
      <c r="C21" s="209"/>
      <c r="G21" s="210"/>
      <c r="H21" s="210"/>
      <c r="M21" s="210"/>
    </row>
  </sheetData>
  <mergeCells>
    <mergeCell ref="A8:F8"/>
  </mergeCells>
  <printOptions horizontalCentered="1"/>
  <pageMargins left="0.3" right="0" top="0.19930555555555601" bottom="0" header="0.6" footer="0.45902777777777798"/>
  <pageSetup paperSize="9" scale="60" fitToHeight="0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Y103"/>
  <sheetViews>
    <sheetView workbookViewId="0">
      <pane xSplit="7" ySplit="6" topLeftCell="H31" activePane="bottomRight" state="frozen"/>
      <selection pane="topRight"/>
      <selection pane="bottomLeft"/>
      <selection pane="bottomRight" activeCell="M40" sqref="M40"/>
    </sheetView>
  </sheetViews>
  <sheetFormatPr defaultColWidth="9.140625" defaultRowHeight="12" customHeight="1"/>
  <cols>
    <col min="1" max="1" width="4.140625" customWidth="1"/>
    <col min="2" max="2" width="6" customWidth="1"/>
    <col min="3" max="3" width="28" customWidth="1"/>
    <col min="4" max="4" width="12.5703125" customWidth="1"/>
    <col min="5" max="6" hidden="1" width="7.7109375" customWidth="1"/>
    <col min="7" max="7" width="12.5703125" customWidth="1"/>
    <col min="8" max="9" width="11.28515625" customWidth="1"/>
    <col min="10" max="10" width="10.7109375" customWidth="1"/>
    <col min="11" max="11" width="10.5703125" customWidth="1"/>
    <col min="12" max="12" width="11" customWidth="1"/>
    <col min="13" max="13" width="13.28515625" customWidth="1"/>
    <col min="14" max="14" width="12.42578125" customWidth="1"/>
    <col min="15" max="15" width="11.85546875" customWidth="1"/>
    <col min="16" max="16" width="9.140625" customWidth="1"/>
    <col min="17" max="17" width="10.5703125" customWidth="1"/>
    <col min="18" max="18" width="12.85546875" customWidth="1"/>
    <col min="19" max="19" width="10.28515625" customWidth="1"/>
    <col min="20" max="20" width="12.85546875" customWidth="1"/>
    <col min="21" max="21" width="8.140625" customWidth="1"/>
    <col min="23" max="23" width="4.140625" customWidth="1"/>
  </cols>
  <sheetData>
    <row r="1" ht="12" customHeight="1">
      <c r="A1" s="207" t="s">
        <v>0</v>
      </c>
      <c r="C1" s="209"/>
      <c r="G1" s="210"/>
      <c r="H1" s="210"/>
      <c r="M1" s="210"/>
      <c r="U1" s="317"/>
    </row>
    <row r="2" ht="12" customHeight="1">
      <c r="A2" s="207" t="s">
        <v>1526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80"/>
      <c r="R2" s="280"/>
      <c r="S2" s="280"/>
      <c r="T2" s="318"/>
      <c r="U2" s="318"/>
    </row>
    <row r="3" ht="15">
      <c r="A3" s="207" t="str">
        <f>+'SURABAYA ANTERAJA AGUSTUS - OK'!A3</f>
        <v>Periode Bulan Agustus  2021</v>
      </c>
      <c r="C3" s="209"/>
      <c r="G3" s="1123">
        <v>2970502</v>
      </c>
      <c r="H3" s="1123"/>
      <c r="I3" s="281"/>
      <c r="M3" s="210"/>
      <c r="U3" s="317"/>
    </row>
    <row r="4" ht="15">
      <c r="A4" s="207"/>
      <c r="C4" s="209"/>
      <c r="G4" s="213"/>
      <c r="H4" s="213"/>
      <c r="I4" s="281"/>
      <c r="J4" s="54"/>
      <c r="M4" s="210"/>
      <c r="U4" s="317"/>
    </row>
    <row r="5" ht="15">
      <c r="A5" s="207"/>
      <c r="C5" s="209"/>
      <c r="G5" s="213"/>
      <c r="H5" s="213"/>
      <c r="I5" s="281"/>
      <c r="M5" s="210"/>
      <c r="U5" s="317"/>
    </row>
    <row r="6" ht="22.5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284" t="s">
        <v>14</v>
      </c>
      <c r="N6" s="285" t="s">
        <v>15</v>
      </c>
      <c r="O6" s="1130" t="s">
        <v>16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2" customHeight="1">
      <c r="A7" s="227" t="s">
        <v>24</v>
      </c>
      <c r="B7" s="1532" t="s">
        <v>1528</v>
      </c>
      <c r="C7" s="1127" t="s">
        <v>196</v>
      </c>
      <c r="D7" s="679" t="s">
        <v>54</v>
      </c>
      <c r="E7" s="679" t="s">
        <v>47</v>
      </c>
      <c r="F7" s="679" t="s">
        <v>177</v>
      </c>
      <c r="G7" s="395">
        <v>2970502</v>
      </c>
      <c r="H7" s="395"/>
      <c r="I7" s="293">
        <f>+$G$3*4.89%</f>
        <v>145257.5478</v>
      </c>
      <c r="J7" s="293">
        <f>+$G$3*4%</f>
        <v>118820.08</v>
      </c>
      <c r="K7" s="293">
        <f>+$G$3*2%</f>
        <v>59410.04</v>
      </c>
      <c r="L7" s="293">
        <v>1667</v>
      </c>
      <c r="M7" s="295">
        <f>SUM(G7:L7)</f>
        <v>3295656.6678</v>
      </c>
      <c r="N7" s="296">
        <f>+M7*8%</f>
        <v>263652.533424</v>
      </c>
      <c r="O7" s="1134">
        <v>500000</v>
      </c>
      <c r="P7" s="296">
        <v>100000</v>
      </c>
      <c r="Q7" s="447">
        <f>25*10000</f>
        <v>250000</v>
      </c>
      <c r="R7" s="328">
        <f>SUM(M7:Q7)</f>
        <v>4409309.201224</v>
      </c>
      <c r="S7" s="328">
        <f>N7*0.1</f>
        <v>26365.253342400003</v>
      </c>
      <c r="T7" s="329">
        <f>R7+S7</f>
        <v>4435674.4545664005</v>
      </c>
      <c r="U7" s="1145">
        <v>44409</v>
      </c>
      <c r="V7" s="579">
        <v>44500</v>
      </c>
    </row>
    <row r="8" ht="12" customHeight="1">
      <c r="A8" s="227" t="s">
        <v>24</v>
      </c>
      <c r="B8" s="228" t="s">
        <v>1529</v>
      </c>
      <c r="C8" s="1127" t="s">
        <v>1530</v>
      </c>
      <c r="D8" s="679" t="s">
        <v>26</v>
      </c>
      <c r="E8" s="679" t="s">
        <v>47</v>
      </c>
      <c r="F8" s="679" t="s">
        <v>177</v>
      </c>
      <c r="G8" s="395">
        <v>2970502</v>
      </c>
      <c r="H8" s="395"/>
      <c r="I8" s="293">
        <f>+$G$3*4.89%</f>
        <v>145257.5478</v>
      </c>
      <c r="J8" s="293">
        <f>+$G$3*4%</f>
        <v>118820.08</v>
      </c>
      <c r="K8" s="293">
        <f>+$G$3*2%</f>
        <v>59410.04</v>
      </c>
      <c r="L8" s="293">
        <v>1667</v>
      </c>
      <c r="M8" s="295">
        <f ref="M8:M11" t="shared" si="0">SUM(G8:L8)</f>
        <v>3295656.6678</v>
      </c>
      <c r="N8" s="1103">
        <f>+M8*8%</f>
        <v>263652.533424</v>
      </c>
      <c r="O8" s="1134">
        <f>500000+20000</f>
        <v>520000</v>
      </c>
      <c r="P8" s="296">
        <v>100000</v>
      </c>
      <c r="Q8" s="296">
        <f>26*12000</f>
        <v>312000</v>
      </c>
      <c r="R8" s="328">
        <f>SUM(M8:Q8)</f>
        <v>4491309.201224</v>
      </c>
      <c r="S8" s="328">
        <f>N8*0.1</f>
        <v>26365.253342400003</v>
      </c>
      <c r="T8" s="329">
        <f>R8+S8</f>
        <v>4517674.4545664005</v>
      </c>
      <c r="U8" s="1145">
        <v>44348</v>
      </c>
      <c r="V8" s="580">
        <v>44439</v>
      </c>
      <c r="W8" s="1167"/>
    </row>
    <row r="9" ht="12" customHeight="1">
      <c r="A9" s="227" t="s">
        <v>24</v>
      </c>
      <c r="B9" s="358" t="s">
        <v>1531</v>
      </c>
      <c r="C9" s="1148" t="s">
        <v>1532</v>
      </c>
      <c r="D9" s="679" t="s">
        <v>1533</v>
      </c>
      <c r="E9" s="679" t="s">
        <v>47</v>
      </c>
      <c r="F9" s="679" t="s">
        <v>177</v>
      </c>
      <c r="G9" s="395">
        <v>2970502</v>
      </c>
      <c r="H9" s="395"/>
      <c r="I9" s="293">
        <f>+$G$3*4.89%</f>
        <v>145257.5478</v>
      </c>
      <c r="J9" s="293">
        <f>+$G$3*4%</f>
        <v>118820.08</v>
      </c>
      <c r="K9" s="293">
        <f>+$G$3*2%</f>
        <v>59410.04</v>
      </c>
      <c r="L9" s="293">
        <v>1667</v>
      </c>
      <c r="M9" s="295">
        <f t="shared" si="0"/>
        <v>3295656.6678</v>
      </c>
      <c r="N9" s="1103">
        <f>+M9*8%</f>
        <v>263652.533424</v>
      </c>
      <c r="O9" s="1134">
        <v>500000</v>
      </c>
      <c r="P9" s="1155"/>
      <c r="Q9" s="447">
        <f>24*10000</f>
        <v>240000</v>
      </c>
      <c r="R9" s="328">
        <f>SUM(M9:Q9)</f>
        <v>4299309.201224</v>
      </c>
      <c r="S9" s="328">
        <f>N9*0.1</f>
        <v>26365.253342400003</v>
      </c>
      <c r="T9" s="329">
        <f>R9+S9</f>
        <v>4325674.4545664005</v>
      </c>
      <c r="U9" s="1168">
        <v>44378</v>
      </c>
      <c r="V9" s="579">
        <v>44469</v>
      </c>
      <c r="W9" s="1169"/>
      <c r="X9" s="1146"/>
      <c r="Y9" s="1146"/>
    </row>
    <row r="10" ht="12" customHeight="1">
      <c r="A10" s="227" t="s">
        <v>24</v>
      </c>
      <c r="B10" s="228" t="s">
        <v>1534</v>
      </c>
      <c r="C10" s="1148" t="s">
        <v>1535</v>
      </c>
      <c r="D10" s="679" t="s">
        <v>26</v>
      </c>
      <c r="E10" s="679" t="s">
        <v>47</v>
      </c>
      <c r="F10" s="679" t="s">
        <v>177</v>
      </c>
      <c r="G10" s="395">
        <v>2970502</v>
      </c>
      <c r="H10" s="395"/>
      <c r="I10" s="293">
        <f>+$G$3*4.89%</f>
        <v>145257.5478</v>
      </c>
      <c r="J10" s="293">
        <f>+$G$3*4%</f>
        <v>118820.08</v>
      </c>
      <c r="K10" s="293">
        <f>+$G$3*2%</f>
        <v>59410.04</v>
      </c>
      <c r="L10" s="293">
        <v>1667</v>
      </c>
      <c r="M10" s="295">
        <f t="shared" si="0"/>
        <v>3295656.6678</v>
      </c>
      <c r="N10" s="1103">
        <f>+M10*8%</f>
        <v>263652.533424</v>
      </c>
      <c r="O10" s="1134">
        <v>500000</v>
      </c>
      <c r="P10" s="296">
        <v>100000</v>
      </c>
      <c r="Q10" s="447">
        <f>28*12000</f>
        <v>336000</v>
      </c>
      <c r="R10" s="328">
        <f>SUM(M10:Q10)</f>
        <v>4495309.201224</v>
      </c>
      <c r="S10" s="328">
        <f>N10*0.1</f>
        <v>26365.253342400003</v>
      </c>
      <c r="T10" s="329">
        <f>R10+S10</f>
        <v>4521674.4545664005</v>
      </c>
      <c r="U10" s="1168">
        <v>44357</v>
      </c>
      <c r="V10" s="579">
        <v>44439</v>
      </c>
      <c r="W10" s="1169"/>
      <c r="X10" s="1146"/>
      <c r="Y10" s="1146"/>
    </row>
    <row r="11" ht="12" customHeight="1">
      <c r="A11" s="227" t="s">
        <v>24</v>
      </c>
      <c r="B11" s="496">
        <v>2776</v>
      </c>
      <c r="C11" s="1124" t="s">
        <v>1527</v>
      </c>
      <c r="D11" s="1125" t="s">
        <v>1202</v>
      </c>
      <c r="E11" s="1125" t="s">
        <v>47</v>
      </c>
      <c r="F11" s="1125" t="s">
        <v>177</v>
      </c>
      <c r="G11" s="1126">
        <v>2970502</v>
      </c>
      <c r="H11" s="404"/>
      <c r="I11" s="511">
        <f ref="I11:I83" t="shared" si="1">+$G$3*4.89%</f>
        <v>145257.5478</v>
      </c>
      <c r="J11" s="511">
        <f ref="J11:J83" t="shared" si="2">+$G$3*4%</f>
        <v>118820.08</v>
      </c>
      <c r="K11" s="511">
        <f ref="K11:K83" t="shared" si="3">+$G$3*2%</f>
        <v>59410.04</v>
      </c>
      <c r="L11" s="1156">
        <v>1667</v>
      </c>
      <c r="M11" s="295">
        <f t="shared" si="0"/>
        <v>3295656.6678</v>
      </c>
      <c r="N11" s="1132">
        <f>+M11*8%</f>
        <v>263652.533424</v>
      </c>
      <c r="O11" s="404"/>
      <c r="P11" s="1133"/>
      <c r="Q11" s="408"/>
      <c r="R11" s="1141">
        <f>SUM(M11:Q11)</f>
        <v>3559309.201224</v>
      </c>
      <c r="S11" s="1141">
        <f>N11*0.1</f>
        <v>26365.253342400003</v>
      </c>
      <c r="T11" s="1142">
        <f>R11+S11</f>
        <v>3585674.4545664</v>
      </c>
      <c r="U11" s="1143">
        <v>44404</v>
      </c>
      <c r="V11" s="430">
        <v>44500</v>
      </c>
      <c r="W11" s="1144"/>
    </row>
    <row r="12" ht="12" customHeight="1">
      <c r="A12" s="1750" t="s">
        <v>30</v>
      </c>
      <c r="B12" s="1893"/>
      <c r="C12" s="1751"/>
      <c r="D12" s="1751"/>
      <c r="E12" s="1751"/>
      <c r="F12" s="1752"/>
      <c r="G12" s="1128">
        <f ref="G12:T12" t="shared" si="4">SUM(G7:G11)</f>
        <v>14852510</v>
      </c>
      <c r="H12" s="1128">
        <f t="shared" si="4"/>
        <v>0</v>
      </c>
      <c r="I12" s="1128">
        <f t="shared" si="4"/>
        <v>726287.739</v>
      </c>
      <c r="J12" s="1128">
        <f t="shared" si="4"/>
        <v>594100.4</v>
      </c>
      <c r="K12" s="1128">
        <f t="shared" si="4"/>
        <v>297050.2</v>
      </c>
      <c r="L12" s="1128">
        <f t="shared" si="4"/>
        <v>8335</v>
      </c>
      <c r="M12" s="1128">
        <f t="shared" si="4"/>
        <v>16478283.339</v>
      </c>
      <c r="N12" s="1128">
        <f t="shared" si="4"/>
        <v>1318262.66712</v>
      </c>
      <c r="O12" s="1128">
        <f t="shared" si="4"/>
        <v>2020000</v>
      </c>
      <c r="P12" s="1128">
        <f t="shared" si="4"/>
        <v>300000</v>
      </c>
      <c r="Q12" s="1128">
        <f t="shared" si="4"/>
        <v>1138000</v>
      </c>
      <c r="R12" s="1128">
        <f t="shared" si="4"/>
        <v>21254546.00612</v>
      </c>
      <c r="S12" s="1128">
        <f t="shared" si="4"/>
        <v>131826.266712</v>
      </c>
      <c r="T12" s="1128">
        <f t="shared" si="4"/>
        <v>21386372.272832002</v>
      </c>
      <c r="U12" s="1128"/>
      <c r="V12" s="711"/>
    </row>
    <row r="13" ht="12" customHeight="1">
      <c r="A13" s="207" t="s">
        <v>30</v>
      </c>
      <c r="B13" s="1871"/>
      <c r="C13" s="212"/>
      <c r="D13" s="211"/>
      <c r="E13" s="211"/>
      <c r="F13" s="211"/>
      <c r="G13" s="387"/>
      <c r="H13" s="387"/>
      <c r="I13" s="1135"/>
      <c r="J13" s="1135"/>
      <c r="K13" s="1135"/>
      <c r="L13" s="1135"/>
      <c r="M13" s="1136"/>
      <c r="N13" s="1135"/>
      <c r="O13" s="1137"/>
      <c r="P13" s="281"/>
      <c r="Q13" s="281"/>
      <c r="R13" s="281"/>
      <c r="S13" s="281"/>
      <c r="T13" s="318"/>
      <c r="U13" s="656"/>
    </row>
    <row r="14" ht="12" customHeight="1">
      <c r="A14" s="1129" t="s">
        <v>30</v>
      </c>
      <c r="B14" s="1857"/>
      <c r="C14" s="1129"/>
      <c r="D14" s="1129"/>
      <c r="E14" s="1129"/>
      <c r="F14" s="1129"/>
      <c r="G14" s="683"/>
      <c r="H14" s="683"/>
      <c r="I14" s="1138"/>
      <c r="J14" s="1138"/>
      <c r="K14" s="1138"/>
      <c r="L14" s="1138"/>
      <c r="M14" s="1138"/>
      <c r="N14" s="1138"/>
      <c r="O14" s="1138"/>
      <c r="P14" s="683"/>
      <c r="Q14" s="683"/>
      <c r="R14" s="683"/>
      <c r="S14" s="683"/>
      <c r="T14" s="1147"/>
      <c r="U14" s="1147"/>
    </row>
    <row r="15" ht="33" customHeight="1">
      <c r="A15" s="1149" t="s">
        <v>31</v>
      </c>
      <c r="B15" s="1894" t="s">
        <v>3</v>
      </c>
      <c r="C15" s="1150" t="s">
        <v>4</v>
      </c>
      <c r="D15" s="1150" t="s">
        <v>5</v>
      </c>
      <c r="E15" s="1150" t="s">
        <v>6</v>
      </c>
      <c r="F15" s="1151" t="s">
        <v>7</v>
      </c>
      <c r="G15" s="1152" t="s">
        <v>8</v>
      </c>
      <c r="H15" s="219" t="s">
        <v>9</v>
      </c>
      <c r="I15" s="1157" t="s">
        <v>10</v>
      </c>
      <c r="J15" s="1158" t="s">
        <v>11</v>
      </c>
      <c r="K15" s="1159" t="s">
        <v>12</v>
      </c>
      <c r="L15" s="1160" t="s">
        <v>13</v>
      </c>
      <c r="M15" s="1161" t="s">
        <v>14</v>
      </c>
      <c r="N15" s="1162" t="s">
        <v>15</v>
      </c>
      <c r="O15" s="1163" t="s">
        <v>1536</v>
      </c>
      <c r="P15" s="285" t="s">
        <v>17</v>
      </c>
      <c r="Q15" s="285" t="s">
        <v>18</v>
      </c>
      <c r="R15" s="1170" t="s">
        <v>19</v>
      </c>
      <c r="S15" s="1171" t="s">
        <v>20</v>
      </c>
      <c r="T15" s="1171" t="s">
        <v>21</v>
      </c>
      <c r="U15" s="1172" t="s">
        <v>22</v>
      </c>
      <c r="V15" s="1173" t="s">
        <v>23</v>
      </c>
    </row>
    <row r="16" ht="12" customHeight="1">
      <c r="A16" s="238" t="s">
        <v>24</v>
      </c>
      <c r="B16" s="239" t="s">
        <v>1537</v>
      </c>
      <c r="C16" s="1153" t="s">
        <v>1538</v>
      </c>
      <c r="D16" s="491" t="s">
        <v>34</v>
      </c>
      <c r="E16" s="491" t="s">
        <v>47</v>
      </c>
      <c r="F16" s="491" t="s">
        <v>177</v>
      </c>
      <c r="G16" s="304">
        <v>2970502</v>
      </c>
      <c r="H16" s="304"/>
      <c r="I16" s="298">
        <f ref="I16:I47" t="shared" si="5">+$G$3*4.89%</f>
        <v>145257.5478</v>
      </c>
      <c r="J16" s="298">
        <f ref="J16:J47" t="shared" si="6">+$G$3*4%</f>
        <v>118820.08</v>
      </c>
      <c r="K16" s="298">
        <f ref="K16:K47" t="shared" si="7">+$G$3*2%</f>
        <v>59410.04</v>
      </c>
      <c r="L16" s="298">
        <v>15000</v>
      </c>
      <c r="M16" s="295">
        <f>SUM(G16:L16)</f>
        <v>3308989.6678</v>
      </c>
      <c r="N16" s="921">
        <f ref="N16:N47" t="shared" si="8">+M16*8%</f>
        <v>264719.173424</v>
      </c>
      <c r="O16" s="304">
        <v>1097500</v>
      </c>
      <c r="P16" s="1164"/>
      <c r="Q16" s="303"/>
      <c r="R16" s="335">
        <f ref="R16:R47" t="shared" si="9">SUM(M16:Q16)</f>
        <v>4671208.841224</v>
      </c>
      <c r="S16" s="335">
        <f ref="S16:S47" t="shared" si="10">N16*0.1</f>
        <v>26471.9173424</v>
      </c>
      <c r="T16" s="336">
        <f ref="T16:T47" t="shared" si="11">R16+S16</f>
        <v>4697680.7585664</v>
      </c>
      <c r="U16" s="1174">
        <v>44409</v>
      </c>
      <c r="V16" s="340">
        <v>44500</v>
      </c>
      <c r="W16" s="1175"/>
      <c r="X16" s="1146"/>
      <c r="Y16" s="1146"/>
    </row>
    <row r="17" ht="12" customHeight="1">
      <c r="A17" s="238" t="s">
        <v>24</v>
      </c>
      <c r="B17" s="239" t="s">
        <v>1539</v>
      </c>
      <c r="C17" s="1154" t="s">
        <v>1540</v>
      </c>
      <c r="D17" s="491" t="s">
        <v>34</v>
      </c>
      <c r="E17" s="491" t="s">
        <v>47</v>
      </c>
      <c r="F17" s="491" t="s">
        <v>177</v>
      </c>
      <c r="G17" s="304">
        <v>2970502</v>
      </c>
      <c r="H17" s="304"/>
      <c r="I17" s="298">
        <f t="shared" si="5"/>
        <v>145257.5478</v>
      </c>
      <c r="J17" s="298">
        <f t="shared" si="6"/>
        <v>118820.08</v>
      </c>
      <c r="K17" s="298">
        <f t="shared" si="7"/>
        <v>59410.04</v>
      </c>
      <c r="L17" s="298">
        <v>15000</v>
      </c>
      <c r="M17" s="295">
        <f ref="M17:M47" t="shared" si="12">SUM(G17,I17:L17)-H17</f>
        <v>3308989.6678</v>
      </c>
      <c r="N17" s="921">
        <f t="shared" si="8"/>
        <v>264719.173424</v>
      </c>
      <c r="O17" s="304">
        <v>637500</v>
      </c>
      <c r="P17" s="1164"/>
      <c r="Q17" s="303"/>
      <c r="R17" s="335">
        <f t="shared" si="9"/>
        <v>4211208.841224</v>
      </c>
      <c r="S17" s="335">
        <f t="shared" si="10"/>
        <v>26471.9173424</v>
      </c>
      <c r="T17" s="336">
        <f t="shared" si="11"/>
        <v>4237680.7585664</v>
      </c>
      <c r="U17" s="1176">
        <v>44345</v>
      </c>
      <c r="V17" s="340">
        <v>44439</v>
      </c>
      <c r="W17" s="1175"/>
      <c r="X17" s="1146"/>
      <c r="Y17" s="1146"/>
    </row>
    <row r="18" ht="12" customHeight="1">
      <c r="A18" s="238" t="s">
        <v>24</v>
      </c>
      <c r="B18" s="239">
        <v>2193</v>
      </c>
      <c r="C18" s="1153" t="s">
        <v>1541</v>
      </c>
      <c r="D18" s="491" t="s">
        <v>34</v>
      </c>
      <c r="E18" s="491" t="s">
        <v>47</v>
      </c>
      <c r="F18" s="491" t="s">
        <v>177</v>
      </c>
      <c r="G18" s="304">
        <v>2970502</v>
      </c>
      <c r="H18" s="304"/>
      <c r="I18" s="298">
        <f t="shared" si="5"/>
        <v>145257.5478</v>
      </c>
      <c r="J18" s="298">
        <f t="shared" si="6"/>
        <v>118820.08</v>
      </c>
      <c r="K18" s="298">
        <f t="shared" si="7"/>
        <v>59410.04</v>
      </c>
      <c r="L18" s="298">
        <v>15000</v>
      </c>
      <c r="M18" s="295">
        <f t="shared" si="12"/>
        <v>3308989.6678</v>
      </c>
      <c r="N18" s="921">
        <f t="shared" si="8"/>
        <v>264719.173424</v>
      </c>
      <c r="O18" s="304">
        <v>595000</v>
      </c>
      <c r="P18" s="1164"/>
      <c r="Q18" s="303"/>
      <c r="R18" s="335">
        <f t="shared" si="9"/>
        <v>4168708.841224</v>
      </c>
      <c r="S18" s="335">
        <f t="shared" si="10"/>
        <v>26471.9173424</v>
      </c>
      <c r="T18" s="336">
        <f t="shared" si="11"/>
        <v>4195180.7585664</v>
      </c>
      <c r="U18" s="1174">
        <v>44409</v>
      </c>
      <c r="V18" s="340">
        <v>44439</v>
      </c>
      <c r="W18" s="1175"/>
      <c r="X18" s="1146"/>
      <c r="Y18" s="1146"/>
    </row>
    <row r="19" ht="12" customHeight="1">
      <c r="A19" s="238" t="s">
        <v>24</v>
      </c>
      <c r="B19" s="239" t="s">
        <v>1542</v>
      </c>
      <c r="C19" s="1154" t="s">
        <v>1543</v>
      </c>
      <c r="D19" s="491" t="s">
        <v>34</v>
      </c>
      <c r="E19" s="491" t="s">
        <v>47</v>
      </c>
      <c r="F19" s="491" t="s">
        <v>177</v>
      </c>
      <c r="G19" s="304">
        <v>2970502</v>
      </c>
      <c r="H19" s="304"/>
      <c r="I19" s="298">
        <f t="shared" si="5"/>
        <v>145257.5478</v>
      </c>
      <c r="J19" s="298">
        <f t="shared" si="6"/>
        <v>118820.08</v>
      </c>
      <c r="K19" s="298">
        <f t="shared" si="7"/>
        <v>59410.04</v>
      </c>
      <c r="L19" s="298">
        <v>15000</v>
      </c>
      <c r="M19" s="295">
        <f t="shared" si="12"/>
        <v>3308989.6678</v>
      </c>
      <c r="N19" s="921">
        <f t="shared" si="8"/>
        <v>264719.173424</v>
      </c>
      <c r="O19" s="304">
        <v>594500</v>
      </c>
      <c r="P19" s="1164"/>
      <c r="Q19" s="303"/>
      <c r="R19" s="335">
        <f t="shared" si="9"/>
        <v>4168208.841224</v>
      </c>
      <c r="S19" s="335">
        <f t="shared" si="10"/>
        <v>26471.9173424</v>
      </c>
      <c r="T19" s="336">
        <f t="shared" si="11"/>
        <v>4194680.7585664</v>
      </c>
      <c r="U19" s="1176">
        <v>44365</v>
      </c>
      <c r="V19" s="340">
        <v>44469</v>
      </c>
      <c r="W19" s="1175"/>
      <c r="X19" s="1146"/>
      <c r="Y19" s="1146"/>
    </row>
    <row r="20" ht="12" customHeight="1">
      <c r="A20" s="238" t="s">
        <v>24</v>
      </c>
      <c r="B20" s="239" t="s">
        <v>1544</v>
      </c>
      <c r="C20" s="1153" t="s">
        <v>1545</v>
      </c>
      <c r="D20" s="491" t="s">
        <v>34</v>
      </c>
      <c r="E20" s="491" t="s">
        <v>47</v>
      </c>
      <c r="F20" s="491" t="s">
        <v>177</v>
      </c>
      <c r="G20" s="304">
        <v>2970502</v>
      </c>
      <c r="H20" s="304"/>
      <c r="I20" s="298">
        <f t="shared" si="5"/>
        <v>145257.5478</v>
      </c>
      <c r="J20" s="298">
        <f t="shared" si="6"/>
        <v>118820.08</v>
      </c>
      <c r="K20" s="298">
        <f t="shared" si="7"/>
        <v>59410.04</v>
      </c>
      <c r="L20" s="298">
        <v>15000</v>
      </c>
      <c r="M20" s="295">
        <f t="shared" si="12"/>
        <v>3308989.6678</v>
      </c>
      <c r="N20" s="921">
        <f t="shared" si="8"/>
        <v>264719.173424</v>
      </c>
      <c r="O20" s="304">
        <v>665000</v>
      </c>
      <c r="P20" s="1164"/>
      <c r="Q20" s="303"/>
      <c r="R20" s="335">
        <f t="shared" si="9"/>
        <v>4238708.841224</v>
      </c>
      <c r="S20" s="335">
        <f t="shared" si="10"/>
        <v>26471.9173424</v>
      </c>
      <c r="T20" s="336">
        <f t="shared" si="11"/>
        <v>4265180.7585664</v>
      </c>
      <c r="U20" s="1174">
        <v>44409</v>
      </c>
      <c r="V20" s="340">
        <v>44500</v>
      </c>
      <c r="W20" s="1175"/>
      <c r="X20" s="1146"/>
      <c r="Y20" s="1146"/>
    </row>
    <row r="21" ht="12" customHeight="1">
      <c r="A21" s="238" t="s">
        <v>24</v>
      </c>
      <c r="B21" s="239" t="s">
        <v>1546</v>
      </c>
      <c r="C21" s="1154" t="s">
        <v>1547</v>
      </c>
      <c r="D21" s="491" t="s">
        <v>34</v>
      </c>
      <c r="E21" s="491" t="s">
        <v>47</v>
      </c>
      <c r="F21" s="491" t="s">
        <v>177</v>
      </c>
      <c r="G21" s="304">
        <v>2970502</v>
      </c>
      <c r="H21" s="304"/>
      <c r="I21" s="298">
        <f t="shared" si="5"/>
        <v>145257.5478</v>
      </c>
      <c r="J21" s="298">
        <f t="shared" si="6"/>
        <v>118820.08</v>
      </c>
      <c r="K21" s="298">
        <f t="shared" si="7"/>
        <v>59410.04</v>
      </c>
      <c r="L21" s="298">
        <v>15000</v>
      </c>
      <c r="M21" s="295">
        <f t="shared" si="12"/>
        <v>3308989.6678</v>
      </c>
      <c r="N21" s="921">
        <f t="shared" si="8"/>
        <v>264719.173424</v>
      </c>
      <c r="O21" s="304">
        <v>300000</v>
      </c>
      <c r="P21" s="1164"/>
      <c r="Q21" s="303"/>
      <c r="R21" s="335">
        <f t="shared" si="9"/>
        <v>3873708.841224</v>
      </c>
      <c r="S21" s="335">
        <f t="shared" si="10"/>
        <v>26471.9173424</v>
      </c>
      <c r="T21" s="336">
        <f t="shared" si="11"/>
        <v>3900180.7585664</v>
      </c>
      <c r="U21" s="1176">
        <v>44385</v>
      </c>
      <c r="V21" s="340">
        <v>44469</v>
      </c>
      <c r="W21" s="1175"/>
      <c r="X21" s="1146"/>
      <c r="Y21" s="1146"/>
    </row>
    <row r="22" ht="12" customHeight="1">
      <c r="A22" s="238" t="s">
        <v>24</v>
      </c>
      <c r="B22" s="239" t="s">
        <v>1548</v>
      </c>
      <c r="C22" s="1153" t="s">
        <v>1549</v>
      </c>
      <c r="D22" s="491" t="s">
        <v>34</v>
      </c>
      <c r="E22" s="491" t="s">
        <v>47</v>
      </c>
      <c r="F22" s="491" t="s">
        <v>177</v>
      </c>
      <c r="G22" s="304">
        <v>2970502</v>
      </c>
      <c r="H22" s="304"/>
      <c r="I22" s="298">
        <f t="shared" si="5"/>
        <v>145257.5478</v>
      </c>
      <c r="J22" s="298">
        <f t="shared" si="6"/>
        <v>118820.08</v>
      </c>
      <c r="K22" s="298">
        <f t="shared" si="7"/>
        <v>59410.04</v>
      </c>
      <c r="L22" s="298">
        <v>15000</v>
      </c>
      <c r="M22" s="295">
        <f t="shared" si="12"/>
        <v>3308989.6678</v>
      </c>
      <c r="N22" s="921">
        <f t="shared" si="8"/>
        <v>264719.173424</v>
      </c>
      <c r="O22" s="304">
        <v>545000</v>
      </c>
      <c r="P22" s="1164"/>
      <c r="Q22" s="303"/>
      <c r="R22" s="335">
        <f t="shared" si="9"/>
        <v>4118708.841224</v>
      </c>
      <c r="S22" s="335">
        <f t="shared" si="10"/>
        <v>26471.9173424</v>
      </c>
      <c r="T22" s="336">
        <f t="shared" si="11"/>
        <v>4145180.7585664</v>
      </c>
      <c r="U22" s="1174">
        <v>44378</v>
      </c>
      <c r="V22" s="340">
        <v>44469</v>
      </c>
      <c r="X22" s="1146"/>
      <c r="Y22" s="1146"/>
    </row>
    <row r="23" ht="12" customHeight="1">
      <c r="A23" s="238" t="s">
        <v>24</v>
      </c>
      <c r="B23" s="239" t="s">
        <v>1550</v>
      </c>
      <c r="C23" s="1153" t="s">
        <v>1551</v>
      </c>
      <c r="D23" s="491" t="s">
        <v>34</v>
      </c>
      <c r="E23" s="491" t="s">
        <v>47</v>
      </c>
      <c r="F23" s="491" t="s">
        <v>177</v>
      </c>
      <c r="G23" s="304">
        <v>2970502</v>
      </c>
      <c r="H23" s="304"/>
      <c r="I23" s="298">
        <f t="shared" si="5"/>
        <v>145257.5478</v>
      </c>
      <c r="J23" s="298">
        <f t="shared" si="6"/>
        <v>118820.08</v>
      </c>
      <c r="K23" s="298">
        <f t="shared" si="7"/>
        <v>59410.04</v>
      </c>
      <c r="L23" s="298">
        <v>15000</v>
      </c>
      <c r="M23" s="295">
        <f t="shared" si="12"/>
        <v>3308989.6678</v>
      </c>
      <c r="N23" s="921">
        <f t="shared" si="8"/>
        <v>264719.173424</v>
      </c>
      <c r="O23" s="304">
        <v>847500</v>
      </c>
      <c r="P23" s="1164"/>
      <c r="Q23" s="303"/>
      <c r="R23" s="335">
        <f t="shared" si="9"/>
        <v>4421208.841224</v>
      </c>
      <c r="S23" s="335">
        <f t="shared" si="10"/>
        <v>26471.9173424</v>
      </c>
      <c r="T23" s="336">
        <f t="shared" si="11"/>
        <v>4447680.7585664</v>
      </c>
      <c r="U23" s="1174">
        <v>44348</v>
      </c>
      <c r="V23" s="340">
        <v>44439</v>
      </c>
      <c r="W23" s="1175"/>
      <c r="X23" s="1146"/>
      <c r="Y23" s="1146"/>
    </row>
    <row r="24" ht="12" customHeight="1">
      <c r="A24" s="238" t="s">
        <v>24</v>
      </c>
      <c r="B24" s="239" t="s">
        <v>1552</v>
      </c>
      <c r="C24" s="1153" t="s">
        <v>1553</v>
      </c>
      <c r="D24" s="491" t="s">
        <v>34</v>
      </c>
      <c r="E24" s="491" t="s">
        <v>47</v>
      </c>
      <c r="F24" s="491" t="s">
        <v>177</v>
      </c>
      <c r="G24" s="304">
        <v>2970502</v>
      </c>
      <c r="H24" s="304"/>
      <c r="I24" s="298">
        <f t="shared" si="5"/>
        <v>145257.5478</v>
      </c>
      <c r="J24" s="298">
        <f t="shared" si="6"/>
        <v>118820.08</v>
      </c>
      <c r="K24" s="298">
        <f t="shared" si="7"/>
        <v>59410.04</v>
      </c>
      <c r="L24" s="298">
        <v>15000</v>
      </c>
      <c r="M24" s="295">
        <f t="shared" si="12"/>
        <v>3308989.6678</v>
      </c>
      <c r="N24" s="921">
        <f t="shared" si="8"/>
        <v>264719.173424</v>
      </c>
      <c r="O24" s="304">
        <v>920000</v>
      </c>
      <c r="P24" s="1164"/>
      <c r="Q24" s="303"/>
      <c r="R24" s="335">
        <f t="shared" si="9"/>
        <v>4493708.841224</v>
      </c>
      <c r="S24" s="335">
        <f t="shared" si="10"/>
        <v>26471.9173424</v>
      </c>
      <c r="T24" s="336">
        <f t="shared" si="11"/>
        <v>4520180.7585664</v>
      </c>
      <c r="U24" s="1174">
        <v>44348</v>
      </c>
      <c r="V24" s="340">
        <v>44439</v>
      </c>
      <c r="X24" s="1146"/>
      <c r="Y24" s="1146"/>
    </row>
    <row r="25" ht="12" customHeight="1">
      <c r="A25" s="238" t="s">
        <v>24</v>
      </c>
      <c r="B25" s="239" t="s">
        <v>1554</v>
      </c>
      <c r="C25" s="1153" t="s">
        <v>1555</v>
      </c>
      <c r="D25" s="491" t="s">
        <v>34</v>
      </c>
      <c r="E25" s="491" t="s">
        <v>47</v>
      </c>
      <c r="F25" s="491" t="s">
        <v>177</v>
      </c>
      <c r="G25" s="304">
        <v>2970502</v>
      </c>
      <c r="H25" s="304"/>
      <c r="I25" s="298">
        <f t="shared" si="5"/>
        <v>145257.5478</v>
      </c>
      <c r="J25" s="298">
        <f t="shared" si="6"/>
        <v>118820.08</v>
      </c>
      <c r="K25" s="298">
        <f t="shared" si="7"/>
        <v>59410.04</v>
      </c>
      <c r="L25" s="298">
        <v>15000</v>
      </c>
      <c r="M25" s="295">
        <f t="shared" si="12"/>
        <v>3308989.6678</v>
      </c>
      <c r="N25" s="921">
        <f t="shared" si="8"/>
        <v>264719.173424</v>
      </c>
      <c r="O25" s="304">
        <v>620000</v>
      </c>
      <c r="P25" s="1164"/>
      <c r="Q25" s="303"/>
      <c r="R25" s="335">
        <f t="shared" si="9"/>
        <v>4193708.841224</v>
      </c>
      <c r="S25" s="335">
        <f t="shared" si="10"/>
        <v>26471.9173424</v>
      </c>
      <c r="T25" s="336">
        <f t="shared" si="11"/>
        <v>4220180.7585664</v>
      </c>
      <c r="U25" s="1174">
        <v>44409</v>
      </c>
      <c r="V25" s="340">
        <v>44500</v>
      </c>
      <c r="W25" s="1175"/>
      <c r="X25" s="1146"/>
      <c r="Y25" s="1146"/>
    </row>
    <row r="26" ht="12" customHeight="1">
      <c r="A26" s="238" t="s">
        <v>24</v>
      </c>
      <c r="B26" s="239" t="s">
        <v>1556</v>
      </c>
      <c r="C26" s="1153" t="s">
        <v>1557</v>
      </c>
      <c r="D26" s="491" t="s">
        <v>34</v>
      </c>
      <c r="E26" s="491" t="s">
        <v>47</v>
      </c>
      <c r="F26" s="491" t="s">
        <v>177</v>
      </c>
      <c r="G26" s="304">
        <v>2970502</v>
      </c>
      <c r="H26" s="304"/>
      <c r="I26" s="298">
        <f t="shared" si="5"/>
        <v>145257.5478</v>
      </c>
      <c r="J26" s="298">
        <f t="shared" si="6"/>
        <v>118820.08</v>
      </c>
      <c r="K26" s="298">
        <f t="shared" si="7"/>
        <v>59410.04</v>
      </c>
      <c r="L26" s="298">
        <v>15000</v>
      </c>
      <c r="M26" s="295">
        <f t="shared" si="12"/>
        <v>3308989.6678</v>
      </c>
      <c r="N26" s="921">
        <f t="shared" si="8"/>
        <v>264719.173424</v>
      </c>
      <c r="O26" s="304">
        <v>545000</v>
      </c>
      <c r="P26" s="1164"/>
      <c r="Q26" s="303"/>
      <c r="R26" s="335">
        <f t="shared" si="9"/>
        <v>4118708.841224</v>
      </c>
      <c r="S26" s="335">
        <f t="shared" si="10"/>
        <v>26471.9173424</v>
      </c>
      <c r="T26" s="336">
        <f t="shared" si="11"/>
        <v>4145180.7585664</v>
      </c>
      <c r="U26" s="1174">
        <v>44409</v>
      </c>
      <c r="V26" s="340">
        <v>44439</v>
      </c>
      <c r="X26" s="1146"/>
      <c r="Y26" s="1146"/>
    </row>
    <row r="27" ht="12" customHeight="1">
      <c r="A27" s="238" t="s">
        <v>24</v>
      </c>
      <c r="B27" s="239" t="s">
        <v>1558</v>
      </c>
      <c r="C27" s="1153" t="s">
        <v>1559</v>
      </c>
      <c r="D27" s="491" t="s">
        <v>34</v>
      </c>
      <c r="E27" s="491" t="s">
        <v>47</v>
      </c>
      <c r="F27" s="491" t="s">
        <v>177</v>
      </c>
      <c r="G27" s="304">
        <v>2970502</v>
      </c>
      <c r="H27" s="304"/>
      <c r="I27" s="298">
        <f t="shared" si="5"/>
        <v>145257.5478</v>
      </c>
      <c r="J27" s="298">
        <f t="shared" si="6"/>
        <v>118820.08</v>
      </c>
      <c r="K27" s="298">
        <f t="shared" si="7"/>
        <v>59410.04</v>
      </c>
      <c r="L27" s="298">
        <v>15000</v>
      </c>
      <c r="M27" s="295">
        <f t="shared" si="12"/>
        <v>3308989.6678</v>
      </c>
      <c r="N27" s="921">
        <f t="shared" si="8"/>
        <v>264719.173424</v>
      </c>
      <c r="O27" s="304">
        <v>852500</v>
      </c>
      <c r="P27" s="1164"/>
      <c r="Q27" s="303"/>
      <c r="R27" s="335">
        <f t="shared" si="9"/>
        <v>4426208.841224</v>
      </c>
      <c r="S27" s="335">
        <f t="shared" si="10"/>
        <v>26471.9173424</v>
      </c>
      <c r="T27" s="336">
        <f t="shared" si="11"/>
        <v>4452680.7585664</v>
      </c>
      <c r="U27" s="1174">
        <v>44378</v>
      </c>
      <c r="V27" s="340">
        <v>44469</v>
      </c>
      <c r="X27" s="1146"/>
      <c r="Y27" s="1146"/>
    </row>
    <row r="28" ht="12" customHeight="1">
      <c r="A28" s="238" t="s">
        <v>24</v>
      </c>
      <c r="B28" s="239" t="s">
        <v>1560</v>
      </c>
      <c r="C28" s="1153" t="s">
        <v>1561</v>
      </c>
      <c r="D28" s="491" t="s">
        <v>34</v>
      </c>
      <c r="E28" s="491" t="s">
        <v>47</v>
      </c>
      <c r="F28" s="491" t="s">
        <v>177</v>
      </c>
      <c r="G28" s="304">
        <v>2970502</v>
      </c>
      <c r="H28" s="304"/>
      <c r="I28" s="298">
        <f t="shared" si="5"/>
        <v>145257.5478</v>
      </c>
      <c r="J28" s="298">
        <f t="shared" si="6"/>
        <v>118820.08</v>
      </c>
      <c r="K28" s="298">
        <f t="shared" si="7"/>
        <v>59410.04</v>
      </c>
      <c r="L28" s="298">
        <v>15000</v>
      </c>
      <c r="M28" s="295">
        <f t="shared" si="12"/>
        <v>3308989.6678</v>
      </c>
      <c r="N28" s="921">
        <f t="shared" si="8"/>
        <v>264719.173424</v>
      </c>
      <c r="O28" s="304">
        <v>790000</v>
      </c>
      <c r="P28" s="1164"/>
      <c r="Q28" s="303"/>
      <c r="R28" s="335">
        <f t="shared" si="9"/>
        <v>4363708.841224</v>
      </c>
      <c r="S28" s="335">
        <f t="shared" si="10"/>
        <v>26471.9173424</v>
      </c>
      <c r="T28" s="336">
        <f t="shared" si="11"/>
        <v>4390180.7585664</v>
      </c>
      <c r="U28" s="1174">
        <v>44409</v>
      </c>
      <c r="V28" s="340">
        <v>44500</v>
      </c>
      <c r="W28" s="1175"/>
      <c r="X28" s="1146"/>
      <c r="Y28" s="1146"/>
    </row>
    <row r="29" ht="12" customHeight="1">
      <c r="A29" s="238" t="s">
        <v>24</v>
      </c>
      <c r="B29" s="239" t="s">
        <v>1562</v>
      </c>
      <c r="C29" s="1154" t="s">
        <v>1563</v>
      </c>
      <c r="D29" s="491" t="s">
        <v>34</v>
      </c>
      <c r="E29" s="491" t="s">
        <v>47</v>
      </c>
      <c r="F29" s="491" t="s">
        <v>177</v>
      </c>
      <c r="G29" s="304">
        <v>2970502</v>
      </c>
      <c r="H29" s="304"/>
      <c r="I29" s="298">
        <f t="shared" si="5"/>
        <v>145257.5478</v>
      </c>
      <c r="J29" s="298">
        <f t="shared" si="6"/>
        <v>118820.08</v>
      </c>
      <c r="K29" s="298">
        <f t="shared" si="7"/>
        <v>59410.04</v>
      </c>
      <c r="L29" s="298">
        <v>15000</v>
      </c>
      <c r="M29" s="295">
        <f t="shared" si="12"/>
        <v>3308989.6678</v>
      </c>
      <c r="N29" s="921">
        <f t="shared" si="8"/>
        <v>264719.173424</v>
      </c>
      <c r="O29" s="304">
        <v>820000</v>
      </c>
      <c r="P29" s="1164"/>
      <c r="Q29" s="303"/>
      <c r="R29" s="335">
        <f t="shared" si="9"/>
        <v>4393708.841224</v>
      </c>
      <c r="S29" s="335">
        <f t="shared" si="10"/>
        <v>26471.9173424</v>
      </c>
      <c r="T29" s="336">
        <f t="shared" si="11"/>
        <v>4420180.7585664</v>
      </c>
      <c r="U29" s="1176">
        <v>44348</v>
      </c>
      <c r="V29" s="340">
        <v>44439</v>
      </c>
      <c r="W29" s="1175"/>
      <c r="X29" s="1146"/>
      <c r="Y29" s="1146"/>
    </row>
    <row r="30" ht="12" customHeight="1">
      <c r="A30" s="238" t="s">
        <v>24</v>
      </c>
      <c r="B30" s="239" t="s">
        <v>1564</v>
      </c>
      <c r="C30" s="1153" t="s">
        <v>1565</v>
      </c>
      <c r="D30" s="491" t="s">
        <v>34</v>
      </c>
      <c r="E30" s="491" t="s">
        <v>47</v>
      </c>
      <c r="F30" s="491" t="s">
        <v>177</v>
      </c>
      <c r="G30" s="304">
        <v>2970502</v>
      </c>
      <c r="H30" s="304"/>
      <c r="I30" s="298">
        <f t="shared" si="5"/>
        <v>145257.5478</v>
      </c>
      <c r="J30" s="298">
        <f t="shared" si="6"/>
        <v>118820.08</v>
      </c>
      <c r="K30" s="298">
        <f t="shared" si="7"/>
        <v>59410.04</v>
      </c>
      <c r="L30" s="298">
        <v>15000</v>
      </c>
      <c r="M30" s="295">
        <f t="shared" si="12"/>
        <v>3308989.6678</v>
      </c>
      <c r="N30" s="921">
        <f t="shared" si="8"/>
        <v>264719.173424</v>
      </c>
      <c r="O30" s="304">
        <v>475000</v>
      </c>
      <c r="P30" s="1164"/>
      <c r="Q30" s="303"/>
      <c r="R30" s="335">
        <f t="shared" si="9"/>
        <v>4048708.841224</v>
      </c>
      <c r="S30" s="335">
        <f t="shared" si="10"/>
        <v>26471.9173424</v>
      </c>
      <c r="T30" s="336">
        <f t="shared" si="11"/>
        <v>4075180.7585664</v>
      </c>
      <c r="U30" s="1174">
        <v>44348</v>
      </c>
      <c r="V30" s="340">
        <v>44439</v>
      </c>
      <c r="X30" s="1146"/>
      <c r="Y30" s="1146"/>
    </row>
    <row r="31" ht="12" customHeight="1">
      <c r="A31" s="238" t="s">
        <v>24</v>
      </c>
      <c r="B31" s="239">
        <v>2194</v>
      </c>
      <c r="C31" s="1153" t="s">
        <v>1566</v>
      </c>
      <c r="D31" s="491" t="s">
        <v>34</v>
      </c>
      <c r="E31" s="491" t="s">
        <v>47</v>
      </c>
      <c r="F31" s="491" t="s">
        <v>177</v>
      </c>
      <c r="G31" s="304">
        <v>2970502</v>
      </c>
      <c r="H31" s="304"/>
      <c r="I31" s="298">
        <f t="shared" si="5"/>
        <v>145257.5478</v>
      </c>
      <c r="J31" s="298">
        <f t="shared" si="6"/>
        <v>118820.08</v>
      </c>
      <c r="K31" s="298">
        <f t="shared" si="7"/>
        <v>59410.04</v>
      </c>
      <c r="L31" s="298">
        <v>15000</v>
      </c>
      <c r="M31" s="295">
        <f t="shared" si="12"/>
        <v>3308989.6678</v>
      </c>
      <c r="N31" s="921">
        <f t="shared" si="8"/>
        <v>264719.173424</v>
      </c>
      <c r="O31" s="304">
        <v>505000</v>
      </c>
      <c r="P31" s="1165"/>
      <c r="Q31" s="399"/>
      <c r="R31" s="335">
        <f t="shared" si="9"/>
        <v>4078708.841224</v>
      </c>
      <c r="S31" s="335">
        <f t="shared" si="10"/>
        <v>26471.9173424</v>
      </c>
      <c r="T31" s="336">
        <f t="shared" si="11"/>
        <v>4105180.7585664</v>
      </c>
      <c r="U31" s="417">
        <v>44378</v>
      </c>
      <c r="V31" s="337">
        <v>44469</v>
      </c>
      <c r="W31" s="1175"/>
      <c r="X31" s="1146"/>
      <c r="Y31" s="1146"/>
    </row>
    <row r="32" ht="12" customHeight="1">
      <c r="A32" s="238" t="s">
        <v>24</v>
      </c>
      <c r="B32" s="239" t="s">
        <v>1567</v>
      </c>
      <c r="C32" s="240" t="s">
        <v>1568</v>
      </c>
      <c r="D32" s="239" t="s">
        <v>34</v>
      </c>
      <c r="E32" s="618" t="s">
        <v>314</v>
      </c>
      <c r="F32" s="240" t="s">
        <v>87</v>
      </c>
      <c r="G32" s="304">
        <v>2970502</v>
      </c>
      <c r="H32" s="304"/>
      <c r="I32" s="298">
        <f t="shared" si="5"/>
        <v>145257.5478</v>
      </c>
      <c r="J32" s="298">
        <f t="shared" si="6"/>
        <v>118820.08</v>
      </c>
      <c r="K32" s="298">
        <f t="shared" si="7"/>
        <v>59410.04</v>
      </c>
      <c r="L32" s="298">
        <v>15000</v>
      </c>
      <c r="M32" s="295">
        <f t="shared" si="12"/>
        <v>3308989.6678</v>
      </c>
      <c r="N32" s="510">
        <f t="shared" si="8"/>
        <v>264719.173424</v>
      </c>
      <c r="O32" s="304">
        <v>1227500</v>
      </c>
      <c r="P32" s="1166"/>
      <c r="Q32" s="302"/>
      <c r="R32" s="300">
        <f t="shared" si="9"/>
        <v>4801208.841224</v>
      </c>
      <c r="S32" s="300">
        <f t="shared" si="10"/>
        <v>26471.9173424</v>
      </c>
      <c r="T32" s="416">
        <f t="shared" si="11"/>
        <v>4827680.7585664</v>
      </c>
      <c r="U32" s="337">
        <v>44409</v>
      </c>
      <c r="V32" s="337">
        <v>44439</v>
      </c>
      <c r="W32" s="419"/>
      <c r="X32" s="1146"/>
      <c r="Y32" s="1146"/>
    </row>
    <row r="33" ht="12" customHeight="1">
      <c r="A33" s="238" t="s">
        <v>24</v>
      </c>
      <c r="B33" s="239" t="s">
        <v>1569</v>
      </c>
      <c r="C33" s="1154" t="s">
        <v>1570</v>
      </c>
      <c r="D33" s="491" t="s">
        <v>34</v>
      </c>
      <c r="E33" s="491" t="s">
        <v>47</v>
      </c>
      <c r="F33" s="491" t="s">
        <v>177</v>
      </c>
      <c r="G33" s="304">
        <v>2970502</v>
      </c>
      <c r="H33" s="304"/>
      <c r="I33" s="298">
        <f t="shared" si="5"/>
        <v>145257.5478</v>
      </c>
      <c r="J33" s="298">
        <f t="shared" si="6"/>
        <v>118820.08</v>
      </c>
      <c r="K33" s="298">
        <f t="shared" si="7"/>
        <v>59410.04</v>
      </c>
      <c r="L33" s="298">
        <v>15000</v>
      </c>
      <c r="M33" s="295">
        <f t="shared" si="12"/>
        <v>3308989.6678</v>
      </c>
      <c r="N33" s="921">
        <f t="shared" si="8"/>
        <v>264719.173424</v>
      </c>
      <c r="O33" s="304">
        <v>575000</v>
      </c>
      <c r="P33" s="1165"/>
      <c r="Q33" s="399"/>
      <c r="R33" s="335">
        <f t="shared" si="9"/>
        <v>4148708.841224</v>
      </c>
      <c r="S33" s="335">
        <f t="shared" si="10"/>
        <v>26471.9173424</v>
      </c>
      <c r="T33" s="336">
        <f t="shared" si="11"/>
        <v>4175180.7585664</v>
      </c>
      <c r="U33" s="1176">
        <v>44348</v>
      </c>
      <c r="V33" s="337">
        <v>44439</v>
      </c>
      <c r="W33" s="1175"/>
      <c r="X33" s="1146"/>
      <c r="Y33" s="1146"/>
    </row>
    <row r="34" ht="12" customHeight="1">
      <c r="A34" s="238" t="s">
        <v>24</v>
      </c>
      <c r="B34" s="239" t="s">
        <v>1571</v>
      </c>
      <c r="C34" s="1153" t="s">
        <v>1572</v>
      </c>
      <c r="D34" s="491" t="s">
        <v>34</v>
      </c>
      <c r="E34" s="491" t="s">
        <v>47</v>
      </c>
      <c r="F34" s="491" t="s">
        <v>177</v>
      </c>
      <c r="G34" s="304">
        <v>2970502</v>
      </c>
      <c r="H34" s="304"/>
      <c r="I34" s="298">
        <f t="shared" si="5"/>
        <v>145257.5478</v>
      </c>
      <c r="J34" s="298">
        <f t="shared" si="6"/>
        <v>118820.08</v>
      </c>
      <c r="K34" s="298">
        <f t="shared" si="7"/>
        <v>59410.04</v>
      </c>
      <c r="L34" s="298">
        <v>15000</v>
      </c>
      <c r="M34" s="295">
        <f t="shared" si="12"/>
        <v>3308989.6678</v>
      </c>
      <c r="N34" s="921">
        <f t="shared" si="8"/>
        <v>264719.173424</v>
      </c>
      <c r="O34" s="304">
        <v>975000</v>
      </c>
      <c r="P34" s="1165"/>
      <c r="Q34" s="399"/>
      <c r="R34" s="335">
        <f t="shared" si="9"/>
        <v>4548708.841224</v>
      </c>
      <c r="S34" s="335">
        <f t="shared" si="10"/>
        <v>26471.9173424</v>
      </c>
      <c r="T34" s="336">
        <f t="shared" si="11"/>
        <v>4575180.7585664</v>
      </c>
      <c r="U34" s="417">
        <v>44378</v>
      </c>
      <c r="V34" s="337">
        <v>44469</v>
      </c>
      <c r="W34" s="1076"/>
      <c r="X34" s="1146"/>
      <c r="Y34" s="1146"/>
    </row>
    <row r="35" ht="12" customHeight="1">
      <c r="A35" s="238" t="s">
        <v>24</v>
      </c>
      <c r="B35" s="239" t="s">
        <v>601</v>
      </c>
      <c r="C35" s="1153" t="s">
        <v>602</v>
      </c>
      <c r="D35" s="491" t="s">
        <v>34</v>
      </c>
      <c r="E35" s="491" t="s">
        <v>47</v>
      </c>
      <c r="F35" s="491" t="s">
        <v>177</v>
      </c>
      <c r="G35" s="304">
        <v>2970502</v>
      </c>
      <c r="H35" s="304"/>
      <c r="I35" s="298">
        <f t="shared" si="5"/>
        <v>145257.5478</v>
      </c>
      <c r="J35" s="298">
        <f t="shared" si="6"/>
        <v>118820.08</v>
      </c>
      <c r="K35" s="298">
        <f t="shared" si="7"/>
        <v>59410.04</v>
      </c>
      <c r="L35" s="298">
        <v>15000</v>
      </c>
      <c r="M35" s="295">
        <f t="shared" si="12"/>
        <v>3308989.6678</v>
      </c>
      <c r="N35" s="921">
        <f t="shared" si="8"/>
        <v>264719.173424</v>
      </c>
      <c r="O35" s="304">
        <v>1130000</v>
      </c>
      <c r="P35" s="1165"/>
      <c r="Q35" s="399"/>
      <c r="R35" s="335">
        <f t="shared" si="9"/>
        <v>4703708.841224</v>
      </c>
      <c r="S35" s="335">
        <f t="shared" si="10"/>
        <v>26471.9173424</v>
      </c>
      <c r="T35" s="336">
        <f t="shared" si="11"/>
        <v>4730180.7585664</v>
      </c>
      <c r="U35" s="417">
        <v>44409</v>
      </c>
      <c r="V35" s="337">
        <v>44500</v>
      </c>
      <c r="W35" s="1175"/>
      <c r="X35" s="1146"/>
      <c r="Y35" s="1146"/>
    </row>
    <row r="36" ht="12" customHeight="1">
      <c r="A36" s="238" t="s">
        <v>24</v>
      </c>
      <c r="B36" s="239">
        <v>2195</v>
      </c>
      <c r="C36" s="1153" t="s">
        <v>1573</v>
      </c>
      <c r="D36" s="491" t="s">
        <v>34</v>
      </c>
      <c r="E36" s="491" t="s">
        <v>47</v>
      </c>
      <c r="F36" s="491" t="s">
        <v>177</v>
      </c>
      <c r="G36" s="304">
        <v>2970502</v>
      </c>
      <c r="H36" s="304"/>
      <c r="I36" s="298">
        <f t="shared" si="5"/>
        <v>145257.5478</v>
      </c>
      <c r="J36" s="298">
        <f t="shared" si="6"/>
        <v>118820.08</v>
      </c>
      <c r="K36" s="298">
        <f t="shared" si="7"/>
        <v>59410.04</v>
      </c>
      <c r="L36" s="298">
        <v>15000</v>
      </c>
      <c r="M36" s="295">
        <f t="shared" si="12"/>
        <v>3308989.6678</v>
      </c>
      <c r="N36" s="921">
        <f t="shared" si="8"/>
        <v>264719.173424</v>
      </c>
      <c r="O36" s="304">
        <v>1170000</v>
      </c>
      <c r="P36" s="1165"/>
      <c r="Q36" s="399"/>
      <c r="R36" s="335">
        <f t="shared" si="9"/>
        <v>4743708.841224</v>
      </c>
      <c r="S36" s="335">
        <f t="shared" si="10"/>
        <v>26471.9173424</v>
      </c>
      <c r="T36" s="336">
        <f t="shared" si="11"/>
        <v>4770180.7585664</v>
      </c>
      <c r="U36" s="417">
        <v>44378</v>
      </c>
      <c r="V36" s="337">
        <v>44469</v>
      </c>
      <c r="W36" s="1175"/>
      <c r="X36" s="1146"/>
      <c r="Y36" s="1146"/>
    </row>
    <row r="37" ht="12" customHeight="1">
      <c r="A37" s="238" t="s">
        <v>24</v>
      </c>
      <c r="B37" s="239">
        <v>2196</v>
      </c>
      <c r="C37" s="1153" t="s">
        <v>1574</v>
      </c>
      <c r="D37" s="491" t="s">
        <v>34</v>
      </c>
      <c r="E37" s="491" t="s">
        <v>47</v>
      </c>
      <c r="F37" s="491" t="s">
        <v>177</v>
      </c>
      <c r="G37" s="304">
        <v>2970502</v>
      </c>
      <c r="H37" s="304"/>
      <c r="I37" s="298">
        <f t="shared" si="5"/>
        <v>145257.5478</v>
      </c>
      <c r="J37" s="298">
        <f t="shared" si="6"/>
        <v>118820.08</v>
      </c>
      <c r="K37" s="298">
        <f t="shared" si="7"/>
        <v>59410.04</v>
      </c>
      <c r="L37" s="298">
        <v>15000</v>
      </c>
      <c r="M37" s="295">
        <f t="shared" si="12"/>
        <v>3308989.6678</v>
      </c>
      <c r="N37" s="921">
        <f t="shared" si="8"/>
        <v>264719.173424</v>
      </c>
      <c r="O37" s="304">
        <v>545000</v>
      </c>
      <c r="P37" s="1165"/>
      <c r="Q37" s="399"/>
      <c r="R37" s="335">
        <f t="shared" si="9"/>
        <v>4118708.841224</v>
      </c>
      <c r="S37" s="335">
        <f t="shared" si="10"/>
        <v>26471.9173424</v>
      </c>
      <c r="T37" s="336">
        <f t="shared" si="11"/>
        <v>4145180.7585664</v>
      </c>
      <c r="U37" s="417">
        <v>44378</v>
      </c>
      <c r="V37" s="337">
        <v>44469</v>
      </c>
      <c r="W37" s="1175"/>
      <c r="X37" s="1146"/>
      <c r="Y37" s="1146"/>
    </row>
    <row r="38" ht="12" customHeight="1">
      <c r="A38" s="238" t="s">
        <v>24</v>
      </c>
      <c r="B38" s="239" t="s">
        <v>1575</v>
      </c>
      <c r="C38" s="1153" t="s">
        <v>1576</v>
      </c>
      <c r="D38" s="491" t="s">
        <v>34</v>
      </c>
      <c r="E38" s="491" t="s">
        <v>47</v>
      </c>
      <c r="F38" s="491" t="s">
        <v>177</v>
      </c>
      <c r="G38" s="304">
        <v>2970502</v>
      </c>
      <c r="H38" s="304"/>
      <c r="I38" s="298">
        <f t="shared" si="5"/>
        <v>145257.5478</v>
      </c>
      <c r="J38" s="298">
        <f t="shared" si="6"/>
        <v>118820.08</v>
      </c>
      <c r="K38" s="298">
        <f t="shared" si="7"/>
        <v>59410.04</v>
      </c>
      <c r="L38" s="298">
        <v>15000</v>
      </c>
      <c r="M38" s="295">
        <f t="shared" si="12"/>
        <v>3308989.6678</v>
      </c>
      <c r="N38" s="921">
        <f t="shared" si="8"/>
        <v>264719.173424</v>
      </c>
      <c r="O38" s="304">
        <v>450000</v>
      </c>
      <c r="P38" s="1165"/>
      <c r="Q38" s="399"/>
      <c r="R38" s="335">
        <f t="shared" si="9"/>
        <v>4023708.841224</v>
      </c>
      <c r="S38" s="335">
        <f t="shared" si="10"/>
        <v>26471.9173424</v>
      </c>
      <c r="T38" s="336">
        <f t="shared" si="11"/>
        <v>4050180.7585664</v>
      </c>
      <c r="U38" s="417">
        <v>44378</v>
      </c>
      <c r="V38" s="337">
        <v>44469</v>
      </c>
      <c r="W38" s="1076"/>
      <c r="X38" s="1146"/>
      <c r="Y38" s="1146"/>
    </row>
    <row r="39" ht="12" customHeight="1">
      <c r="A39" s="238" t="s">
        <v>24</v>
      </c>
      <c r="B39" s="239" t="s">
        <v>1577</v>
      </c>
      <c r="C39" s="1154" t="s">
        <v>1578</v>
      </c>
      <c r="D39" s="491" t="s">
        <v>34</v>
      </c>
      <c r="E39" s="491" t="s">
        <v>47</v>
      </c>
      <c r="F39" s="491" t="s">
        <v>177</v>
      </c>
      <c r="G39" s="304">
        <v>2970502</v>
      </c>
      <c r="H39" s="304"/>
      <c r="I39" s="298">
        <f t="shared" si="5"/>
        <v>145257.5478</v>
      </c>
      <c r="J39" s="298">
        <f t="shared" si="6"/>
        <v>118820.08</v>
      </c>
      <c r="K39" s="298">
        <f t="shared" si="7"/>
        <v>59410.04</v>
      </c>
      <c r="L39" s="298">
        <v>15000</v>
      </c>
      <c r="M39" s="295">
        <f t="shared" si="12"/>
        <v>3308989.6678</v>
      </c>
      <c r="N39" s="921">
        <f t="shared" si="8"/>
        <v>264719.173424</v>
      </c>
      <c r="O39" s="304">
        <v>655000</v>
      </c>
      <c r="P39" s="1165"/>
      <c r="Q39" s="399"/>
      <c r="R39" s="335">
        <f t="shared" si="9"/>
        <v>4228708.841224</v>
      </c>
      <c r="S39" s="335">
        <f t="shared" si="10"/>
        <v>26471.9173424</v>
      </c>
      <c r="T39" s="336">
        <f t="shared" si="11"/>
        <v>4255180.7585664</v>
      </c>
      <c r="U39" s="1177">
        <v>44409</v>
      </c>
      <c r="V39" s="337">
        <v>44500</v>
      </c>
      <c r="W39" s="1175"/>
      <c r="X39" s="1146"/>
      <c r="Y39" s="1146"/>
    </row>
    <row r="40" ht="12" customHeight="1">
      <c r="A40" s="238" t="s">
        <v>24</v>
      </c>
      <c r="B40" s="239" t="s">
        <v>421</v>
      </c>
      <c r="C40" s="1153" t="s">
        <v>422</v>
      </c>
      <c r="D40" s="491" t="s">
        <v>34</v>
      </c>
      <c r="E40" s="491" t="s">
        <v>47</v>
      </c>
      <c r="F40" s="491" t="s">
        <v>177</v>
      </c>
      <c r="G40" s="304">
        <v>2970502</v>
      </c>
      <c r="H40" s="304">
        <v>-594100</v>
      </c>
      <c r="I40" s="298">
        <f t="shared" si="5"/>
        <v>145257.5478</v>
      </c>
      <c r="J40" s="298">
        <f t="shared" si="6"/>
        <v>118820.08</v>
      </c>
      <c r="K40" s="298">
        <f t="shared" si="7"/>
        <v>59410.04</v>
      </c>
      <c r="L40" s="298">
        <v>15000</v>
      </c>
      <c r="M40" s="295">
        <f t="shared" si="12"/>
        <v>3903089.6678</v>
      </c>
      <c r="N40" s="921">
        <f t="shared" si="8"/>
        <v>312247.173424</v>
      </c>
      <c r="O40" s="304">
        <v>422000</v>
      </c>
      <c r="P40" s="1165"/>
      <c r="Q40" s="399"/>
      <c r="R40" s="335">
        <f t="shared" si="9"/>
        <v>4637336.841224</v>
      </c>
      <c r="S40" s="335">
        <f t="shared" si="10"/>
        <v>31224.7173424</v>
      </c>
      <c r="T40" s="336">
        <f t="shared" si="11"/>
        <v>4668561.5585664</v>
      </c>
      <c r="U40" s="417">
        <v>44378</v>
      </c>
      <c r="V40" s="337">
        <v>44469</v>
      </c>
      <c r="W40" s="1076"/>
      <c r="X40" s="1146"/>
      <c r="Y40" s="1146"/>
    </row>
    <row r="41" ht="12" customHeight="1">
      <c r="A41" s="238" t="s">
        <v>24</v>
      </c>
      <c r="B41" s="239" t="s">
        <v>1579</v>
      </c>
      <c r="C41" s="1153" t="s">
        <v>1580</v>
      </c>
      <c r="D41" s="491" t="s">
        <v>34</v>
      </c>
      <c r="E41" s="491" t="s">
        <v>47</v>
      </c>
      <c r="F41" s="491" t="s">
        <v>177</v>
      </c>
      <c r="G41" s="304">
        <v>2970502</v>
      </c>
      <c r="H41" s="304"/>
      <c r="I41" s="298">
        <f t="shared" si="5"/>
        <v>145257.5478</v>
      </c>
      <c r="J41" s="298">
        <f t="shared" si="6"/>
        <v>118820.08</v>
      </c>
      <c r="K41" s="298">
        <f t="shared" si="7"/>
        <v>59410.04</v>
      </c>
      <c r="L41" s="298">
        <v>15000</v>
      </c>
      <c r="M41" s="295">
        <f t="shared" si="12"/>
        <v>3308989.6678</v>
      </c>
      <c r="N41" s="921">
        <f t="shared" si="8"/>
        <v>264719.173424</v>
      </c>
      <c r="O41" s="304">
        <v>887500</v>
      </c>
      <c r="P41" s="1165"/>
      <c r="Q41" s="399"/>
      <c r="R41" s="335">
        <f t="shared" si="9"/>
        <v>4461208.841224</v>
      </c>
      <c r="S41" s="335">
        <f t="shared" si="10"/>
        <v>26471.9173424</v>
      </c>
      <c r="T41" s="336">
        <f t="shared" si="11"/>
        <v>4487680.7585664</v>
      </c>
      <c r="U41" s="417">
        <v>44378</v>
      </c>
      <c r="V41" s="337">
        <v>44469</v>
      </c>
      <c r="W41" s="1076"/>
      <c r="X41" s="1146"/>
      <c r="Y41" s="1146"/>
    </row>
    <row r="42" ht="12" customHeight="1">
      <c r="A42" s="238" t="s">
        <v>24</v>
      </c>
      <c r="B42" s="239">
        <v>2198</v>
      </c>
      <c r="C42" s="1153" t="s">
        <v>1581</v>
      </c>
      <c r="D42" s="491" t="s">
        <v>34</v>
      </c>
      <c r="E42" s="491" t="s">
        <v>47</v>
      </c>
      <c r="F42" s="491" t="s">
        <v>177</v>
      </c>
      <c r="G42" s="304">
        <v>2970502</v>
      </c>
      <c r="H42" s="304"/>
      <c r="I42" s="298">
        <f t="shared" si="5"/>
        <v>145257.5478</v>
      </c>
      <c r="J42" s="298">
        <f t="shared" si="6"/>
        <v>118820.08</v>
      </c>
      <c r="K42" s="298">
        <f t="shared" si="7"/>
        <v>59410.04</v>
      </c>
      <c r="L42" s="298">
        <v>15000</v>
      </c>
      <c r="M42" s="295">
        <f t="shared" si="12"/>
        <v>3308989.6678</v>
      </c>
      <c r="N42" s="921">
        <f t="shared" si="8"/>
        <v>264719.173424</v>
      </c>
      <c r="O42" s="304">
        <v>568500</v>
      </c>
      <c r="P42" s="1165"/>
      <c r="Q42" s="399"/>
      <c r="R42" s="335">
        <f t="shared" si="9"/>
        <v>4142208.841224</v>
      </c>
      <c r="S42" s="335">
        <f t="shared" si="10"/>
        <v>26471.9173424</v>
      </c>
      <c r="T42" s="336">
        <f t="shared" si="11"/>
        <v>4168680.7585664</v>
      </c>
      <c r="U42" s="417">
        <v>44378</v>
      </c>
      <c r="V42" s="337">
        <v>44469</v>
      </c>
      <c r="W42" s="1175"/>
      <c r="X42" s="1146"/>
      <c r="Y42" s="1146"/>
    </row>
    <row r="43" ht="12" customHeight="1">
      <c r="A43" s="238" t="s">
        <v>24</v>
      </c>
      <c r="B43" s="239" t="s">
        <v>1582</v>
      </c>
      <c r="C43" s="1154" t="s">
        <v>1583</v>
      </c>
      <c r="D43" s="491" t="s">
        <v>34</v>
      </c>
      <c r="E43" s="491" t="s">
        <v>47</v>
      </c>
      <c r="F43" s="491" t="s">
        <v>177</v>
      </c>
      <c r="G43" s="304">
        <v>2970502</v>
      </c>
      <c r="H43" s="304"/>
      <c r="I43" s="298">
        <f t="shared" si="5"/>
        <v>145257.5478</v>
      </c>
      <c r="J43" s="298">
        <f t="shared" si="6"/>
        <v>118820.08</v>
      </c>
      <c r="K43" s="298">
        <f t="shared" si="7"/>
        <v>59410.04</v>
      </c>
      <c r="L43" s="298">
        <v>15000</v>
      </c>
      <c r="M43" s="295">
        <f t="shared" si="12"/>
        <v>3308989.6678</v>
      </c>
      <c r="N43" s="921">
        <f t="shared" si="8"/>
        <v>264719.173424</v>
      </c>
      <c r="O43" s="304">
        <v>545000</v>
      </c>
      <c r="P43" s="1165"/>
      <c r="Q43" s="399"/>
      <c r="R43" s="335">
        <f t="shared" si="9"/>
        <v>4118708.841224</v>
      </c>
      <c r="S43" s="335">
        <f t="shared" si="10"/>
        <v>26471.9173424</v>
      </c>
      <c r="T43" s="336">
        <f t="shared" si="11"/>
        <v>4145180.7585664</v>
      </c>
      <c r="U43" s="1178">
        <v>44409</v>
      </c>
      <c r="V43" s="337">
        <v>44500</v>
      </c>
      <c r="W43" s="1175"/>
      <c r="X43" s="1146"/>
      <c r="Y43" s="1146"/>
    </row>
    <row r="44" ht="12" customHeight="1">
      <c r="A44" s="238" t="s">
        <v>24</v>
      </c>
      <c r="B44" s="239" t="s">
        <v>1584</v>
      </c>
      <c r="C44" s="1154" t="s">
        <v>1585</v>
      </c>
      <c r="D44" s="491" t="s">
        <v>34</v>
      </c>
      <c r="E44" s="491" t="s">
        <v>47</v>
      </c>
      <c r="F44" s="491" t="s">
        <v>177</v>
      </c>
      <c r="G44" s="304">
        <v>2970502</v>
      </c>
      <c r="H44" s="304"/>
      <c r="I44" s="298">
        <f t="shared" si="5"/>
        <v>145257.5478</v>
      </c>
      <c r="J44" s="298">
        <f t="shared" si="6"/>
        <v>118820.08</v>
      </c>
      <c r="K44" s="298">
        <f t="shared" si="7"/>
        <v>59410.04</v>
      </c>
      <c r="L44" s="298">
        <v>15000</v>
      </c>
      <c r="M44" s="295">
        <f t="shared" si="12"/>
        <v>3308989.6678</v>
      </c>
      <c r="N44" s="921">
        <f t="shared" si="8"/>
        <v>264719.173424</v>
      </c>
      <c r="O44" s="304">
        <v>665000</v>
      </c>
      <c r="P44" s="1165"/>
      <c r="Q44" s="399"/>
      <c r="R44" s="335">
        <f t="shared" si="9"/>
        <v>4238708.841224</v>
      </c>
      <c r="S44" s="335">
        <f t="shared" si="10"/>
        <v>26471.9173424</v>
      </c>
      <c r="T44" s="336">
        <f t="shared" si="11"/>
        <v>4265180.7585664</v>
      </c>
      <c r="U44" s="1177">
        <v>44365</v>
      </c>
      <c r="V44" s="337">
        <v>44469</v>
      </c>
      <c r="W44" s="1175"/>
      <c r="X44" s="1146"/>
      <c r="Y44" s="1146"/>
    </row>
    <row r="45" ht="12" customHeight="1">
      <c r="A45" s="238" t="s">
        <v>24</v>
      </c>
      <c r="B45" s="239" t="s">
        <v>1586</v>
      </c>
      <c r="C45" s="1154" t="s">
        <v>1587</v>
      </c>
      <c r="D45" s="491" t="s">
        <v>34</v>
      </c>
      <c r="E45" s="491" t="s">
        <v>47</v>
      </c>
      <c r="F45" s="491" t="s">
        <v>177</v>
      </c>
      <c r="G45" s="304">
        <v>2970502</v>
      </c>
      <c r="H45" s="304"/>
      <c r="I45" s="298">
        <f t="shared" si="5"/>
        <v>145257.5478</v>
      </c>
      <c r="J45" s="298">
        <f t="shared" si="6"/>
        <v>118820.08</v>
      </c>
      <c r="K45" s="298">
        <f t="shared" si="7"/>
        <v>59410.04</v>
      </c>
      <c r="L45" s="298">
        <v>15000</v>
      </c>
      <c r="M45" s="295">
        <f t="shared" si="12"/>
        <v>3308989.6678</v>
      </c>
      <c r="N45" s="921">
        <f t="shared" si="8"/>
        <v>264719.173424</v>
      </c>
      <c r="O45" s="304">
        <v>485000</v>
      </c>
      <c r="P45" s="1165"/>
      <c r="Q45" s="399"/>
      <c r="R45" s="335">
        <f t="shared" si="9"/>
        <v>4058708.841224</v>
      </c>
      <c r="S45" s="335">
        <f t="shared" si="10"/>
        <v>26471.9173424</v>
      </c>
      <c r="T45" s="336">
        <f t="shared" si="11"/>
        <v>4085180.7585664</v>
      </c>
      <c r="U45" s="1177">
        <v>44383</v>
      </c>
      <c r="V45" s="337">
        <v>44469</v>
      </c>
      <c r="W45" s="1175"/>
      <c r="X45" s="1146"/>
      <c r="Y45" s="1146"/>
    </row>
    <row r="46" ht="12" customHeight="1">
      <c r="A46" s="238" t="s">
        <v>24</v>
      </c>
      <c r="B46" s="239" t="s">
        <v>1588</v>
      </c>
      <c r="C46" s="1153" t="s">
        <v>1589</v>
      </c>
      <c r="D46" s="491" t="s">
        <v>34</v>
      </c>
      <c r="E46" s="491" t="s">
        <v>47</v>
      </c>
      <c r="F46" s="491" t="s">
        <v>177</v>
      </c>
      <c r="G46" s="304">
        <v>2970502</v>
      </c>
      <c r="H46" s="304"/>
      <c r="I46" s="298">
        <f t="shared" si="5"/>
        <v>145257.5478</v>
      </c>
      <c r="J46" s="298">
        <f t="shared" si="6"/>
        <v>118820.08</v>
      </c>
      <c r="K46" s="298">
        <f t="shared" si="7"/>
        <v>59410.04</v>
      </c>
      <c r="L46" s="298">
        <v>15000</v>
      </c>
      <c r="M46" s="295">
        <f t="shared" si="12"/>
        <v>3308989.6678</v>
      </c>
      <c r="N46" s="921">
        <f t="shared" si="8"/>
        <v>264719.173424</v>
      </c>
      <c r="O46" s="304">
        <v>980000</v>
      </c>
      <c r="P46" s="1165"/>
      <c r="Q46" s="399"/>
      <c r="R46" s="335">
        <f t="shared" si="9"/>
        <v>4553708.841224</v>
      </c>
      <c r="S46" s="335">
        <f t="shared" si="10"/>
        <v>26471.9173424</v>
      </c>
      <c r="T46" s="336">
        <f t="shared" si="11"/>
        <v>4580180.7585664</v>
      </c>
      <c r="U46" s="417">
        <v>44409</v>
      </c>
      <c r="V46" s="337">
        <v>44439</v>
      </c>
      <c r="W46" s="1175"/>
      <c r="X46" s="1146"/>
      <c r="Y46" s="1146"/>
    </row>
    <row r="47" ht="12" customHeight="1">
      <c r="A47" s="238" t="s">
        <v>24</v>
      </c>
      <c r="B47" s="239" t="s">
        <v>1590</v>
      </c>
      <c r="C47" s="1153" t="s">
        <v>1591</v>
      </c>
      <c r="D47" s="491" t="s">
        <v>34</v>
      </c>
      <c r="E47" s="491" t="s">
        <v>47</v>
      </c>
      <c r="F47" s="491" t="s">
        <v>177</v>
      </c>
      <c r="G47" s="304">
        <v>2970502</v>
      </c>
      <c r="H47" s="304"/>
      <c r="I47" s="298">
        <f t="shared" si="5"/>
        <v>145257.5478</v>
      </c>
      <c r="J47" s="298">
        <f t="shared" si="6"/>
        <v>118820.08</v>
      </c>
      <c r="K47" s="298">
        <f t="shared" si="7"/>
        <v>59410.04</v>
      </c>
      <c r="L47" s="298">
        <v>15000</v>
      </c>
      <c r="M47" s="295">
        <f t="shared" si="12"/>
        <v>3308989.6678</v>
      </c>
      <c r="N47" s="921">
        <f t="shared" si="8"/>
        <v>264719.173424</v>
      </c>
      <c r="O47" s="304">
        <v>1160000</v>
      </c>
      <c r="P47" s="1165"/>
      <c r="Q47" s="399"/>
      <c r="R47" s="335">
        <f t="shared" si="9"/>
        <v>4733708.841224</v>
      </c>
      <c r="S47" s="335">
        <f t="shared" si="10"/>
        <v>26471.9173424</v>
      </c>
      <c r="T47" s="336">
        <f t="shared" si="11"/>
        <v>4760180.7585664</v>
      </c>
      <c r="U47" s="417">
        <v>44378</v>
      </c>
      <c r="V47" s="337">
        <v>44469</v>
      </c>
      <c r="W47" s="1076"/>
      <c r="X47" s="1146"/>
      <c r="Y47" s="1146"/>
    </row>
    <row r="48" ht="12" customHeight="1">
      <c r="A48" s="238" t="s">
        <v>24</v>
      </c>
      <c r="B48" s="239" t="s">
        <v>1592</v>
      </c>
      <c r="C48" s="1154" t="s">
        <v>1593</v>
      </c>
      <c r="D48" s="491" t="s">
        <v>34</v>
      </c>
      <c r="E48" s="491" t="s">
        <v>47</v>
      </c>
      <c r="F48" s="491" t="s">
        <v>177</v>
      </c>
      <c r="G48" s="304">
        <v>2970502</v>
      </c>
      <c r="H48" s="304">
        <v>-118820</v>
      </c>
      <c r="I48" s="298">
        <f ref="I48:I75" t="shared" si="14">+$G$3*4.89%</f>
        <v>145257.5478</v>
      </c>
      <c r="J48" s="298">
        <f ref="J48:J75" t="shared" si="15">+$G$3*4%</f>
        <v>118820.08</v>
      </c>
      <c r="K48" s="298">
        <f ref="K48:K75" t="shared" si="16">+$G$3*2%</f>
        <v>59410.04</v>
      </c>
      <c r="L48" s="298">
        <v>15000</v>
      </c>
      <c r="M48" s="295">
        <f ref="M48:M75" t="shared" si="17">SUM(G48,I48:L48)-H48</f>
        <v>3427809.6678</v>
      </c>
      <c r="N48" s="921">
        <f ref="N48:N75" t="shared" si="18">+M48*8%</f>
        <v>274224.773424</v>
      </c>
      <c r="O48" s="304">
        <v>350000</v>
      </c>
      <c r="P48" s="1165"/>
      <c r="Q48" s="399"/>
      <c r="R48" s="335">
        <f ref="R48:R75" t="shared" si="19">SUM(M48:Q48)</f>
        <v>4052034.441224</v>
      </c>
      <c r="S48" s="335">
        <f ref="S48:S75" t="shared" si="20">N48*0.1</f>
        <v>27422.4773424</v>
      </c>
      <c r="T48" s="336">
        <f ref="T48:T75" t="shared" si="21">R48+S48</f>
        <v>4079456.9185664</v>
      </c>
      <c r="U48" s="1177">
        <v>44385</v>
      </c>
      <c r="V48" s="337">
        <v>44469</v>
      </c>
      <c r="W48" s="1175"/>
      <c r="X48" s="1146"/>
      <c r="Y48" s="1146"/>
    </row>
    <row r="49" ht="12" customHeight="1">
      <c r="A49" s="238" t="s">
        <v>24</v>
      </c>
      <c r="B49" s="239" t="s">
        <v>1594</v>
      </c>
      <c r="C49" s="1154" t="s">
        <v>1595</v>
      </c>
      <c r="D49" s="491" t="s">
        <v>34</v>
      </c>
      <c r="E49" s="491" t="s">
        <v>47</v>
      </c>
      <c r="F49" s="491" t="s">
        <v>177</v>
      </c>
      <c r="G49" s="304">
        <v>2970502</v>
      </c>
      <c r="H49" s="304"/>
      <c r="I49" s="298">
        <f t="shared" si="14"/>
        <v>145257.5478</v>
      </c>
      <c r="J49" s="298">
        <f t="shared" si="15"/>
        <v>118820.08</v>
      </c>
      <c r="K49" s="298">
        <f t="shared" si="16"/>
        <v>59410.04</v>
      </c>
      <c r="L49" s="298">
        <v>15000</v>
      </c>
      <c r="M49" s="295">
        <f t="shared" si="17"/>
        <v>3308989.6678</v>
      </c>
      <c r="N49" s="921">
        <f t="shared" si="18"/>
        <v>264719.173424</v>
      </c>
      <c r="O49" s="304">
        <v>605000</v>
      </c>
      <c r="P49" s="1165"/>
      <c r="Q49" s="399"/>
      <c r="R49" s="335">
        <f t="shared" si="19"/>
        <v>4178708.841224</v>
      </c>
      <c r="S49" s="335">
        <f t="shared" si="20"/>
        <v>26471.9173424</v>
      </c>
      <c r="T49" s="336">
        <f t="shared" si="21"/>
        <v>4205180.7585664</v>
      </c>
      <c r="U49" s="1177">
        <v>44333</v>
      </c>
      <c r="V49" s="337">
        <v>44439</v>
      </c>
      <c r="W49" s="1175"/>
      <c r="X49" s="1146"/>
      <c r="Y49" s="1146"/>
    </row>
    <row r="50" ht="12" customHeight="1">
      <c r="A50" s="238" t="s">
        <v>24</v>
      </c>
      <c r="B50" s="239" t="s">
        <v>1596</v>
      </c>
      <c r="C50" s="1154" t="s">
        <v>1597</v>
      </c>
      <c r="D50" s="491" t="s">
        <v>34</v>
      </c>
      <c r="E50" s="491" t="s">
        <v>47</v>
      </c>
      <c r="F50" s="491" t="s">
        <v>177</v>
      </c>
      <c r="G50" s="304">
        <v>2970502</v>
      </c>
      <c r="H50" s="304"/>
      <c r="I50" s="298">
        <f t="shared" si="14"/>
        <v>145257.5478</v>
      </c>
      <c r="J50" s="298">
        <f t="shared" si="15"/>
        <v>118820.08</v>
      </c>
      <c r="K50" s="298">
        <f t="shared" si="16"/>
        <v>59410.04</v>
      </c>
      <c r="L50" s="298">
        <v>15000</v>
      </c>
      <c r="M50" s="295">
        <f t="shared" si="17"/>
        <v>3308989.6678</v>
      </c>
      <c r="N50" s="921">
        <f t="shared" si="18"/>
        <v>264719.173424</v>
      </c>
      <c r="O50" s="304">
        <v>897500</v>
      </c>
      <c r="P50" s="1165"/>
      <c r="Q50" s="399"/>
      <c r="R50" s="335">
        <f t="shared" si="19"/>
        <v>4471208.841224</v>
      </c>
      <c r="S50" s="335">
        <f t="shared" si="20"/>
        <v>26471.9173424</v>
      </c>
      <c r="T50" s="336">
        <f t="shared" si="21"/>
        <v>4497680.7585664</v>
      </c>
      <c r="U50" s="1179">
        <v>44409</v>
      </c>
      <c r="V50" s="339">
        <v>44500</v>
      </c>
      <c r="W50" s="1175"/>
      <c r="X50" s="1146"/>
      <c r="Y50" s="1146"/>
    </row>
    <row r="51" ht="12" customHeight="1">
      <c r="A51" s="238" t="s">
        <v>24</v>
      </c>
      <c r="B51" s="239" t="s">
        <v>1598</v>
      </c>
      <c r="C51" s="1153" t="s">
        <v>1599</v>
      </c>
      <c r="D51" s="491" t="s">
        <v>34</v>
      </c>
      <c r="E51" s="491" t="s">
        <v>47</v>
      </c>
      <c r="F51" s="491" t="s">
        <v>177</v>
      </c>
      <c r="G51" s="304">
        <v>2970502</v>
      </c>
      <c r="H51" s="304"/>
      <c r="I51" s="298">
        <f t="shared" si="14"/>
        <v>145257.5478</v>
      </c>
      <c r="J51" s="298">
        <f t="shared" si="15"/>
        <v>118820.08</v>
      </c>
      <c r="K51" s="298">
        <f t="shared" si="16"/>
        <v>59410.04</v>
      </c>
      <c r="L51" s="298">
        <v>15000</v>
      </c>
      <c r="M51" s="295">
        <f t="shared" si="17"/>
        <v>3308989.6678</v>
      </c>
      <c r="N51" s="921">
        <f t="shared" si="18"/>
        <v>264719.173424</v>
      </c>
      <c r="O51" s="304">
        <v>650000</v>
      </c>
      <c r="P51" s="1165"/>
      <c r="Q51" s="399"/>
      <c r="R51" s="335">
        <f t="shared" si="19"/>
        <v>4223708.841224</v>
      </c>
      <c r="S51" s="335">
        <f t="shared" si="20"/>
        <v>26471.9173424</v>
      </c>
      <c r="T51" s="336">
        <f t="shared" si="21"/>
        <v>4250180.7585664</v>
      </c>
      <c r="U51" s="1180">
        <v>44348</v>
      </c>
      <c r="V51" s="339">
        <v>44439</v>
      </c>
      <c r="W51" s="1076"/>
      <c r="X51" s="1146"/>
      <c r="Y51" s="1146"/>
    </row>
    <row r="52" ht="12" customHeight="1">
      <c r="A52" s="238" t="s">
        <v>24</v>
      </c>
      <c r="B52" s="245" t="s">
        <v>1600</v>
      </c>
      <c r="C52" s="1154" t="s">
        <v>538</v>
      </c>
      <c r="D52" s="491" t="s">
        <v>34</v>
      </c>
      <c r="E52" s="491" t="s">
        <v>47</v>
      </c>
      <c r="F52" s="491" t="s">
        <v>177</v>
      </c>
      <c r="G52" s="304">
        <v>2970502</v>
      </c>
      <c r="H52" s="304"/>
      <c r="I52" s="298">
        <f t="shared" si="14"/>
        <v>145257.5478</v>
      </c>
      <c r="J52" s="298">
        <f t="shared" si="15"/>
        <v>118820.08</v>
      </c>
      <c r="K52" s="298">
        <f t="shared" si="16"/>
        <v>59410.04</v>
      </c>
      <c r="L52" s="298">
        <v>15000</v>
      </c>
      <c r="M52" s="295">
        <f t="shared" si="17"/>
        <v>3308989.6678</v>
      </c>
      <c r="N52" s="921">
        <f t="shared" si="18"/>
        <v>264719.173424</v>
      </c>
      <c r="O52" s="304">
        <v>325000</v>
      </c>
      <c r="P52" s="1165"/>
      <c r="Q52" s="399"/>
      <c r="R52" s="335">
        <f t="shared" si="19"/>
        <v>3898708.841224</v>
      </c>
      <c r="S52" s="335">
        <f t="shared" si="20"/>
        <v>26471.9173424</v>
      </c>
      <c r="T52" s="336">
        <f t="shared" si="21"/>
        <v>3925180.7585664</v>
      </c>
      <c r="U52" s="1181">
        <v>44385</v>
      </c>
      <c r="V52" s="339">
        <v>44469</v>
      </c>
      <c r="W52" s="1175"/>
      <c r="X52" s="1146"/>
      <c r="Y52" s="1146"/>
    </row>
    <row r="53" ht="12" customHeight="1">
      <c r="A53" s="238" t="s">
        <v>24</v>
      </c>
      <c r="B53" s="245" t="s">
        <v>1601</v>
      </c>
      <c r="C53" s="1154" t="s">
        <v>1602</v>
      </c>
      <c r="D53" s="491" t="s">
        <v>34</v>
      </c>
      <c r="E53" s="491" t="s">
        <v>47</v>
      </c>
      <c r="F53" s="491" t="s">
        <v>177</v>
      </c>
      <c r="G53" s="304">
        <v>2970502</v>
      </c>
      <c r="H53" s="304">
        <v>-237640</v>
      </c>
      <c r="I53" s="298">
        <f t="shared" si="14"/>
        <v>145257.5478</v>
      </c>
      <c r="J53" s="298">
        <f t="shared" si="15"/>
        <v>118820.08</v>
      </c>
      <c r="K53" s="298">
        <f t="shared" si="16"/>
        <v>59410.04</v>
      </c>
      <c r="L53" s="298">
        <v>15000</v>
      </c>
      <c r="M53" s="295">
        <f t="shared" si="17"/>
        <v>3546629.6678</v>
      </c>
      <c r="N53" s="921">
        <f t="shared" si="18"/>
        <v>283730.373424</v>
      </c>
      <c r="O53" s="304">
        <v>340000</v>
      </c>
      <c r="P53" s="1165"/>
      <c r="Q53" s="399"/>
      <c r="R53" s="335">
        <f t="shared" si="19"/>
        <v>4170360.041224</v>
      </c>
      <c r="S53" s="335">
        <f t="shared" si="20"/>
        <v>28373.0373424</v>
      </c>
      <c r="T53" s="336">
        <f t="shared" si="21"/>
        <v>4198733.0785664</v>
      </c>
      <c r="U53" s="1181">
        <v>44342</v>
      </c>
      <c r="V53" s="339">
        <v>44439</v>
      </c>
      <c r="W53" s="1175"/>
      <c r="X53" s="1146"/>
      <c r="Y53" s="1146"/>
    </row>
    <row r="54" ht="12" customHeight="1">
      <c r="A54" s="238" t="s">
        <v>24</v>
      </c>
      <c r="B54" s="245" t="s">
        <v>1603</v>
      </c>
      <c r="C54" s="1154" t="s">
        <v>1604</v>
      </c>
      <c r="D54" s="491" t="s">
        <v>34</v>
      </c>
      <c r="E54" s="491" t="s">
        <v>47</v>
      </c>
      <c r="F54" s="491" t="s">
        <v>177</v>
      </c>
      <c r="G54" s="304">
        <v>2970502</v>
      </c>
      <c r="H54" s="304"/>
      <c r="I54" s="298">
        <f t="shared" si="14"/>
        <v>145257.5478</v>
      </c>
      <c r="J54" s="298">
        <f t="shared" si="15"/>
        <v>118820.08</v>
      </c>
      <c r="K54" s="298">
        <f t="shared" si="16"/>
        <v>59410.04</v>
      </c>
      <c r="L54" s="298">
        <v>15000</v>
      </c>
      <c r="M54" s="295">
        <f t="shared" si="17"/>
        <v>3308989.6678</v>
      </c>
      <c r="N54" s="921">
        <f t="shared" si="18"/>
        <v>264719.173424</v>
      </c>
      <c r="O54" s="304">
        <v>850000</v>
      </c>
      <c r="P54" s="1165"/>
      <c r="Q54" s="399"/>
      <c r="R54" s="335">
        <f t="shared" si="19"/>
        <v>4423708.841224</v>
      </c>
      <c r="S54" s="335">
        <f t="shared" si="20"/>
        <v>26471.9173424</v>
      </c>
      <c r="T54" s="336">
        <f t="shared" si="21"/>
        <v>4450180.7585664</v>
      </c>
      <c r="U54" s="1181">
        <v>44344</v>
      </c>
      <c r="V54" s="339">
        <v>44439</v>
      </c>
      <c r="W54" s="1175"/>
      <c r="X54" s="1146"/>
      <c r="Y54" s="1146"/>
    </row>
    <row r="55" ht="12" customHeight="1">
      <c r="A55" s="238" t="s">
        <v>24</v>
      </c>
      <c r="B55" s="245">
        <v>2192</v>
      </c>
      <c r="C55" s="1153" t="s">
        <v>1605</v>
      </c>
      <c r="D55" s="491" t="s">
        <v>34</v>
      </c>
      <c r="E55" s="491" t="s">
        <v>47</v>
      </c>
      <c r="F55" s="491" t="s">
        <v>177</v>
      </c>
      <c r="G55" s="304">
        <v>2970502</v>
      </c>
      <c r="H55" s="304"/>
      <c r="I55" s="298">
        <f t="shared" si="14"/>
        <v>145257.5478</v>
      </c>
      <c r="J55" s="298">
        <f t="shared" si="15"/>
        <v>118820.08</v>
      </c>
      <c r="K55" s="298">
        <f t="shared" si="16"/>
        <v>59410.04</v>
      </c>
      <c r="L55" s="298">
        <v>15000</v>
      </c>
      <c r="M55" s="295">
        <f t="shared" si="17"/>
        <v>3308989.6678</v>
      </c>
      <c r="N55" s="921">
        <f t="shared" si="18"/>
        <v>264719.173424</v>
      </c>
      <c r="O55" s="304">
        <v>592500</v>
      </c>
      <c r="P55" s="1165"/>
      <c r="Q55" s="399"/>
      <c r="R55" s="335">
        <f t="shared" si="19"/>
        <v>4166208.841224</v>
      </c>
      <c r="S55" s="335">
        <f t="shared" si="20"/>
        <v>26471.9173424</v>
      </c>
      <c r="T55" s="336">
        <f t="shared" si="21"/>
        <v>4192680.7585664</v>
      </c>
      <c r="U55" s="1182">
        <v>44409</v>
      </c>
      <c r="V55" s="339">
        <v>44439</v>
      </c>
      <c r="W55" s="1175"/>
      <c r="X55" s="1146"/>
      <c r="Y55" s="1146"/>
    </row>
    <row r="56" ht="12" customHeight="1">
      <c r="A56" s="238" t="s">
        <v>24</v>
      </c>
      <c r="B56" s="245" t="s">
        <v>1606</v>
      </c>
      <c r="C56" s="1039" t="s">
        <v>1607</v>
      </c>
      <c r="D56" s="491" t="s">
        <v>34</v>
      </c>
      <c r="E56" s="491" t="s">
        <v>47</v>
      </c>
      <c r="F56" s="491" t="s">
        <v>177</v>
      </c>
      <c r="G56" s="304">
        <v>2970502</v>
      </c>
      <c r="H56" s="304"/>
      <c r="I56" s="298">
        <f t="shared" si="14"/>
        <v>145257.5478</v>
      </c>
      <c r="J56" s="298">
        <f t="shared" si="15"/>
        <v>118820.08</v>
      </c>
      <c r="K56" s="298">
        <f t="shared" si="16"/>
        <v>59410.04</v>
      </c>
      <c r="L56" s="298">
        <v>15000</v>
      </c>
      <c r="M56" s="295">
        <f t="shared" si="17"/>
        <v>3308989.6678</v>
      </c>
      <c r="N56" s="921">
        <f t="shared" si="18"/>
        <v>264719.173424</v>
      </c>
      <c r="O56" s="304">
        <v>880000</v>
      </c>
      <c r="P56" s="1165"/>
      <c r="Q56" s="399"/>
      <c r="R56" s="335">
        <f t="shared" si="19"/>
        <v>4453708.841224</v>
      </c>
      <c r="S56" s="335">
        <f t="shared" si="20"/>
        <v>26471.9173424</v>
      </c>
      <c r="T56" s="336">
        <f t="shared" si="21"/>
        <v>4480180.7585664</v>
      </c>
      <c r="U56" s="417">
        <v>44409</v>
      </c>
      <c r="V56" s="338">
        <v>44439</v>
      </c>
      <c r="W56" s="1076"/>
      <c r="X56" s="1146"/>
      <c r="Y56" s="1146"/>
    </row>
    <row r="57" ht="12" customHeight="1">
      <c r="A57" s="238" t="s">
        <v>24</v>
      </c>
      <c r="B57" s="245">
        <v>2204</v>
      </c>
      <c r="C57" s="1153" t="s">
        <v>1608</v>
      </c>
      <c r="D57" s="491" t="s">
        <v>34</v>
      </c>
      <c r="E57" s="491" t="s">
        <v>47</v>
      </c>
      <c r="F57" s="491" t="s">
        <v>177</v>
      </c>
      <c r="G57" s="304">
        <v>2970502</v>
      </c>
      <c r="H57" s="304"/>
      <c r="I57" s="298">
        <f t="shared" si="14"/>
        <v>145257.5478</v>
      </c>
      <c r="J57" s="298">
        <f t="shared" si="15"/>
        <v>118820.08</v>
      </c>
      <c r="K57" s="298">
        <f t="shared" si="16"/>
        <v>59410.04</v>
      </c>
      <c r="L57" s="298">
        <v>15000</v>
      </c>
      <c r="M57" s="295">
        <f t="shared" si="17"/>
        <v>3308989.6678</v>
      </c>
      <c r="N57" s="921">
        <f t="shared" si="18"/>
        <v>264719.173424</v>
      </c>
      <c r="O57" s="304">
        <v>525000</v>
      </c>
      <c r="P57" s="1165"/>
      <c r="Q57" s="399"/>
      <c r="R57" s="335">
        <f t="shared" si="19"/>
        <v>4098708.841224</v>
      </c>
      <c r="S57" s="335">
        <f t="shared" si="20"/>
        <v>26471.9173424</v>
      </c>
      <c r="T57" s="336">
        <f t="shared" si="21"/>
        <v>4125180.7585664</v>
      </c>
      <c r="U57" s="1182">
        <v>44409</v>
      </c>
      <c r="V57" s="339">
        <v>44439</v>
      </c>
      <c r="W57" s="1175"/>
      <c r="X57" s="1146"/>
      <c r="Y57" s="1146"/>
    </row>
    <row r="58" ht="12" customHeight="1">
      <c r="A58" s="238" t="s">
        <v>24</v>
      </c>
      <c r="B58" s="245" t="s">
        <v>1609</v>
      </c>
      <c r="C58" s="1153" t="s">
        <v>1610</v>
      </c>
      <c r="D58" s="491" t="s">
        <v>34</v>
      </c>
      <c r="E58" s="491" t="s">
        <v>47</v>
      </c>
      <c r="F58" s="491" t="s">
        <v>177</v>
      </c>
      <c r="G58" s="304">
        <v>2970502</v>
      </c>
      <c r="H58" s="304"/>
      <c r="I58" s="298">
        <f t="shared" si="14"/>
        <v>145257.5478</v>
      </c>
      <c r="J58" s="298">
        <f t="shared" si="15"/>
        <v>118820.08</v>
      </c>
      <c r="K58" s="298">
        <f t="shared" si="16"/>
        <v>59410.04</v>
      </c>
      <c r="L58" s="298">
        <v>15000</v>
      </c>
      <c r="M58" s="295">
        <f t="shared" si="17"/>
        <v>3308989.6678</v>
      </c>
      <c r="N58" s="921">
        <f t="shared" si="18"/>
        <v>264719.173424</v>
      </c>
      <c r="O58" s="304">
        <v>557500</v>
      </c>
      <c r="P58" s="1165"/>
      <c r="Q58" s="399"/>
      <c r="R58" s="335">
        <f t="shared" si="19"/>
        <v>4131208.841224</v>
      </c>
      <c r="S58" s="335">
        <f t="shared" si="20"/>
        <v>26471.9173424</v>
      </c>
      <c r="T58" s="336">
        <f t="shared" si="21"/>
        <v>4157680.7585664</v>
      </c>
      <c r="U58" s="1182">
        <v>44409</v>
      </c>
      <c r="V58" s="339">
        <v>44439</v>
      </c>
      <c r="W58" s="1076"/>
      <c r="X58" s="1146"/>
      <c r="Y58" s="1146"/>
    </row>
    <row r="59" ht="12" customHeight="1">
      <c r="A59" s="238" t="s">
        <v>24</v>
      </c>
      <c r="B59" s="245" t="s">
        <v>1611</v>
      </c>
      <c r="C59" s="1154" t="s">
        <v>1612</v>
      </c>
      <c r="D59" s="491" t="s">
        <v>34</v>
      </c>
      <c r="E59" s="491" t="s">
        <v>47</v>
      </c>
      <c r="F59" s="491" t="s">
        <v>177</v>
      </c>
      <c r="G59" s="304">
        <v>2970502</v>
      </c>
      <c r="H59" s="304"/>
      <c r="I59" s="298">
        <f t="shared" si="14"/>
        <v>145257.5478</v>
      </c>
      <c r="J59" s="298">
        <f t="shared" si="15"/>
        <v>118820.08</v>
      </c>
      <c r="K59" s="298">
        <f t="shared" si="16"/>
        <v>59410.04</v>
      </c>
      <c r="L59" s="298">
        <v>15000</v>
      </c>
      <c r="M59" s="295">
        <f t="shared" si="17"/>
        <v>3308989.6678</v>
      </c>
      <c r="N59" s="921">
        <f t="shared" si="18"/>
        <v>264719.173424</v>
      </c>
      <c r="O59" s="304">
        <v>715000</v>
      </c>
      <c r="P59" s="1165"/>
      <c r="Q59" s="399"/>
      <c r="R59" s="335">
        <f t="shared" si="19"/>
        <v>4288708.841224</v>
      </c>
      <c r="S59" s="335">
        <f t="shared" si="20"/>
        <v>26471.9173424</v>
      </c>
      <c r="T59" s="336">
        <f t="shared" si="21"/>
        <v>4315180.7585664</v>
      </c>
      <c r="U59" s="1181">
        <v>44384</v>
      </c>
      <c r="V59" s="339">
        <v>44469</v>
      </c>
      <c r="W59" s="1175"/>
      <c r="X59" s="1146"/>
      <c r="Y59" s="1146"/>
    </row>
    <row r="60" ht="12" customHeight="1">
      <c r="A60" s="238" t="s">
        <v>24</v>
      </c>
      <c r="B60" s="245" t="s">
        <v>1613</v>
      </c>
      <c r="C60" s="1153" t="s">
        <v>1614</v>
      </c>
      <c r="D60" s="491" t="s">
        <v>34</v>
      </c>
      <c r="E60" s="491" t="s">
        <v>47</v>
      </c>
      <c r="F60" s="491" t="s">
        <v>177</v>
      </c>
      <c r="G60" s="304">
        <v>2970502</v>
      </c>
      <c r="H60" s="304">
        <v>-594100</v>
      </c>
      <c r="I60" s="298">
        <f t="shared" si="14"/>
        <v>145257.5478</v>
      </c>
      <c r="J60" s="298">
        <f t="shared" si="15"/>
        <v>118820.08</v>
      </c>
      <c r="K60" s="298">
        <f t="shared" si="16"/>
        <v>59410.04</v>
      </c>
      <c r="L60" s="298">
        <v>15000</v>
      </c>
      <c r="M60" s="295">
        <f t="shared" si="17"/>
        <v>3903089.6678</v>
      </c>
      <c r="N60" s="921">
        <f t="shared" si="18"/>
        <v>312247.173424</v>
      </c>
      <c r="O60" s="304">
        <v>665000</v>
      </c>
      <c r="P60" s="1165"/>
      <c r="Q60" s="399"/>
      <c r="R60" s="335">
        <f t="shared" si="19"/>
        <v>4880336.841224</v>
      </c>
      <c r="S60" s="335">
        <f t="shared" si="20"/>
        <v>31224.7173424</v>
      </c>
      <c r="T60" s="336">
        <f t="shared" si="21"/>
        <v>4911561.5585664</v>
      </c>
      <c r="U60" s="1182">
        <v>44348</v>
      </c>
      <c r="V60" s="339">
        <v>44439</v>
      </c>
      <c r="W60" s="1175"/>
      <c r="X60" s="1146"/>
      <c r="Y60" s="1146"/>
    </row>
    <row r="61" ht="12" customHeight="1">
      <c r="A61" s="238" t="s">
        <v>24</v>
      </c>
      <c r="B61" s="245" t="s">
        <v>1615</v>
      </c>
      <c r="C61" s="1154" t="s">
        <v>1616</v>
      </c>
      <c r="D61" s="491" t="s">
        <v>34</v>
      </c>
      <c r="E61" s="491" t="s">
        <v>47</v>
      </c>
      <c r="F61" s="491" t="s">
        <v>177</v>
      </c>
      <c r="G61" s="304">
        <v>2970502</v>
      </c>
      <c r="H61" s="304"/>
      <c r="I61" s="298">
        <f t="shared" si="14"/>
        <v>145257.5478</v>
      </c>
      <c r="J61" s="298">
        <f t="shared" si="15"/>
        <v>118820.08</v>
      </c>
      <c r="K61" s="298">
        <f t="shared" si="16"/>
        <v>59410.04</v>
      </c>
      <c r="L61" s="298">
        <v>15000</v>
      </c>
      <c r="M61" s="295">
        <f t="shared" si="17"/>
        <v>3308989.6678</v>
      </c>
      <c r="N61" s="921">
        <f t="shared" si="18"/>
        <v>264719.173424</v>
      </c>
      <c r="O61" s="304">
        <v>805000</v>
      </c>
      <c r="P61" s="1165"/>
      <c r="Q61" s="399"/>
      <c r="R61" s="335">
        <f t="shared" si="19"/>
        <v>4378708.841224</v>
      </c>
      <c r="S61" s="335">
        <f t="shared" si="20"/>
        <v>26471.9173424</v>
      </c>
      <c r="T61" s="336">
        <f t="shared" si="21"/>
        <v>4405180.7585664</v>
      </c>
      <c r="U61" s="1181">
        <v>44409</v>
      </c>
      <c r="V61" s="339">
        <v>44500</v>
      </c>
      <c r="W61" s="1175"/>
      <c r="X61" s="1146"/>
      <c r="Y61" s="1146"/>
    </row>
    <row r="62" ht="12" customHeight="1">
      <c r="A62" s="238" t="s">
        <v>24</v>
      </c>
      <c r="B62" s="245" t="s">
        <v>1617</v>
      </c>
      <c r="C62" s="1154" t="s">
        <v>1618</v>
      </c>
      <c r="D62" s="491" t="s">
        <v>34</v>
      </c>
      <c r="E62" s="491" t="s">
        <v>47</v>
      </c>
      <c r="F62" s="491" t="s">
        <v>177</v>
      </c>
      <c r="G62" s="304">
        <v>2970502</v>
      </c>
      <c r="H62" s="304"/>
      <c r="I62" s="298">
        <f t="shared" si="14"/>
        <v>145257.5478</v>
      </c>
      <c r="J62" s="298">
        <f t="shared" si="15"/>
        <v>118820.08</v>
      </c>
      <c r="K62" s="298">
        <f t="shared" si="16"/>
        <v>59410.04</v>
      </c>
      <c r="L62" s="298">
        <v>15000</v>
      </c>
      <c r="M62" s="295">
        <f t="shared" si="17"/>
        <v>3308989.6678</v>
      </c>
      <c r="N62" s="921">
        <f t="shared" si="18"/>
        <v>264719.173424</v>
      </c>
      <c r="O62" s="304">
        <v>70000</v>
      </c>
      <c r="P62" s="1165"/>
      <c r="Q62" s="399"/>
      <c r="R62" s="335">
        <f t="shared" si="19"/>
        <v>3643708.841224</v>
      </c>
      <c r="S62" s="335">
        <f t="shared" si="20"/>
        <v>26471.9173424</v>
      </c>
      <c r="T62" s="336">
        <f t="shared" si="21"/>
        <v>3670180.7585664</v>
      </c>
      <c r="U62" s="1181">
        <v>44385</v>
      </c>
      <c r="V62" s="339">
        <v>44469</v>
      </c>
      <c r="W62" s="1175"/>
      <c r="X62" s="1146"/>
      <c r="Y62" s="1146"/>
    </row>
    <row r="63" ht="12" customHeight="1">
      <c r="A63" s="238" t="s">
        <v>24</v>
      </c>
      <c r="B63" s="245">
        <v>2200</v>
      </c>
      <c r="C63" s="1153" t="s">
        <v>1619</v>
      </c>
      <c r="D63" s="491" t="s">
        <v>34</v>
      </c>
      <c r="E63" s="491" t="s">
        <v>47</v>
      </c>
      <c r="F63" s="491" t="s">
        <v>177</v>
      </c>
      <c r="G63" s="304">
        <v>2970502</v>
      </c>
      <c r="H63" s="304"/>
      <c r="I63" s="298">
        <f t="shared" si="14"/>
        <v>145257.5478</v>
      </c>
      <c r="J63" s="298">
        <f t="shared" si="15"/>
        <v>118820.08</v>
      </c>
      <c r="K63" s="298">
        <f t="shared" si="16"/>
        <v>59410.04</v>
      </c>
      <c r="L63" s="298">
        <v>15000</v>
      </c>
      <c r="M63" s="295">
        <f t="shared" si="17"/>
        <v>3308989.6678</v>
      </c>
      <c r="N63" s="921">
        <f t="shared" si="18"/>
        <v>264719.173424</v>
      </c>
      <c r="O63" s="304">
        <v>605000</v>
      </c>
      <c r="P63" s="1165"/>
      <c r="Q63" s="399"/>
      <c r="R63" s="335">
        <f t="shared" si="19"/>
        <v>4178708.841224</v>
      </c>
      <c r="S63" s="335">
        <f t="shared" si="20"/>
        <v>26471.9173424</v>
      </c>
      <c r="T63" s="336">
        <f t="shared" si="21"/>
        <v>4205180.7585664</v>
      </c>
      <c r="U63" s="1182">
        <v>44378</v>
      </c>
      <c r="V63" s="339">
        <v>44469</v>
      </c>
      <c r="W63" s="1175"/>
      <c r="X63" s="1146"/>
      <c r="Y63" s="1146"/>
    </row>
    <row r="64" ht="12" customHeight="1">
      <c r="A64" s="238" t="s">
        <v>24</v>
      </c>
      <c r="B64" s="245" t="s">
        <v>1620</v>
      </c>
      <c r="C64" s="1153" t="s">
        <v>1621</v>
      </c>
      <c r="D64" s="491" t="s">
        <v>34</v>
      </c>
      <c r="E64" s="491" t="s">
        <v>47</v>
      </c>
      <c r="F64" s="491" t="s">
        <v>177</v>
      </c>
      <c r="G64" s="304">
        <v>2970502</v>
      </c>
      <c r="H64" s="304">
        <v>-237640</v>
      </c>
      <c r="I64" s="298">
        <f t="shared" si="14"/>
        <v>145257.5478</v>
      </c>
      <c r="J64" s="298">
        <f t="shared" si="15"/>
        <v>118820.08</v>
      </c>
      <c r="K64" s="298">
        <f t="shared" si="16"/>
        <v>59410.04</v>
      </c>
      <c r="L64" s="298">
        <v>15000</v>
      </c>
      <c r="M64" s="295">
        <f t="shared" si="17"/>
        <v>3546629.6678</v>
      </c>
      <c r="N64" s="921">
        <f t="shared" si="18"/>
        <v>283730.373424</v>
      </c>
      <c r="O64" s="304">
        <v>575000</v>
      </c>
      <c r="P64" s="1165"/>
      <c r="Q64" s="399"/>
      <c r="R64" s="335">
        <f t="shared" si="19"/>
        <v>4405360.041224</v>
      </c>
      <c r="S64" s="335">
        <f t="shared" si="20"/>
        <v>28373.0373424</v>
      </c>
      <c r="T64" s="336">
        <f t="shared" si="21"/>
        <v>4433733.0785664</v>
      </c>
      <c r="U64" s="1182">
        <v>44409</v>
      </c>
      <c r="V64" s="339">
        <v>44439</v>
      </c>
      <c r="W64" s="1175"/>
      <c r="X64" s="1146"/>
      <c r="Y64" s="1146"/>
    </row>
    <row r="65" ht="12" customHeight="1">
      <c r="A65" s="238" t="s">
        <v>24</v>
      </c>
      <c r="B65" s="245" t="s">
        <v>1622</v>
      </c>
      <c r="C65" s="1154" t="s">
        <v>242</v>
      </c>
      <c r="D65" s="491" t="s">
        <v>34</v>
      </c>
      <c r="E65" s="491" t="s">
        <v>47</v>
      </c>
      <c r="F65" s="491" t="s">
        <v>177</v>
      </c>
      <c r="G65" s="304">
        <v>2970502</v>
      </c>
      <c r="H65" s="304"/>
      <c r="I65" s="298">
        <f t="shared" si="14"/>
        <v>145257.5478</v>
      </c>
      <c r="J65" s="298">
        <f t="shared" si="15"/>
        <v>118820.08</v>
      </c>
      <c r="K65" s="298">
        <f t="shared" si="16"/>
        <v>59410.04</v>
      </c>
      <c r="L65" s="298">
        <v>15000</v>
      </c>
      <c r="M65" s="295">
        <f t="shared" si="17"/>
        <v>3308989.6678</v>
      </c>
      <c r="N65" s="921">
        <f t="shared" si="18"/>
        <v>264719.173424</v>
      </c>
      <c r="O65" s="304">
        <v>575000</v>
      </c>
      <c r="P65" s="1165"/>
      <c r="Q65" s="399"/>
      <c r="R65" s="335">
        <f t="shared" si="19"/>
        <v>4148708.841224</v>
      </c>
      <c r="S65" s="335">
        <f t="shared" si="20"/>
        <v>26471.9173424</v>
      </c>
      <c r="T65" s="336">
        <f t="shared" si="21"/>
        <v>4175180.7585664</v>
      </c>
      <c r="U65" s="1181">
        <v>44348</v>
      </c>
      <c r="V65" s="339">
        <v>44439</v>
      </c>
      <c r="W65" s="1175"/>
      <c r="X65" s="1146"/>
      <c r="Y65" s="1146"/>
    </row>
    <row r="66" ht="12" customHeight="1">
      <c r="A66" s="238" t="s">
        <v>24</v>
      </c>
      <c r="B66" s="245">
        <v>2201</v>
      </c>
      <c r="C66" s="1153" t="s">
        <v>1623</v>
      </c>
      <c r="D66" s="491" t="s">
        <v>34</v>
      </c>
      <c r="E66" s="491" t="s">
        <v>47</v>
      </c>
      <c r="F66" s="491" t="s">
        <v>177</v>
      </c>
      <c r="G66" s="304">
        <v>2970502</v>
      </c>
      <c r="H66" s="304"/>
      <c r="I66" s="298">
        <f t="shared" si="14"/>
        <v>145257.5478</v>
      </c>
      <c r="J66" s="298">
        <f t="shared" si="15"/>
        <v>118820.08</v>
      </c>
      <c r="K66" s="298">
        <f t="shared" si="16"/>
        <v>59410.04</v>
      </c>
      <c r="L66" s="298">
        <v>15000</v>
      </c>
      <c r="M66" s="295">
        <f t="shared" si="17"/>
        <v>3308989.6678</v>
      </c>
      <c r="N66" s="921">
        <f t="shared" si="18"/>
        <v>264719.173424</v>
      </c>
      <c r="O66" s="304">
        <v>592500</v>
      </c>
      <c r="P66" s="1165"/>
      <c r="Q66" s="399"/>
      <c r="R66" s="335">
        <f t="shared" si="19"/>
        <v>4166208.841224</v>
      </c>
      <c r="S66" s="335">
        <f t="shared" si="20"/>
        <v>26471.9173424</v>
      </c>
      <c r="T66" s="336">
        <f t="shared" si="21"/>
        <v>4192680.7585664</v>
      </c>
      <c r="U66" s="1182">
        <v>44378</v>
      </c>
      <c r="V66" s="339">
        <v>44469</v>
      </c>
      <c r="W66" s="1175"/>
      <c r="X66" s="1146"/>
      <c r="Y66" s="1146"/>
    </row>
    <row r="67" ht="12" customHeight="1">
      <c r="A67" s="238" t="s">
        <v>24</v>
      </c>
      <c r="B67" s="245" t="s">
        <v>1624</v>
      </c>
      <c r="C67" s="1154" t="s">
        <v>1625</v>
      </c>
      <c r="D67" s="491" t="s">
        <v>34</v>
      </c>
      <c r="E67" s="491" t="s">
        <v>47</v>
      </c>
      <c r="F67" s="491" t="s">
        <v>177</v>
      </c>
      <c r="G67" s="304">
        <v>2970502</v>
      </c>
      <c r="H67" s="304"/>
      <c r="I67" s="298">
        <f t="shared" si="14"/>
        <v>145257.5478</v>
      </c>
      <c r="J67" s="298">
        <f t="shared" si="15"/>
        <v>118820.08</v>
      </c>
      <c r="K67" s="298">
        <f t="shared" si="16"/>
        <v>59410.04</v>
      </c>
      <c r="L67" s="298">
        <v>15000</v>
      </c>
      <c r="M67" s="295">
        <f t="shared" si="17"/>
        <v>3308989.6678</v>
      </c>
      <c r="N67" s="921">
        <f t="shared" si="18"/>
        <v>264719.173424</v>
      </c>
      <c r="O67" s="304">
        <v>540000</v>
      </c>
      <c r="P67" s="1165"/>
      <c r="Q67" s="399"/>
      <c r="R67" s="335">
        <f t="shared" si="19"/>
        <v>4113708.841224</v>
      </c>
      <c r="S67" s="335">
        <f t="shared" si="20"/>
        <v>26471.9173424</v>
      </c>
      <c r="T67" s="336">
        <f t="shared" si="21"/>
        <v>4140180.7585664</v>
      </c>
      <c r="U67" s="1181">
        <v>44382</v>
      </c>
      <c r="V67" s="339">
        <v>44469</v>
      </c>
      <c r="W67" s="1175"/>
      <c r="X67" s="1146"/>
      <c r="Y67" s="1146"/>
    </row>
    <row r="68" ht="12" customHeight="1">
      <c r="A68" s="238" t="s">
        <v>24</v>
      </c>
      <c r="B68" s="245" t="s">
        <v>1626</v>
      </c>
      <c r="C68" s="1153" t="s">
        <v>1627</v>
      </c>
      <c r="D68" s="491" t="s">
        <v>34</v>
      </c>
      <c r="E68" s="491" t="s">
        <v>47</v>
      </c>
      <c r="F68" s="491" t="s">
        <v>177</v>
      </c>
      <c r="G68" s="304">
        <v>2970502</v>
      </c>
      <c r="H68" s="304">
        <v>-237640</v>
      </c>
      <c r="I68" s="298">
        <f t="shared" si="14"/>
        <v>145257.5478</v>
      </c>
      <c r="J68" s="298">
        <f t="shared" si="15"/>
        <v>118820.08</v>
      </c>
      <c r="K68" s="298">
        <f t="shared" si="16"/>
        <v>59410.04</v>
      </c>
      <c r="L68" s="298">
        <v>15000</v>
      </c>
      <c r="M68" s="295">
        <f t="shared" si="17"/>
        <v>3546629.6678</v>
      </c>
      <c r="N68" s="921">
        <f t="shared" si="18"/>
        <v>283730.373424</v>
      </c>
      <c r="O68" s="304">
        <v>560000</v>
      </c>
      <c r="P68" s="1165"/>
      <c r="Q68" s="399"/>
      <c r="R68" s="335">
        <f t="shared" si="19"/>
        <v>4390360.041224</v>
      </c>
      <c r="S68" s="335">
        <f t="shared" si="20"/>
        <v>28373.0373424</v>
      </c>
      <c r="T68" s="336">
        <f t="shared" si="21"/>
        <v>4418733.0785664</v>
      </c>
      <c r="U68" s="1182">
        <v>44409</v>
      </c>
      <c r="V68" s="339">
        <v>44439</v>
      </c>
      <c r="W68" s="1076"/>
      <c r="X68" s="1146"/>
      <c r="Y68" s="1146"/>
    </row>
    <row r="69" ht="12" customHeight="1">
      <c r="A69" s="238" t="s">
        <v>24</v>
      </c>
      <c r="B69" s="245" t="s">
        <v>1628</v>
      </c>
      <c r="C69" s="1153" t="s">
        <v>1629</v>
      </c>
      <c r="D69" s="491" t="s">
        <v>34</v>
      </c>
      <c r="E69" s="491" t="s">
        <v>47</v>
      </c>
      <c r="F69" s="491" t="s">
        <v>177</v>
      </c>
      <c r="G69" s="304">
        <v>2970502</v>
      </c>
      <c r="H69" s="304"/>
      <c r="I69" s="298">
        <f t="shared" si="14"/>
        <v>145257.5478</v>
      </c>
      <c r="J69" s="298">
        <f t="shared" si="15"/>
        <v>118820.08</v>
      </c>
      <c r="K69" s="298">
        <f t="shared" si="16"/>
        <v>59410.04</v>
      </c>
      <c r="L69" s="298">
        <v>15000</v>
      </c>
      <c r="M69" s="295">
        <f t="shared" si="17"/>
        <v>3308989.6678</v>
      </c>
      <c r="N69" s="921">
        <f t="shared" si="18"/>
        <v>264719.173424</v>
      </c>
      <c r="O69" s="304">
        <v>470000</v>
      </c>
      <c r="P69" s="1165"/>
      <c r="Q69" s="399"/>
      <c r="R69" s="335">
        <f t="shared" si="19"/>
        <v>4043708.841224</v>
      </c>
      <c r="S69" s="335">
        <f t="shared" si="20"/>
        <v>26471.9173424</v>
      </c>
      <c r="T69" s="336">
        <f t="shared" si="21"/>
        <v>4070180.7585664</v>
      </c>
      <c r="U69" s="1182">
        <v>44378</v>
      </c>
      <c r="V69" s="339">
        <v>44469</v>
      </c>
      <c r="W69" s="1076"/>
      <c r="X69" s="1146"/>
      <c r="Y69" s="1146"/>
    </row>
    <row r="70" ht="12" customHeight="1">
      <c r="A70" s="238" t="s">
        <v>24</v>
      </c>
      <c r="B70" s="245" t="s">
        <v>1630</v>
      </c>
      <c r="C70" s="1154" t="s">
        <v>1631</v>
      </c>
      <c r="D70" s="491" t="s">
        <v>34</v>
      </c>
      <c r="E70" s="491" t="s">
        <v>47</v>
      </c>
      <c r="F70" s="491" t="s">
        <v>177</v>
      </c>
      <c r="G70" s="304">
        <v>2970502</v>
      </c>
      <c r="H70" s="304"/>
      <c r="I70" s="298">
        <f t="shared" si="14"/>
        <v>145257.5478</v>
      </c>
      <c r="J70" s="298">
        <f t="shared" si="15"/>
        <v>118820.08</v>
      </c>
      <c r="K70" s="298">
        <f t="shared" si="16"/>
        <v>59410.04</v>
      </c>
      <c r="L70" s="298">
        <v>15000</v>
      </c>
      <c r="M70" s="295">
        <f t="shared" si="17"/>
        <v>3308989.6678</v>
      </c>
      <c r="N70" s="921">
        <f t="shared" si="18"/>
        <v>264719.173424</v>
      </c>
      <c r="O70" s="304">
        <v>420000</v>
      </c>
      <c r="P70" s="1165"/>
      <c r="Q70" s="399"/>
      <c r="R70" s="335">
        <f t="shared" si="19"/>
        <v>3993708.841224</v>
      </c>
      <c r="S70" s="335">
        <f t="shared" si="20"/>
        <v>26471.9173424</v>
      </c>
      <c r="T70" s="336">
        <f t="shared" si="21"/>
        <v>4020180.7585664</v>
      </c>
      <c r="U70" s="1181">
        <v>44336</v>
      </c>
      <c r="V70" s="339">
        <v>44439</v>
      </c>
      <c r="W70" s="1175"/>
      <c r="X70" s="1146"/>
      <c r="Y70" s="1146"/>
    </row>
    <row r="71" ht="12" customHeight="1">
      <c r="A71" s="238" t="s">
        <v>24</v>
      </c>
      <c r="B71" s="245">
        <v>2199</v>
      </c>
      <c r="C71" s="1153" t="s">
        <v>1632</v>
      </c>
      <c r="D71" s="491" t="s">
        <v>34</v>
      </c>
      <c r="E71" s="491" t="s">
        <v>47</v>
      </c>
      <c r="F71" s="491" t="s">
        <v>177</v>
      </c>
      <c r="G71" s="304">
        <v>2970502</v>
      </c>
      <c r="H71" s="304">
        <v>-356460</v>
      </c>
      <c r="I71" s="298">
        <f t="shared" si="14"/>
        <v>145257.5478</v>
      </c>
      <c r="J71" s="298">
        <f t="shared" si="15"/>
        <v>118820.08</v>
      </c>
      <c r="K71" s="298">
        <f t="shared" si="16"/>
        <v>59410.04</v>
      </c>
      <c r="L71" s="298">
        <v>15000</v>
      </c>
      <c r="M71" s="295">
        <f t="shared" si="17"/>
        <v>3665449.6678</v>
      </c>
      <c r="N71" s="921">
        <f t="shared" si="18"/>
        <v>293235.973424</v>
      </c>
      <c r="O71" s="304">
        <v>675000</v>
      </c>
      <c r="P71" s="1165"/>
      <c r="Q71" s="399"/>
      <c r="R71" s="335">
        <f t="shared" si="19"/>
        <v>4633685.641224001</v>
      </c>
      <c r="S71" s="335">
        <f t="shared" si="20"/>
        <v>29323.597342400004</v>
      </c>
      <c r="T71" s="336">
        <f t="shared" si="21"/>
        <v>4663009.2385664005</v>
      </c>
      <c r="U71" s="1182">
        <v>44378</v>
      </c>
      <c r="V71" s="339">
        <v>44469</v>
      </c>
      <c r="W71" s="1175"/>
      <c r="X71" s="1146"/>
      <c r="Y71" s="1146"/>
    </row>
    <row r="72" ht="11.25" customHeight="1">
      <c r="A72" s="238" t="s">
        <v>24</v>
      </c>
      <c r="B72" s="245" t="s">
        <v>1633</v>
      </c>
      <c r="C72" s="1154" t="s">
        <v>1634</v>
      </c>
      <c r="D72" s="491" t="s">
        <v>34</v>
      </c>
      <c r="E72" s="491" t="s">
        <v>47</v>
      </c>
      <c r="F72" s="491" t="s">
        <v>177</v>
      </c>
      <c r="G72" s="304">
        <v>2970502</v>
      </c>
      <c r="H72" s="304"/>
      <c r="I72" s="298">
        <f t="shared" si="14"/>
        <v>145257.5478</v>
      </c>
      <c r="J72" s="298">
        <f t="shared" si="15"/>
        <v>118820.08</v>
      </c>
      <c r="K72" s="298">
        <f t="shared" si="16"/>
        <v>59410.04</v>
      </c>
      <c r="L72" s="298">
        <v>15000</v>
      </c>
      <c r="M72" s="295">
        <f t="shared" si="17"/>
        <v>3308989.6678</v>
      </c>
      <c r="N72" s="921">
        <f t="shared" si="18"/>
        <v>264719.173424</v>
      </c>
      <c r="O72" s="304">
        <v>395000</v>
      </c>
      <c r="P72" s="1165"/>
      <c r="Q72" s="399"/>
      <c r="R72" s="335">
        <f t="shared" si="19"/>
        <v>3968708.841224</v>
      </c>
      <c r="S72" s="335">
        <f t="shared" si="20"/>
        <v>26471.9173424</v>
      </c>
      <c r="T72" s="336">
        <f t="shared" si="21"/>
        <v>3995180.7585664</v>
      </c>
      <c r="U72" s="1181">
        <v>44385</v>
      </c>
      <c r="V72" s="339">
        <v>44469</v>
      </c>
      <c r="W72" s="1175"/>
      <c r="X72" s="1146"/>
      <c r="Y72" s="1146"/>
    </row>
    <row r="73" ht="12" customHeight="1">
      <c r="A73" s="238" t="s">
        <v>24</v>
      </c>
      <c r="B73" s="245">
        <v>2197</v>
      </c>
      <c r="C73" s="1153" t="s">
        <v>1635</v>
      </c>
      <c r="D73" s="491" t="s">
        <v>34</v>
      </c>
      <c r="E73" s="491" t="s">
        <v>47</v>
      </c>
      <c r="F73" s="491" t="s">
        <v>177</v>
      </c>
      <c r="G73" s="304">
        <v>2970502</v>
      </c>
      <c r="H73" s="304"/>
      <c r="I73" s="298">
        <f t="shared" si="14"/>
        <v>145257.5478</v>
      </c>
      <c r="J73" s="298">
        <f t="shared" si="15"/>
        <v>118820.08</v>
      </c>
      <c r="K73" s="298">
        <f t="shared" si="16"/>
        <v>59410.04</v>
      </c>
      <c r="L73" s="298">
        <v>15000</v>
      </c>
      <c r="M73" s="295">
        <f t="shared" si="17"/>
        <v>3308989.6678</v>
      </c>
      <c r="N73" s="921">
        <f t="shared" si="18"/>
        <v>264719.173424</v>
      </c>
      <c r="O73" s="304">
        <v>720000</v>
      </c>
      <c r="P73" s="1165"/>
      <c r="Q73" s="399"/>
      <c r="R73" s="335">
        <f t="shared" si="19"/>
        <v>4293708.841224</v>
      </c>
      <c r="S73" s="335">
        <f t="shared" si="20"/>
        <v>26471.9173424</v>
      </c>
      <c r="T73" s="336">
        <f t="shared" si="21"/>
        <v>4320180.7585664</v>
      </c>
      <c r="U73" s="1182">
        <v>44378</v>
      </c>
      <c r="V73" s="339">
        <v>44469</v>
      </c>
      <c r="W73" s="1175"/>
      <c r="X73" s="1146"/>
      <c r="Y73" s="1146"/>
    </row>
    <row r="74" ht="12" customHeight="1">
      <c r="A74" s="238" t="s">
        <v>24</v>
      </c>
      <c r="B74" s="245">
        <v>2202</v>
      </c>
      <c r="C74" s="1153" t="s">
        <v>1636</v>
      </c>
      <c r="D74" s="491" t="s">
        <v>34</v>
      </c>
      <c r="E74" s="491" t="s">
        <v>47</v>
      </c>
      <c r="F74" s="491" t="s">
        <v>177</v>
      </c>
      <c r="G74" s="304">
        <v>2970502</v>
      </c>
      <c r="H74" s="304"/>
      <c r="I74" s="298">
        <f t="shared" si="14"/>
        <v>145257.5478</v>
      </c>
      <c r="J74" s="298">
        <f t="shared" si="15"/>
        <v>118820.08</v>
      </c>
      <c r="K74" s="298">
        <f t="shared" si="16"/>
        <v>59410.04</v>
      </c>
      <c r="L74" s="298">
        <v>15000</v>
      </c>
      <c r="M74" s="295">
        <f t="shared" si="17"/>
        <v>3308989.6678</v>
      </c>
      <c r="N74" s="921">
        <f t="shared" si="18"/>
        <v>264719.173424</v>
      </c>
      <c r="O74" s="304">
        <v>822500</v>
      </c>
      <c r="P74" s="1165"/>
      <c r="Q74" s="399"/>
      <c r="R74" s="335">
        <f t="shared" si="19"/>
        <v>4396208.841224</v>
      </c>
      <c r="S74" s="335">
        <f t="shared" si="20"/>
        <v>26471.9173424</v>
      </c>
      <c r="T74" s="336">
        <f t="shared" si="21"/>
        <v>4422680.7585664</v>
      </c>
      <c r="U74" s="1182">
        <v>44378</v>
      </c>
      <c r="V74" s="339">
        <v>44469</v>
      </c>
      <c r="W74" s="1175"/>
      <c r="X74" s="1146"/>
      <c r="Y74" s="1146"/>
    </row>
    <row r="75" ht="12" customHeight="1">
      <c r="A75" s="238" t="s">
        <v>24</v>
      </c>
      <c r="B75" s="245" t="s">
        <v>1637</v>
      </c>
      <c r="C75" s="1154" t="s">
        <v>1638</v>
      </c>
      <c r="D75" s="491" t="s">
        <v>34</v>
      </c>
      <c r="E75" s="491" t="s">
        <v>47</v>
      </c>
      <c r="F75" s="491" t="s">
        <v>177</v>
      </c>
      <c r="G75" s="304">
        <v>2970502</v>
      </c>
      <c r="H75" s="304"/>
      <c r="I75" s="298">
        <f t="shared" si="14"/>
        <v>145257.5478</v>
      </c>
      <c r="J75" s="298">
        <f t="shared" si="15"/>
        <v>118820.08</v>
      </c>
      <c r="K75" s="298">
        <f t="shared" si="16"/>
        <v>59410.04</v>
      </c>
      <c r="L75" s="298">
        <v>15000</v>
      </c>
      <c r="M75" s="295">
        <f t="shared" si="17"/>
        <v>3308989.6678</v>
      </c>
      <c r="N75" s="921">
        <f t="shared" si="18"/>
        <v>264719.173424</v>
      </c>
      <c r="O75" s="304">
        <v>610000</v>
      </c>
      <c r="P75" s="1165"/>
      <c r="Q75" s="399"/>
      <c r="R75" s="335">
        <f t="shared" si="19"/>
        <v>4183708.841224</v>
      </c>
      <c r="S75" s="335">
        <f t="shared" si="20"/>
        <v>26471.9173424</v>
      </c>
      <c r="T75" s="336">
        <f t="shared" si="21"/>
        <v>4210180.7585664</v>
      </c>
      <c r="U75" s="1181">
        <v>44384</v>
      </c>
      <c r="V75" s="339">
        <v>44469</v>
      </c>
      <c r="W75" s="1175"/>
      <c r="X75" s="1146"/>
      <c r="Y75" s="1146"/>
    </row>
    <row r="76" ht="12" customHeight="1">
      <c r="A76" s="238" t="s">
        <v>24</v>
      </c>
      <c r="B76" s="1034" t="s">
        <v>1639</v>
      </c>
      <c r="C76" s="1183" t="s">
        <v>1640</v>
      </c>
      <c r="D76" s="1036" t="s">
        <v>34</v>
      </c>
      <c r="E76" s="1036" t="s">
        <v>47</v>
      </c>
      <c r="F76" s="1036" t="s">
        <v>177</v>
      </c>
      <c r="G76" s="649">
        <f>2970502/31*28</f>
        <v>2683034.06451613</v>
      </c>
      <c r="H76" s="649"/>
      <c r="I76" s="650">
        <f t="shared" si="1"/>
        <v>145257.5478</v>
      </c>
      <c r="J76" s="650">
        <f t="shared" si="2"/>
        <v>118820.08</v>
      </c>
      <c r="K76" s="650">
        <f t="shared" si="3"/>
        <v>59410.04</v>
      </c>
      <c r="L76" s="650">
        <v>15000</v>
      </c>
      <c r="M76" s="308">
        <f ref="M76:M88" t="shared" si="22">SUM(G76,I76:L76)-H76</f>
        <v>3021521.73231613</v>
      </c>
      <c r="N76" s="909">
        <f ref="N76:N83" t="shared" si="23">+M76*8%</f>
        <v>241721.73858529038</v>
      </c>
      <c r="O76" s="649">
        <v>150000</v>
      </c>
      <c r="P76" s="1189"/>
      <c r="Q76" s="1194"/>
      <c r="R76" s="910">
        <f ref="R76:R83" t="shared" si="24">SUM(M76:Q76)</f>
        <v>3413243.4709014203</v>
      </c>
      <c r="S76" s="910">
        <f ref="S76:S83" t="shared" si="25">N76*0.1</f>
        <v>24172.17385852904</v>
      </c>
      <c r="T76" s="911">
        <f ref="T76:T83" t="shared" si="26">R76+S76</f>
        <v>3437415.6447599493</v>
      </c>
      <c r="U76" s="1195">
        <v>44395</v>
      </c>
      <c r="V76" s="668">
        <v>44500</v>
      </c>
      <c r="W76" s="1196"/>
    </row>
    <row r="77" ht="12" customHeight="1">
      <c r="A77" s="238" t="s">
        <v>24</v>
      </c>
      <c r="B77" s="1034" t="s">
        <v>1641</v>
      </c>
      <c r="C77" s="1183" t="s">
        <v>1642</v>
      </c>
      <c r="D77" s="1036" t="s">
        <v>34</v>
      </c>
      <c r="E77" s="1036" t="s">
        <v>47</v>
      </c>
      <c r="F77" s="1036" t="s">
        <v>177</v>
      </c>
      <c r="G77" s="649">
        <f>2970502/31*27</f>
        <v>2587211.41935484</v>
      </c>
      <c r="H77" s="649"/>
      <c r="I77" s="650">
        <f t="shared" si="1"/>
        <v>145257.5478</v>
      </c>
      <c r="J77" s="650">
        <f t="shared" si="2"/>
        <v>118820.08</v>
      </c>
      <c r="K77" s="650">
        <f t="shared" si="3"/>
        <v>59410.04</v>
      </c>
      <c r="L77" s="650">
        <v>15000</v>
      </c>
      <c r="M77" s="308">
        <f t="shared" si="22"/>
        <v>2925699.08715484</v>
      </c>
      <c r="N77" s="909">
        <f t="shared" si="23"/>
        <v>234055.9269723872</v>
      </c>
      <c r="O77" s="649">
        <v>315000</v>
      </c>
      <c r="P77" s="1189"/>
      <c r="Q77" s="1194"/>
      <c r="R77" s="910">
        <f t="shared" si="24"/>
        <v>3474755.0141272275</v>
      </c>
      <c r="S77" s="910">
        <f t="shared" si="25"/>
        <v>23405.592697238724</v>
      </c>
      <c r="T77" s="911">
        <f t="shared" si="26"/>
        <v>3498160.606824466</v>
      </c>
      <c r="U77" s="1195">
        <v>44396</v>
      </c>
      <c r="V77" s="668">
        <v>44500</v>
      </c>
      <c r="W77" s="1196"/>
    </row>
    <row r="78" ht="12" customHeight="1">
      <c r="A78" s="238" t="s">
        <v>24</v>
      </c>
      <c r="B78" s="1034" t="s">
        <v>1643</v>
      </c>
      <c r="C78" s="1183" t="s">
        <v>1644</v>
      </c>
      <c r="D78" s="1036" t="s">
        <v>34</v>
      </c>
      <c r="E78" s="1036" t="s">
        <v>47</v>
      </c>
      <c r="F78" s="1036" t="s">
        <v>177</v>
      </c>
      <c r="G78" s="649">
        <f>2970502/31*25</f>
        <v>2395566.12903226</v>
      </c>
      <c r="H78" s="649"/>
      <c r="I78" s="650">
        <f t="shared" si="1"/>
        <v>145257.5478</v>
      </c>
      <c r="J78" s="650">
        <f t="shared" si="2"/>
        <v>118820.08</v>
      </c>
      <c r="K78" s="650">
        <f t="shared" si="3"/>
        <v>59410.04</v>
      </c>
      <c r="L78" s="650">
        <v>15000</v>
      </c>
      <c r="M78" s="308">
        <f t="shared" si="22"/>
        <v>2734053.7968322597</v>
      </c>
      <c r="N78" s="909">
        <f t="shared" si="23"/>
        <v>218724.3037465808</v>
      </c>
      <c r="O78" s="649">
        <v>225000</v>
      </c>
      <c r="P78" s="1189"/>
      <c r="Q78" s="1194"/>
      <c r="R78" s="910">
        <f t="shared" si="24"/>
        <v>3177778.1005788404</v>
      </c>
      <c r="S78" s="910">
        <f t="shared" si="25"/>
        <v>21872.43037465808</v>
      </c>
      <c r="T78" s="911">
        <f t="shared" si="26"/>
        <v>3199650.5309534986</v>
      </c>
      <c r="U78" s="1195">
        <v>44399</v>
      </c>
      <c r="V78" s="668">
        <v>44500</v>
      </c>
      <c r="W78" s="1196"/>
    </row>
    <row r="79" ht="12" customHeight="1">
      <c r="A79" s="238" t="s">
        <v>24</v>
      </c>
      <c r="B79" s="1034">
        <v>2810</v>
      </c>
      <c r="C79" s="1183" t="s">
        <v>1645</v>
      </c>
      <c r="D79" s="1036" t="s">
        <v>34</v>
      </c>
      <c r="E79" s="1036" t="s">
        <v>47</v>
      </c>
      <c r="F79" s="1036" t="s">
        <v>177</v>
      </c>
      <c r="G79" s="649">
        <f>2970502/31*19</f>
        <v>1820630.25806452</v>
      </c>
      <c r="H79" s="649"/>
      <c r="I79" s="650">
        <f t="shared" si="1"/>
        <v>145257.5478</v>
      </c>
      <c r="J79" s="650">
        <f t="shared" si="2"/>
        <v>118820.08</v>
      </c>
      <c r="K79" s="650">
        <f t="shared" si="3"/>
        <v>59410.04</v>
      </c>
      <c r="L79" s="650">
        <v>15000</v>
      </c>
      <c r="M79" s="308">
        <f t="shared" si="22"/>
        <v>2159117.92586452</v>
      </c>
      <c r="N79" s="909">
        <f t="shared" si="23"/>
        <v>172729.4340691616</v>
      </c>
      <c r="O79" s="649">
        <v>50000</v>
      </c>
      <c r="P79" s="1189"/>
      <c r="Q79" s="1194"/>
      <c r="R79" s="910">
        <f t="shared" si="24"/>
        <v>2381847.359933682</v>
      </c>
      <c r="S79" s="910">
        <f t="shared" si="25"/>
        <v>17272.94340691616</v>
      </c>
      <c r="T79" s="911">
        <f t="shared" si="26"/>
        <v>2399120.303340598</v>
      </c>
      <c r="U79" s="1195">
        <v>44405</v>
      </c>
      <c r="V79" s="668">
        <v>44500</v>
      </c>
      <c r="W79" s="1196"/>
    </row>
    <row r="80" ht="12" customHeight="1">
      <c r="A80" s="238" t="s">
        <v>24</v>
      </c>
      <c r="B80" s="1034">
        <v>2811</v>
      </c>
      <c r="C80" s="1183" t="s">
        <v>1646</v>
      </c>
      <c r="D80" s="1036" t="s">
        <v>34</v>
      </c>
      <c r="E80" s="1036" t="s">
        <v>47</v>
      </c>
      <c r="F80" s="1036" t="s">
        <v>177</v>
      </c>
      <c r="G80" s="649">
        <f>2970502/31*15</f>
        <v>1437339.67741935</v>
      </c>
      <c r="H80" s="649"/>
      <c r="I80" s="650">
        <f t="shared" si="1"/>
        <v>145257.5478</v>
      </c>
      <c r="J80" s="650">
        <f t="shared" si="2"/>
        <v>118820.08</v>
      </c>
      <c r="K80" s="650">
        <f t="shared" si="3"/>
        <v>59410.04</v>
      </c>
      <c r="L80" s="650">
        <v>15000</v>
      </c>
      <c r="M80" s="308">
        <f t="shared" si="22"/>
        <v>1775827.3452193502</v>
      </c>
      <c r="N80" s="909">
        <f t="shared" si="23"/>
        <v>142066.187617548</v>
      </c>
      <c r="O80" s="649"/>
      <c r="P80" s="1189"/>
      <c r="Q80" s="1194"/>
      <c r="R80" s="910">
        <f t="shared" si="24"/>
        <v>1917893.5328368982</v>
      </c>
      <c r="S80" s="910">
        <f t="shared" si="25"/>
        <v>14206.618761754802</v>
      </c>
      <c r="T80" s="911">
        <f t="shared" si="26"/>
        <v>1932100.151598653</v>
      </c>
      <c r="U80" s="1195">
        <v>44409</v>
      </c>
      <c r="V80" s="668">
        <v>44500</v>
      </c>
      <c r="W80" s="1196"/>
    </row>
    <row r="81" ht="12" customHeight="1">
      <c r="A81" s="238" t="s">
        <v>24</v>
      </c>
      <c r="B81" s="1034">
        <v>2812</v>
      </c>
      <c r="C81" s="1183" t="s">
        <v>1647</v>
      </c>
      <c r="D81" s="1036" t="s">
        <v>34</v>
      </c>
      <c r="E81" s="1036" t="s">
        <v>47</v>
      </c>
      <c r="F81" s="1036" t="s">
        <v>177</v>
      </c>
      <c r="G81" s="649">
        <f>2970502/31*14</f>
        <v>1341517.03225806</v>
      </c>
      <c r="H81" s="649"/>
      <c r="I81" s="650">
        <f t="shared" si="1"/>
        <v>145257.5478</v>
      </c>
      <c r="J81" s="650">
        <f t="shared" si="2"/>
        <v>118820.08</v>
      </c>
      <c r="K81" s="650">
        <f t="shared" si="3"/>
        <v>59410.04</v>
      </c>
      <c r="L81" s="650">
        <v>15000</v>
      </c>
      <c r="M81" s="308">
        <f t="shared" si="22"/>
        <v>1680004.7000580602</v>
      </c>
      <c r="N81" s="909">
        <f t="shared" si="23"/>
        <v>134400.37600464482</v>
      </c>
      <c r="O81" s="649"/>
      <c r="P81" s="1189"/>
      <c r="Q81" s="1194"/>
      <c r="R81" s="910">
        <f t="shared" si="24"/>
        <v>1814405.0760627051</v>
      </c>
      <c r="S81" s="910">
        <f t="shared" si="25"/>
        <v>13440.037600464482</v>
      </c>
      <c r="T81" s="911">
        <f t="shared" si="26"/>
        <v>1827845.1136631696</v>
      </c>
      <c r="U81" s="1195">
        <v>44410</v>
      </c>
      <c r="V81" s="668">
        <v>44500</v>
      </c>
      <c r="W81" s="1196"/>
    </row>
    <row r="82" ht="12" customHeight="1">
      <c r="A82" s="238" t="s">
        <v>24</v>
      </c>
      <c r="B82" s="1034">
        <v>2813</v>
      </c>
      <c r="C82" s="1183" t="s">
        <v>1648</v>
      </c>
      <c r="D82" s="1036" t="s">
        <v>34</v>
      </c>
      <c r="E82" s="1036" t="s">
        <v>47</v>
      </c>
      <c r="F82" s="1036" t="s">
        <v>177</v>
      </c>
      <c r="G82" s="649">
        <f>2970502/31*14</f>
        <v>1341517.03225806</v>
      </c>
      <c r="H82" s="649"/>
      <c r="I82" s="650">
        <f t="shared" si="1"/>
        <v>145257.5478</v>
      </c>
      <c r="J82" s="650">
        <f t="shared" si="2"/>
        <v>118820.08</v>
      </c>
      <c r="K82" s="650">
        <f t="shared" si="3"/>
        <v>59410.04</v>
      </c>
      <c r="L82" s="650">
        <v>15000</v>
      </c>
      <c r="M82" s="308">
        <f t="shared" si="22"/>
        <v>1680004.7000580602</v>
      </c>
      <c r="N82" s="909">
        <f t="shared" si="23"/>
        <v>134400.37600464482</v>
      </c>
      <c r="O82" s="649"/>
      <c r="P82" s="1189"/>
      <c r="Q82" s="1194"/>
      <c r="R82" s="910">
        <f t="shared" si="24"/>
        <v>1814405.0760627051</v>
      </c>
      <c r="S82" s="910">
        <f t="shared" si="25"/>
        <v>13440.037600464482</v>
      </c>
      <c r="T82" s="911">
        <f t="shared" si="26"/>
        <v>1827845.1136631696</v>
      </c>
      <c r="U82" s="1195">
        <v>44410</v>
      </c>
      <c r="V82" s="668">
        <v>44500</v>
      </c>
      <c r="W82" s="1196"/>
    </row>
    <row r="83" ht="12" customHeight="1">
      <c r="A83" s="238" t="s">
        <v>30</v>
      </c>
      <c r="B83" s="1895"/>
      <c r="C83" s="1183" t="s">
        <v>861</v>
      </c>
      <c r="D83" s="1036" t="s">
        <v>34</v>
      </c>
      <c r="E83" s="1036" t="s">
        <v>47</v>
      </c>
      <c r="F83" s="1036" t="s">
        <v>177</v>
      </c>
      <c r="G83" s="649">
        <f>2970502/31*4</f>
        <v>383290.580645161</v>
      </c>
      <c r="H83" s="649"/>
      <c r="I83" s="650">
        <f t="shared" si="1"/>
        <v>145257.5478</v>
      </c>
      <c r="J83" s="650">
        <f t="shared" si="2"/>
        <v>118820.08</v>
      </c>
      <c r="K83" s="650">
        <f t="shared" si="3"/>
        <v>59410.04</v>
      </c>
      <c r="L83" s="650">
        <v>15000</v>
      </c>
      <c r="M83" s="308">
        <f t="shared" si="22"/>
        <v>721778.248445161</v>
      </c>
      <c r="N83" s="909">
        <f t="shared" si="23"/>
        <v>57742.25987561289</v>
      </c>
      <c r="O83" s="649"/>
      <c r="P83" s="1189"/>
      <c r="Q83" s="1194"/>
      <c r="R83" s="910">
        <f t="shared" si="24"/>
        <v>779520.508320774</v>
      </c>
      <c r="S83" s="910">
        <f t="shared" si="25"/>
        <v>5774.225987561289</v>
      </c>
      <c r="T83" s="911">
        <f t="shared" si="26"/>
        <v>785294.7343083352</v>
      </c>
      <c r="U83" s="1195">
        <v>44420</v>
      </c>
      <c r="V83" s="668">
        <v>44500</v>
      </c>
      <c r="W83" s="1196"/>
    </row>
    <row r="84" ht="12" customHeight="1">
      <c r="A84" s="238" t="s">
        <v>30</v>
      </c>
      <c r="B84" s="1896"/>
      <c r="C84" s="1154" t="s">
        <v>231</v>
      </c>
      <c r="D84" s="491" t="s">
        <v>1649</v>
      </c>
      <c r="E84" s="491" t="s">
        <v>47</v>
      </c>
      <c r="F84" s="491" t="s">
        <v>177</v>
      </c>
      <c r="G84" s="304"/>
      <c r="H84" s="304"/>
      <c r="I84" s="298"/>
      <c r="J84" s="298"/>
      <c r="K84" s="298"/>
      <c r="L84" s="298"/>
      <c r="M84" s="295">
        <f t="shared" si="22"/>
        <v>0</v>
      </c>
      <c r="N84" s="921">
        <f ref="N84:N89" t="shared" si="29">+M84*8%</f>
        <v>0</v>
      </c>
      <c r="O84" s="304">
        <v>50000</v>
      </c>
      <c r="P84" s="1165"/>
      <c r="Q84" s="399"/>
      <c r="R84" s="335">
        <f ref="R84:R89" t="shared" si="30">SUM(M84:Q84)</f>
        <v>50000</v>
      </c>
      <c r="S84" s="335">
        <f ref="S84:S89" t="shared" si="31">N84*0.1</f>
        <v>0</v>
      </c>
      <c r="T84" s="336">
        <f ref="T84:T89" t="shared" si="32">R84+S84</f>
        <v>50000</v>
      </c>
      <c r="U84" s="1181"/>
      <c r="V84" s="339"/>
      <c r="W84" s="1175"/>
    </row>
    <row r="85" ht="12" customHeight="1">
      <c r="A85" s="238" t="s">
        <v>31</v>
      </c>
      <c r="B85" s="1897" t="s">
        <v>1650</v>
      </c>
      <c r="C85" s="1184" t="s">
        <v>1651</v>
      </c>
      <c r="D85" s="1185" t="s">
        <v>34</v>
      </c>
      <c r="E85" s="1185" t="s">
        <v>47</v>
      </c>
      <c r="F85" s="1185" t="s">
        <v>177</v>
      </c>
      <c r="G85" s="1186">
        <f>2970502/31*18</f>
        <v>1724807.61290323</v>
      </c>
      <c r="H85" s="1186"/>
      <c r="I85" s="1190">
        <f>+$G$3*4.89%</f>
        <v>145257.5478</v>
      </c>
      <c r="J85" s="1190">
        <f>+$G$3*4%</f>
        <v>118820.08</v>
      </c>
      <c r="K85" s="1190">
        <f>+$G$3*2%</f>
        <v>59410.04</v>
      </c>
      <c r="L85" s="1190">
        <v>15000</v>
      </c>
      <c r="M85" s="289">
        <f t="shared" si="22"/>
        <v>2063295.28070323</v>
      </c>
      <c r="N85" s="1191">
        <f t="shared" si="29"/>
        <v>165063.6224562584</v>
      </c>
      <c r="O85" s="1186">
        <v>20000</v>
      </c>
      <c r="P85" s="1192"/>
      <c r="Q85" s="1197"/>
      <c r="R85" s="1198">
        <f t="shared" si="30"/>
        <v>2248358.9031594885</v>
      </c>
      <c r="S85" s="1198">
        <f t="shared" si="31"/>
        <v>16506.36224562584</v>
      </c>
      <c r="T85" s="1199">
        <f t="shared" si="32"/>
        <v>2264865.2654051143</v>
      </c>
      <c r="U85" s="1200">
        <v>44385</v>
      </c>
      <c r="V85" s="1201">
        <v>44411</v>
      </c>
      <c r="W85" s="1202"/>
      <c r="X85" s="1203"/>
      <c r="Y85" s="1203"/>
    </row>
    <row r="86" ht="12" customHeight="1">
      <c r="A86" s="238" t="s">
        <v>31</v>
      </c>
      <c r="B86" s="1897" t="s">
        <v>1652</v>
      </c>
      <c r="C86" s="1184" t="s">
        <v>1653</v>
      </c>
      <c r="D86" s="1185" t="s">
        <v>34</v>
      </c>
      <c r="E86" s="1185" t="s">
        <v>47</v>
      </c>
      <c r="F86" s="1185" t="s">
        <v>177</v>
      </c>
      <c r="G86" s="1186"/>
      <c r="H86" s="1186"/>
      <c r="I86" s="1190"/>
      <c r="J86" s="1190"/>
      <c r="K86" s="1190"/>
      <c r="L86" s="1190"/>
      <c r="M86" s="289">
        <f t="shared" si="22"/>
        <v>0</v>
      </c>
      <c r="N86" s="1191">
        <f t="shared" si="29"/>
        <v>0</v>
      </c>
      <c r="O86" s="1186">
        <v>50000</v>
      </c>
      <c r="P86" s="1192"/>
      <c r="Q86" s="1197"/>
      <c r="R86" s="1198">
        <f t="shared" si="30"/>
        <v>50000</v>
      </c>
      <c r="S86" s="1198">
        <f t="shared" si="31"/>
        <v>0</v>
      </c>
      <c r="T86" s="1199">
        <f t="shared" si="32"/>
        <v>50000</v>
      </c>
      <c r="U86" s="1200">
        <v>44388</v>
      </c>
      <c r="V86" s="1201">
        <v>44395</v>
      </c>
      <c r="W86" s="1202" t="s">
        <v>1654</v>
      </c>
    </row>
    <row r="87" ht="12" customHeight="1">
      <c r="A87" s="238" t="s">
        <v>31</v>
      </c>
      <c r="B87" s="1897" t="s">
        <v>1655</v>
      </c>
      <c r="C87" s="1184" t="s">
        <v>1656</v>
      </c>
      <c r="D87" s="1185" t="s">
        <v>34</v>
      </c>
      <c r="E87" s="1185" t="s">
        <v>47</v>
      </c>
      <c r="F87" s="1185" t="s">
        <v>177</v>
      </c>
      <c r="G87" s="1186"/>
      <c r="H87" s="1186"/>
      <c r="I87" s="1190"/>
      <c r="J87" s="1190"/>
      <c r="K87" s="1190"/>
      <c r="L87" s="1190"/>
      <c r="M87" s="289">
        <f t="shared" si="22"/>
        <v>0</v>
      </c>
      <c r="N87" s="1191">
        <f t="shared" si="29"/>
        <v>0</v>
      </c>
      <c r="O87" s="1186">
        <v>25000</v>
      </c>
      <c r="P87" s="1192"/>
      <c r="Q87" s="1197"/>
      <c r="R87" s="1198">
        <f t="shared" si="30"/>
        <v>25000</v>
      </c>
      <c r="S87" s="1198">
        <f t="shared" si="31"/>
        <v>0</v>
      </c>
      <c r="T87" s="1199">
        <f t="shared" si="32"/>
        <v>25000</v>
      </c>
      <c r="U87" s="1200">
        <v>44385</v>
      </c>
      <c r="V87" s="1201">
        <v>44395</v>
      </c>
      <c r="W87" s="1202" t="s">
        <v>1657</v>
      </c>
    </row>
    <row r="88" ht="12" customHeight="1">
      <c r="A88" s="238" t="s">
        <v>31</v>
      </c>
      <c r="B88" s="1897" t="s">
        <v>1658</v>
      </c>
      <c r="C88" s="1184" t="s">
        <v>1659</v>
      </c>
      <c r="D88" s="1185" t="s">
        <v>34</v>
      </c>
      <c r="E88" s="1185" t="s">
        <v>47</v>
      </c>
      <c r="F88" s="1185" t="s">
        <v>177</v>
      </c>
      <c r="G88" s="1186"/>
      <c r="H88" s="1186"/>
      <c r="I88" s="1190"/>
      <c r="J88" s="1190"/>
      <c r="K88" s="1190"/>
      <c r="L88" s="1190"/>
      <c r="M88" s="289">
        <f t="shared" si="22"/>
        <v>0</v>
      </c>
      <c r="N88" s="1191">
        <f t="shared" si="29"/>
        <v>0</v>
      </c>
      <c r="O88" s="1186">
        <v>40000</v>
      </c>
      <c r="P88" s="1192"/>
      <c r="Q88" s="1197"/>
      <c r="R88" s="1198">
        <f t="shared" si="30"/>
        <v>40000</v>
      </c>
      <c r="S88" s="1198">
        <f t="shared" si="31"/>
        <v>0</v>
      </c>
      <c r="T88" s="1199">
        <f t="shared" si="32"/>
        <v>40000</v>
      </c>
      <c r="U88" s="1200">
        <v>44386</v>
      </c>
      <c r="V88" s="1201">
        <v>44392</v>
      </c>
      <c r="W88" s="1202" t="s">
        <v>1031</v>
      </c>
    </row>
    <row r="89" ht="12" customHeight="1">
      <c r="A89" s="238" t="s">
        <v>31</v>
      </c>
      <c r="B89" s="1888" t="s">
        <v>1660</v>
      </c>
      <c r="C89" s="1187" t="s">
        <v>1661</v>
      </c>
      <c r="D89" s="1185" t="s">
        <v>34</v>
      </c>
      <c r="E89" s="1185" t="s">
        <v>47</v>
      </c>
      <c r="F89" s="1185" t="s">
        <v>177</v>
      </c>
      <c r="G89" s="1186"/>
      <c r="H89" s="1186"/>
      <c r="I89" s="1190"/>
      <c r="J89" s="1190"/>
      <c r="K89" s="1190"/>
      <c r="L89" s="1190"/>
      <c r="M89" s="289">
        <f>SUM(G89,I89:L89)-H89</f>
        <v>0</v>
      </c>
      <c r="N89" s="1191">
        <f t="shared" si="29"/>
        <v>0</v>
      </c>
      <c r="O89" s="1186"/>
      <c r="P89" s="1193"/>
      <c r="Q89" s="1204"/>
      <c r="R89" s="1198">
        <f t="shared" si="30"/>
        <v>0</v>
      </c>
      <c r="S89" s="1198">
        <f t="shared" si="31"/>
        <v>0</v>
      </c>
      <c r="T89" s="1199">
        <f t="shared" si="32"/>
        <v>0</v>
      </c>
      <c r="U89" s="1205">
        <v>44296</v>
      </c>
      <c r="V89" s="1206">
        <v>44377</v>
      </c>
    </row>
    <row r="90" ht="12" customHeight="1">
      <c r="A90" s="1744" t="s">
        <v>30</v>
      </c>
      <c r="B90" s="1867"/>
      <c r="C90" s="1745"/>
      <c r="D90" s="1745"/>
      <c r="E90" s="1188"/>
      <c r="F90" s="1188"/>
      <c r="G90" s="234">
        <f ref="G90:T90" t="shared" si="37">SUM(G16:G89)</f>
        <v>193945033.806452</v>
      </c>
      <c r="H90" s="234">
        <f t="shared" si="37"/>
        <v>-2376400</v>
      </c>
      <c r="I90" s="234">
        <f t="shared" si="37"/>
        <v>10022770.7982</v>
      </c>
      <c r="J90" s="234">
        <f t="shared" si="37"/>
        <v>8198585.52</v>
      </c>
      <c r="K90" s="234">
        <f t="shared" si="37"/>
        <v>4099292.76</v>
      </c>
      <c r="L90" s="234">
        <f t="shared" si="37"/>
        <v>1035000</v>
      </c>
      <c r="M90" s="234">
        <f t="shared" si="37"/>
        <v>219677082.8846517</v>
      </c>
      <c r="N90" s="234">
        <f t="shared" si="37"/>
        <v>17574166.630772125</v>
      </c>
      <c r="O90" s="234">
        <f t="shared" si="37"/>
        <v>40562500</v>
      </c>
      <c r="P90" s="234">
        <f t="shared" si="37"/>
        <v>0</v>
      </c>
      <c r="Q90" s="234">
        <f t="shared" si="37"/>
        <v>0</v>
      </c>
      <c r="R90" s="234">
        <f t="shared" si="37"/>
        <v>277813749.515424</v>
      </c>
      <c r="S90" s="234">
        <f t="shared" si="37"/>
        <v>1757416.663077211</v>
      </c>
      <c r="T90" s="234">
        <f t="shared" si="37"/>
        <v>279571166.1785012</v>
      </c>
      <c r="U90" s="332"/>
      <c r="V90" s="1207"/>
    </row>
    <row r="91" ht="12" customHeight="1">
      <c r="A91" s="0" t="s">
        <v>30</v>
      </c>
      <c r="B91" s="1861"/>
      <c r="D91" s="353"/>
      <c r="E91" s="353"/>
      <c r="F91" s="353"/>
      <c r="G91" s="391"/>
      <c r="H91" s="391"/>
      <c r="I91" s="391"/>
      <c r="J91" s="391"/>
      <c r="K91" s="391"/>
      <c r="L91" s="391"/>
      <c r="M91" s="391"/>
      <c r="N91" s="391"/>
      <c r="O91" s="391"/>
      <c r="P91" s="391"/>
      <c r="Q91" s="391"/>
      <c r="R91" s="391"/>
      <c r="S91" s="391"/>
      <c r="U91" s="317"/>
    </row>
    <row r="92" ht="12" customHeight="1">
      <c r="A92" s="1744" t="s">
        <v>30</v>
      </c>
      <c r="B92" s="1867"/>
      <c r="C92" s="1745"/>
      <c r="D92" s="1745"/>
      <c r="E92" s="1188"/>
      <c r="F92" s="1188"/>
      <c r="G92" s="234">
        <f ref="G92:T92" t="shared" si="38">SUM(G12,G90)</f>
        <v>208797543.806452</v>
      </c>
      <c r="H92" s="234">
        <f t="shared" si="38"/>
        <v>-2376400</v>
      </c>
      <c r="I92" s="234">
        <f t="shared" si="38"/>
        <v>10749058.5372</v>
      </c>
      <c r="J92" s="234">
        <f t="shared" si="38"/>
        <v>8792685.92</v>
      </c>
      <c r="K92" s="234">
        <f t="shared" si="38"/>
        <v>4396342.96</v>
      </c>
      <c r="L92" s="234">
        <f t="shared" si="38"/>
        <v>1043335</v>
      </c>
      <c r="M92" s="234">
        <f t="shared" si="38"/>
        <v>236155366.22365168</v>
      </c>
      <c r="N92" s="234">
        <f t="shared" si="38"/>
        <v>18892429.297892123</v>
      </c>
      <c r="O92" s="234">
        <f t="shared" si="38"/>
        <v>42582500</v>
      </c>
      <c r="P92" s="234">
        <f t="shared" si="38"/>
        <v>300000</v>
      </c>
      <c r="Q92" s="234">
        <f t="shared" si="38"/>
        <v>1138000</v>
      </c>
      <c r="R92" s="234">
        <f t="shared" si="38"/>
        <v>299068295.52154404</v>
      </c>
      <c r="S92" s="234">
        <f t="shared" si="38"/>
        <v>1889242.9297892111</v>
      </c>
      <c r="T92" s="234">
        <f t="shared" si="38"/>
        <v>300957538.45133317</v>
      </c>
      <c r="U92" s="332"/>
      <c r="V92" s="333"/>
    </row>
    <row r="93" ht="12" customHeight="1">
      <c r="A93" s="0" t="s">
        <v>30</v>
      </c>
      <c r="B93" s="1861"/>
      <c r="C93" s="209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U93" s="317"/>
    </row>
    <row r="94" ht="12" customHeight="1">
      <c r="A94" s="0" t="s">
        <v>30</v>
      </c>
      <c r="B94" s="1869"/>
      <c r="C94" s="264" t="str">
        <f>+'SURABAYA ANTERAJA AGUSTUS - OK'!C229</f>
        <v>Karawang, 16 Agustus 2021</v>
      </c>
      <c r="D94" s="270"/>
      <c r="E94" s="270"/>
      <c r="F94" s="270"/>
      <c r="G94" s="271"/>
      <c r="H94" s="271"/>
      <c r="I94" s="310"/>
      <c r="J94" s="310"/>
      <c r="K94" s="310"/>
      <c r="L94" s="310"/>
      <c r="M94" s="310"/>
      <c r="N94" s="310"/>
      <c r="P94" s="310"/>
      <c r="Q94" s="310"/>
      <c r="R94" s="310"/>
      <c r="S94" s="310"/>
      <c r="T94" s="310"/>
      <c r="U94" s="348"/>
      <c r="V94" s="317"/>
    </row>
    <row r="95" ht="12" customHeight="1">
      <c r="A95" s="0" t="s">
        <v>30</v>
      </c>
      <c r="B95" s="1870"/>
      <c r="C95" s="264" t="s">
        <v>38</v>
      </c>
      <c r="D95" s="263"/>
      <c r="E95" s="264"/>
      <c r="F95" s="264"/>
      <c r="G95" s="210"/>
      <c r="H95" s="210"/>
      <c r="I95" s="270"/>
      <c r="J95" s="270"/>
      <c r="K95" s="270"/>
      <c r="L95" s="270"/>
      <c r="M95" s="270"/>
      <c r="N95" s="310"/>
      <c r="P95" s="310"/>
      <c r="Q95" s="310"/>
      <c r="R95" s="270"/>
      <c r="S95" s="270"/>
      <c r="T95" s="310"/>
      <c r="U95" s="348"/>
      <c r="V95" s="317"/>
    </row>
    <row r="96" ht="12" customHeight="1">
      <c r="A96" s="0" t="s">
        <v>30</v>
      </c>
      <c r="B96" s="1869"/>
      <c r="C96" s="445"/>
      <c r="D96" s="274"/>
      <c r="E96" s="264"/>
      <c r="F96" s="264"/>
      <c r="G96" s="275"/>
      <c r="H96" s="275"/>
      <c r="I96" s="262"/>
      <c r="J96" s="262"/>
      <c r="K96" s="262"/>
      <c r="L96" s="312"/>
      <c r="M96" s="263" t="s">
        <v>39</v>
      </c>
      <c r="N96" s="313"/>
      <c r="R96" s="349"/>
      <c r="S96" s="270"/>
      <c r="T96" s="313"/>
      <c r="U96" s="348"/>
      <c r="V96" s="348"/>
    </row>
    <row r="97" ht="12" customHeight="1">
      <c r="A97" s="0" t="s">
        <v>30</v>
      </c>
      <c r="B97" s="1871"/>
      <c r="C97" s="446"/>
      <c r="D97" s="209"/>
      <c r="G97" s="275"/>
      <c r="H97" s="275"/>
      <c r="I97" s="262"/>
      <c r="J97" s="315"/>
      <c r="K97" s="262"/>
      <c r="L97" s="312"/>
      <c r="M97" s="262"/>
      <c r="N97" s="270"/>
      <c r="P97" s="270"/>
      <c r="Q97" s="270"/>
      <c r="R97" s="349"/>
      <c r="S97" s="270"/>
      <c r="T97" s="270"/>
      <c r="U97" s="348"/>
      <c r="V97" s="348"/>
    </row>
    <row r="98" ht="12" customHeight="1">
      <c r="A98" s="0" t="s">
        <v>30</v>
      </c>
      <c r="B98" s="1869"/>
      <c r="C98" s="445"/>
      <c r="D98" s="274"/>
      <c r="E98" s="264"/>
      <c r="F98" s="264"/>
      <c r="G98" s="275"/>
      <c r="H98" s="275"/>
      <c r="I98" s="275"/>
      <c r="J98" s="262"/>
      <c r="K98" s="262"/>
      <c r="L98" s="312"/>
      <c r="M98" s="262"/>
      <c r="N98" s="262"/>
      <c r="O98" s="1139"/>
      <c r="P98" s="262"/>
      <c r="Q98" s="262"/>
      <c r="R98" s="264"/>
      <c r="S98" s="270"/>
      <c r="T98" s="270"/>
      <c r="U98" s="348"/>
      <c r="V98" s="348"/>
    </row>
    <row r="99" ht="12" customHeight="1">
      <c r="A99" s="0" t="s">
        <v>30</v>
      </c>
      <c r="B99" s="1870"/>
      <c r="C99" s="264"/>
      <c r="D99" s="264"/>
      <c r="E99" s="264"/>
      <c r="F99" s="264"/>
      <c r="G99" s="275"/>
      <c r="H99" s="275"/>
      <c r="I99" s="275"/>
      <c r="J99" s="262"/>
      <c r="K99" s="262"/>
      <c r="L99" s="312"/>
      <c r="M99" s="262"/>
      <c r="N99" s="262"/>
      <c r="O99" s="1139"/>
      <c r="P99" s="262"/>
      <c r="Q99" s="262"/>
      <c r="R99" s="264"/>
      <c r="S99" s="208"/>
      <c r="T99" s="270"/>
      <c r="U99" s="348"/>
      <c r="V99" s="348"/>
    </row>
    <row r="100" ht="12" customHeight="1">
      <c r="A100" s="0" t="s">
        <v>30</v>
      </c>
      <c r="B100" s="1870"/>
      <c r="C100" s="264"/>
      <c r="D100" s="264"/>
      <c r="E100" s="264"/>
      <c r="F100" s="264"/>
      <c r="G100" s="275"/>
      <c r="H100" s="275"/>
      <c r="I100" s="275"/>
      <c r="J100" s="262"/>
      <c r="K100" s="262"/>
      <c r="L100" s="312"/>
      <c r="M100" s="262"/>
      <c r="N100" s="262"/>
      <c r="O100" s="1139"/>
      <c r="P100" s="262"/>
      <c r="Q100" s="262"/>
      <c r="R100" s="264"/>
      <c r="S100" s="270"/>
      <c r="T100" s="387"/>
      <c r="U100" s="348"/>
      <c r="V100" s="348"/>
    </row>
    <row r="101" ht="12" customHeight="1">
      <c r="A101" s="0" t="s">
        <v>30</v>
      </c>
      <c r="B101" s="1870"/>
      <c r="C101" s="264" t="s">
        <v>40</v>
      </c>
      <c r="D101" s="568"/>
      <c r="E101" s="264"/>
      <c r="F101" s="264"/>
      <c r="G101" s="275"/>
      <c r="H101" s="275"/>
      <c r="I101" s="275"/>
      <c r="J101" s="312" t="s">
        <v>41</v>
      </c>
      <c r="K101" s="263"/>
      <c r="L101" s="263"/>
      <c r="M101" s="263" t="s">
        <v>42</v>
      </c>
      <c r="P101" s="264" t="s">
        <v>43</v>
      </c>
      <c r="Q101" s="263"/>
      <c r="T101" s="387"/>
      <c r="U101" s="350"/>
      <c r="V101" s="350"/>
    </row>
    <row r="102" ht="12" customHeight="1">
      <c r="A102" s="0" t="s">
        <v>30</v>
      </c>
      <c r="B102" s="1891"/>
      <c r="C102" s="889"/>
      <c r="D102" s="855"/>
      <c r="E102" s="889"/>
      <c r="F102" s="889"/>
      <c r="G102" s="856"/>
      <c r="H102" s="856"/>
      <c r="I102" s="856"/>
      <c r="J102" s="896"/>
      <c r="K102" s="891"/>
      <c r="L102" s="891"/>
      <c r="M102" s="891"/>
      <c r="N102" s="891"/>
      <c r="O102" s="1140"/>
      <c r="P102" s="889"/>
      <c r="Q102" s="891"/>
      <c r="R102" s="855"/>
      <c r="S102" s="855"/>
      <c r="T102" s="855"/>
      <c r="U102" s="899"/>
      <c r="V102" s="899"/>
    </row>
    <row r="103" ht="12" customHeight="1">
      <c r="A103" s="0" t="s">
        <v>30</v>
      </c>
      <c r="B103" s="1861"/>
      <c r="C103" s="209"/>
      <c r="G103" s="210"/>
      <c r="H103" s="210"/>
      <c r="M103" s="210"/>
      <c r="T103" s="387"/>
      <c r="V103" s="316"/>
    </row>
  </sheetData>
  <mergeCells>
    <mergeCell ref="A12:F12"/>
    <mergeCell ref="A90:D90"/>
    <mergeCell ref="A92:D92"/>
  </mergeCells>
  <printOptions horizontalCentered="1"/>
  <pageMargins left="0" right="0" top="0.25" bottom="0.25" header="0.3" footer="0.3"/>
  <pageSetup paperSize="9" scale="60" fitToHeight="0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 tint="-0.499984740745262"/>
  </sheetPr>
  <dimension ref="A1:W22"/>
  <sheetViews>
    <sheetView zoomScale="85" zoomScaleNormal="85" workbookViewId="0">
      <pane xSplit="7" ySplit="6" topLeftCell="H7" activePane="bottomRight" state="frozen"/>
      <selection pane="topRight"/>
      <selection pane="bottomLeft"/>
      <selection pane="bottomRight" activeCell="M7" sqref="M7"/>
    </sheetView>
  </sheetViews>
  <sheetFormatPr defaultColWidth="9.140625" defaultRowHeight="12" customHeight="1"/>
  <cols>
    <col min="1" max="1" width="4.140625" customWidth="1"/>
    <col min="2" max="2" width="6" customWidth="1"/>
    <col min="3" max="3" width="28" customWidth="1"/>
    <col min="4" max="4" width="17" customWidth="1"/>
    <col min="5" max="6" hidden="1" width="7.7109375" customWidth="1"/>
    <col min="7" max="7" width="12.5703125" customWidth="1"/>
    <col min="8" max="9" width="11.28515625" customWidth="1"/>
    <col min="10" max="10" width="10.7109375" customWidth="1"/>
    <col min="11" max="11" width="10.5703125" customWidth="1"/>
    <col min="12" max="12" width="11" customWidth="1"/>
    <col min="13" max="13" width="13.28515625" customWidth="1"/>
    <col min="14" max="14" width="12.42578125" customWidth="1"/>
    <col min="15" max="15" width="11.85546875" customWidth="1"/>
    <col min="16" max="16" width="9.140625" customWidth="1"/>
    <col min="17" max="17" width="10.5703125" customWidth="1"/>
    <col min="18" max="18" width="12.85546875" customWidth="1"/>
    <col min="19" max="19" width="10.28515625" customWidth="1"/>
    <col min="20" max="20" width="12.85546875" customWidth="1"/>
    <col min="21" max="21" width="8.140625" customWidth="1"/>
    <col min="23" max="23" width="4.140625" customWidth="1"/>
  </cols>
  <sheetData>
    <row r="1" ht="12" customHeight="1">
      <c r="A1" s="207" t="s">
        <v>0</v>
      </c>
      <c r="C1" s="209"/>
      <c r="G1" s="210"/>
      <c r="H1" s="210"/>
      <c r="M1" s="210"/>
      <c r="U1" s="317"/>
    </row>
    <row r="2" ht="12" customHeight="1">
      <c r="A2" s="207" t="s">
        <v>1526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80"/>
      <c r="R2" s="280"/>
      <c r="S2" s="280"/>
      <c r="T2" s="318"/>
      <c r="U2" s="318"/>
    </row>
    <row r="3" ht="15">
      <c r="A3" s="207" t="str">
        <f>+'SURABAYA ANTERAJA AGUSTUS - OK'!A3</f>
        <v>Periode Bulan Agustus  2021</v>
      </c>
      <c r="C3" s="209"/>
      <c r="G3" s="1123">
        <v>2970502</v>
      </c>
      <c r="H3" s="1123"/>
      <c r="I3" s="281"/>
      <c r="M3" s="210"/>
      <c r="U3" s="317"/>
    </row>
    <row r="4" ht="15">
      <c r="A4" s="207"/>
      <c r="C4" s="209"/>
      <c r="G4" s="213"/>
      <c r="H4" s="213"/>
      <c r="I4" s="281"/>
      <c r="M4" s="210"/>
      <c r="U4" s="317"/>
    </row>
    <row r="5" ht="15">
      <c r="A5" s="207"/>
      <c r="C5" s="209"/>
      <c r="G5" s="213"/>
      <c r="H5" s="213"/>
      <c r="I5" s="281"/>
      <c r="M5" s="210"/>
      <c r="U5" s="317"/>
    </row>
    <row r="6" ht="22.5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284" t="s">
        <v>14</v>
      </c>
      <c r="N6" s="285" t="s">
        <v>15</v>
      </c>
      <c r="O6" s="1130" t="s">
        <v>16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2" customHeight="1">
      <c r="A7" s="227" t="s">
        <v>24</v>
      </c>
      <c r="B7" s="496">
        <v>2776</v>
      </c>
      <c r="C7" s="1124" t="s">
        <v>1527</v>
      </c>
      <c r="D7" s="1125" t="s">
        <v>1202</v>
      </c>
      <c r="E7" s="1125" t="s">
        <v>47</v>
      </c>
      <c r="F7" s="1125" t="s">
        <v>177</v>
      </c>
      <c r="G7" s="1126">
        <f>2970502/31*5</f>
        <v>479113.225806452</v>
      </c>
      <c r="H7" s="404"/>
      <c r="I7" s="511">
        <f>+$G$3*4.89%</f>
        <v>145257.5478</v>
      </c>
      <c r="J7" s="511">
        <f>+$G$3*4%</f>
        <v>118820.08</v>
      </c>
      <c r="K7" s="511">
        <f>+$G$3*2%</f>
        <v>59410.04</v>
      </c>
      <c r="L7" s="1131">
        <v>1667</v>
      </c>
      <c r="M7" s="512">
        <f>SUM(G7:L7)</f>
        <v>804267.8936064519</v>
      </c>
      <c r="N7" s="1132">
        <f>+M7*8%</f>
        <v>64341.43148851616</v>
      </c>
      <c r="O7" s="404"/>
      <c r="P7" s="1133"/>
      <c r="Q7" s="408"/>
      <c r="R7" s="1141">
        <f>SUM(M7:Q7)</f>
        <v>868609.3250949681</v>
      </c>
      <c r="S7" s="1141">
        <f>N7*0.1</f>
        <v>6434.143148851616</v>
      </c>
      <c r="T7" s="1142">
        <f>R7+S7</f>
        <v>875043.4682438197</v>
      </c>
      <c r="U7" s="1143">
        <v>44404</v>
      </c>
      <c r="V7" s="430">
        <v>44500</v>
      </c>
      <c r="W7" s="1144"/>
    </row>
    <row r="8" ht="12" customHeight="1">
      <c r="A8" s="227" t="s">
        <v>24</v>
      </c>
      <c r="B8" s="1532" t="s">
        <v>1528</v>
      </c>
      <c r="C8" s="1127" t="s">
        <v>196</v>
      </c>
      <c r="D8" s="679" t="s">
        <v>54</v>
      </c>
      <c r="E8" s="679" t="s">
        <v>47</v>
      </c>
      <c r="F8" s="679" t="s">
        <v>177</v>
      </c>
      <c r="G8" s="395"/>
      <c r="H8" s="395"/>
      <c r="I8" s="293"/>
      <c r="J8" s="293"/>
      <c r="K8" s="293"/>
      <c r="L8" s="293"/>
      <c r="M8" s="295">
        <f>SUM(G8,I8:L8)-H8</f>
        <v>0</v>
      </c>
      <c r="N8" s="296">
        <f>+M8*8%</f>
        <v>0</v>
      </c>
      <c r="O8" s="1134"/>
      <c r="P8" s="296">
        <v>100000</v>
      </c>
      <c r="Q8" s="447"/>
      <c r="R8" s="328">
        <f>SUM(M8:Q8)</f>
        <v>100000</v>
      </c>
      <c r="S8" s="328">
        <f>N8*0.1</f>
        <v>0</v>
      </c>
      <c r="T8" s="329">
        <f>R8+S8</f>
        <v>100000</v>
      </c>
      <c r="U8" s="1145">
        <v>44409</v>
      </c>
      <c r="V8" s="579">
        <v>44500</v>
      </c>
      <c r="W8" s="1146" t="s">
        <v>55</v>
      </c>
    </row>
    <row r="9" ht="12" customHeight="1">
      <c r="A9" s="1750" t="s">
        <v>30</v>
      </c>
      <c r="B9" s="1893"/>
      <c r="C9" s="1751"/>
      <c r="D9" s="1751"/>
      <c r="E9" s="1751"/>
      <c r="F9" s="1752"/>
      <c r="G9" s="1128">
        <f>SUM(G7:G8)</f>
        <v>479113.225806452</v>
      </c>
      <c r="H9" s="1128">
        <f ref="H9:T9" t="shared" si="8">SUM(H7:H8)</f>
        <v>0</v>
      </c>
      <c r="I9" s="1128">
        <f t="shared" si="8"/>
        <v>145257.5478</v>
      </c>
      <c r="J9" s="1128">
        <f t="shared" si="8"/>
        <v>118820.08</v>
      </c>
      <c r="K9" s="1128">
        <f t="shared" si="8"/>
        <v>59410.04</v>
      </c>
      <c r="L9" s="1128">
        <f t="shared" si="8"/>
        <v>1667</v>
      </c>
      <c r="M9" s="1128">
        <f t="shared" si="8"/>
        <v>804267.8936064519</v>
      </c>
      <c r="N9" s="1128">
        <f t="shared" si="8"/>
        <v>64341.43148851616</v>
      </c>
      <c r="O9" s="1128">
        <f t="shared" si="8"/>
        <v>0</v>
      </c>
      <c r="P9" s="1128">
        <f t="shared" si="8"/>
        <v>100000</v>
      </c>
      <c r="Q9" s="1128">
        <f t="shared" si="8"/>
        <v>0</v>
      </c>
      <c r="R9" s="1128">
        <f t="shared" si="8"/>
        <v>968609.3250949681</v>
      </c>
      <c r="S9" s="1128">
        <f t="shared" si="8"/>
        <v>6434.143148851616</v>
      </c>
      <c r="T9" s="1128">
        <f t="shared" si="8"/>
        <v>975043.4682438197</v>
      </c>
      <c r="U9" s="1128"/>
      <c r="V9" s="711"/>
    </row>
    <row r="10" ht="12" customHeight="1">
      <c r="A10" s="207" t="s">
        <v>30</v>
      </c>
      <c r="B10" s="1871"/>
      <c r="C10" s="212"/>
      <c r="D10" s="211"/>
      <c r="E10" s="211"/>
      <c r="F10" s="211"/>
      <c r="G10" s="387"/>
      <c r="H10" s="387"/>
      <c r="I10" s="1135"/>
      <c r="J10" s="1135"/>
      <c r="K10" s="1135"/>
      <c r="L10" s="1135"/>
      <c r="M10" s="1136"/>
      <c r="N10" s="1135"/>
      <c r="O10" s="1137"/>
      <c r="P10" s="281"/>
      <c r="Q10" s="281"/>
      <c r="R10" s="281"/>
      <c r="S10" s="281"/>
      <c r="T10" s="318"/>
      <c r="U10" s="656"/>
    </row>
    <row r="11" ht="12" customHeight="1">
      <c r="A11" s="1129" t="s">
        <v>30</v>
      </c>
      <c r="B11" s="1857"/>
      <c r="C11" s="1129"/>
      <c r="D11" s="1129"/>
      <c r="E11" s="1129"/>
      <c r="F11" s="1129"/>
      <c r="G11" s="683"/>
      <c r="H11" s="683"/>
      <c r="I11" s="1138"/>
      <c r="J11" s="1138"/>
      <c r="K11" s="1138"/>
      <c r="L11" s="1138"/>
      <c r="M11" s="1138"/>
      <c r="N11" s="1138"/>
      <c r="O11" s="1138"/>
      <c r="P11" s="683"/>
      <c r="Q11" s="683"/>
      <c r="R11" s="683"/>
      <c r="S11" s="683"/>
      <c r="T11" s="1147"/>
      <c r="U11" s="1147"/>
    </row>
    <row r="12" ht="12" customHeight="1">
      <c r="A12" s="0" t="s">
        <v>30</v>
      </c>
      <c r="B12" s="1861"/>
      <c r="C12" s="209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U12" s="317"/>
    </row>
    <row r="13" ht="12" customHeight="1">
      <c r="A13" s="0" t="s">
        <v>30</v>
      </c>
      <c r="B13" s="1869"/>
      <c r="C13" s="264" t="str">
        <f>+'SURABAYA ANTERAJA AGUSTUS - OK'!C229</f>
        <v>Karawang, 16 Agustus 2021</v>
      </c>
      <c r="D13" s="270"/>
      <c r="E13" s="270"/>
      <c r="F13" s="270"/>
      <c r="G13" s="271"/>
      <c r="H13" s="271"/>
      <c r="I13" s="310"/>
      <c r="J13" s="310"/>
      <c r="K13" s="310"/>
      <c r="L13" s="310"/>
      <c r="M13" s="310"/>
      <c r="N13" s="310"/>
      <c r="P13" s="310"/>
      <c r="Q13" s="310"/>
      <c r="R13" s="310"/>
      <c r="S13" s="310"/>
      <c r="T13" s="310"/>
      <c r="U13" s="348"/>
      <c r="V13" s="317"/>
    </row>
    <row r="14" ht="12" customHeight="1">
      <c r="A14" s="0" t="s">
        <v>30</v>
      </c>
      <c r="B14" s="1870"/>
      <c r="C14" s="264" t="s">
        <v>38</v>
      </c>
      <c r="D14" s="263"/>
      <c r="E14" s="264"/>
      <c r="F14" s="264"/>
      <c r="G14" s="210"/>
      <c r="H14" s="210"/>
      <c r="I14" s="270"/>
      <c r="J14" s="270"/>
      <c r="K14" s="270"/>
      <c r="L14" s="270"/>
      <c r="M14" s="270"/>
      <c r="N14" s="310"/>
      <c r="P14" s="310"/>
      <c r="Q14" s="310"/>
      <c r="R14" s="270"/>
      <c r="S14" s="270"/>
      <c r="T14" s="310"/>
      <c r="U14" s="348"/>
      <c r="V14" s="317"/>
    </row>
    <row r="15" ht="12" customHeight="1">
      <c r="A15" s="0" t="s">
        <v>30</v>
      </c>
      <c r="B15" s="1869"/>
      <c r="C15" s="445"/>
      <c r="D15" s="274"/>
      <c r="E15" s="264"/>
      <c r="F15" s="264"/>
      <c r="G15" s="275"/>
      <c r="H15" s="275"/>
      <c r="I15" s="262"/>
      <c r="J15" s="262"/>
      <c r="K15" s="262"/>
      <c r="L15" s="312"/>
      <c r="M15" s="263" t="s">
        <v>39</v>
      </c>
      <c r="N15" s="313"/>
      <c r="R15" s="349"/>
      <c r="S15" s="270"/>
      <c r="T15" s="313"/>
      <c r="U15" s="348"/>
      <c r="V15" s="348"/>
    </row>
    <row r="16" ht="12" customHeight="1">
      <c r="A16" s="0" t="s">
        <v>30</v>
      </c>
      <c r="B16" s="1871"/>
      <c r="C16" s="446"/>
      <c r="D16" s="209"/>
      <c r="G16" s="275"/>
      <c r="H16" s="275"/>
      <c r="I16" s="262"/>
      <c r="J16" s="315"/>
      <c r="K16" s="262"/>
      <c r="L16" s="312"/>
      <c r="M16" s="262"/>
      <c r="N16" s="270"/>
      <c r="P16" s="270"/>
      <c r="Q16" s="270"/>
      <c r="R16" s="349"/>
      <c r="S16" s="270"/>
      <c r="T16" s="270"/>
      <c r="U16" s="348"/>
      <c r="V16" s="348"/>
    </row>
    <row r="17" ht="12" customHeight="1">
      <c r="A17" s="0" t="s">
        <v>30</v>
      </c>
      <c r="B17" s="1869"/>
      <c r="C17" s="445"/>
      <c r="D17" s="27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1139"/>
      <c r="P17" s="262"/>
      <c r="Q17" s="262"/>
      <c r="R17" s="264"/>
      <c r="S17" s="270"/>
      <c r="T17" s="270"/>
      <c r="U17" s="348"/>
      <c r="V17" s="348"/>
    </row>
    <row r="18" ht="12" customHeight="1">
      <c r="A18" s="0" t="s">
        <v>30</v>
      </c>
      <c r="B18" s="1870"/>
      <c r="C18" s="264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1139"/>
      <c r="P18" s="262"/>
      <c r="Q18" s="262"/>
      <c r="R18" s="264"/>
      <c r="S18" s="208"/>
      <c r="T18" s="270"/>
      <c r="U18" s="348"/>
      <c r="V18" s="348"/>
    </row>
    <row r="19" ht="12" customHeight="1">
      <c r="A19" s="0" t="s">
        <v>30</v>
      </c>
      <c r="B19" s="1870"/>
      <c r="C19" s="264"/>
      <c r="D19" s="264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1139"/>
      <c r="P19" s="262"/>
      <c r="Q19" s="262"/>
      <c r="R19" s="264"/>
      <c r="S19" s="270"/>
      <c r="T19" s="387"/>
      <c r="U19" s="348"/>
      <c r="V19" s="348"/>
    </row>
    <row r="20" ht="12" customHeight="1">
      <c r="A20" s="0" t="s">
        <v>30</v>
      </c>
      <c r="B20" s="1870"/>
      <c r="C20" s="264" t="s">
        <v>40</v>
      </c>
      <c r="D20" s="568"/>
      <c r="E20" s="264"/>
      <c r="F20" s="264"/>
      <c r="G20" s="275"/>
      <c r="H20" s="275"/>
      <c r="I20" s="275"/>
      <c r="J20" s="312" t="s">
        <v>41</v>
      </c>
      <c r="K20" s="263"/>
      <c r="L20" s="263"/>
      <c r="M20" s="263" t="s">
        <v>42</v>
      </c>
      <c r="P20" s="264" t="s">
        <v>43</v>
      </c>
      <c r="Q20" s="263"/>
      <c r="T20" s="387"/>
      <c r="U20" s="350"/>
      <c r="V20" s="350"/>
    </row>
    <row r="21" ht="12" customHeight="1">
      <c r="A21" s="0" t="s">
        <v>30</v>
      </c>
      <c r="B21" s="1891"/>
      <c r="C21" s="889"/>
      <c r="D21" s="855"/>
      <c r="E21" s="889"/>
      <c r="F21" s="889"/>
      <c r="G21" s="856"/>
      <c r="H21" s="856"/>
      <c r="I21" s="856"/>
      <c r="J21" s="896"/>
      <c r="K21" s="891"/>
      <c r="L21" s="891"/>
      <c r="M21" s="891"/>
      <c r="N21" s="891"/>
      <c r="O21" s="1140"/>
      <c r="P21" s="889"/>
      <c r="Q21" s="891"/>
      <c r="R21" s="855"/>
      <c r="S21" s="855"/>
      <c r="T21" s="855"/>
      <c r="U21" s="899"/>
      <c r="V21" s="899"/>
    </row>
    <row r="22" ht="12" customHeight="1">
      <c r="A22" s="0" t="s">
        <v>30</v>
      </c>
      <c r="B22" s="1861"/>
      <c r="C22" s="209"/>
      <c r="G22" s="210"/>
      <c r="H22" s="210"/>
      <c r="M22" s="210"/>
      <c r="T22" s="387"/>
      <c r="V22" s="316"/>
    </row>
  </sheetData>
  <mergeCells>
    <mergeCell ref="A9:F9"/>
  </mergeCells>
  <printOptions horizontalCentered="1"/>
  <pageMargins left="0" right="0" top="0.25" bottom="0.25" header="0.3" footer="0.3"/>
  <pageSetup paperSize="9" scale="60" fitToHeight="0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Y60"/>
  <sheetViews>
    <sheetView workbookViewId="0">
      <pane xSplit="7" ySplit="7" topLeftCell="H8" activePane="bottomRight" state="frozen"/>
      <selection pane="topRight"/>
      <selection pane="bottomLeft"/>
      <selection pane="bottomRight" activeCell="M23" sqref="M23"/>
    </sheetView>
  </sheetViews>
  <sheetFormatPr defaultColWidth="9.140625" defaultRowHeight="12" customHeight="1"/>
  <cols>
    <col min="1" max="2" width="4.85546875" customWidth="1"/>
    <col min="3" max="3" width="23" customWidth="1"/>
    <col min="4" max="4" width="8.85546875" customWidth="1"/>
    <col min="5" max="5" hidden="1" width="10.7109375" customWidth="1"/>
    <col min="6" max="6" hidden="1" width="7.42578125" customWidth="1"/>
    <col min="7" max="9" width="9.85546875" customWidth="1"/>
    <col min="10" max="10" width="9.28515625" customWidth="1"/>
    <col min="11" max="11" width="10.42578125" customWidth="1"/>
    <col min="12" max="12" width="9.85546875" customWidth="1"/>
    <col min="13" max="13" width="12.140625" customWidth="1"/>
    <col min="14" max="14" width="11" customWidth="1"/>
    <col min="15" max="16" width="11.28515625" customWidth="1"/>
    <col min="17" max="17" width="9.85546875" customWidth="1"/>
    <col min="18" max="18" width="10.5703125" customWidth="1"/>
    <col min="19" max="19" width="8.42578125" customWidth="1"/>
    <col min="20" max="20" width="11" customWidth="1"/>
    <col min="21" max="21" width="9.85546875" customWidth="1"/>
    <col min="22" max="22" width="10.28515625" customWidth="1"/>
    <col min="23" max="23" width="6.140625" customWidth="1"/>
  </cols>
  <sheetData>
    <row r="1" ht="12" customHeight="1">
      <c r="A1" s="601" t="s">
        <v>0</v>
      </c>
      <c r="C1" s="600"/>
      <c r="G1" s="210"/>
      <c r="H1" s="210"/>
      <c r="M1" s="210"/>
      <c r="V1" s="656"/>
    </row>
    <row r="2" ht="12" customHeight="1">
      <c r="A2" s="601" t="s">
        <v>998</v>
      </c>
      <c r="C2" s="600"/>
      <c r="G2" s="213"/>
      <c r="H2" s="213"/>
      <c r="M2" s="213"/>
      <c r="N2" s="213"/>
      <c r="O2" s="213"/>
      <c r="P2" s="213"/>
      <c r="Q2" s="213"/>
    </row>
    <row r="3" ht="15">
      <c r="A3" s="601" t="str">
        <f>+'MALANG BAT AGUSTUS - OK'!A3</f>
        <v>Periode Bulan Agustus  2021</v>
      </c>
      <c r="C3" s="600"/>
      <c r="G3" s="213"/>
      <c r="H3" s="213"/>
      <c r="I3" s="281"/>
      <c r="M3" s="210"/>
      <c r="V3" s="656"/>
    </row>
    <row r="4" ht="15">
      <c r="A4" s="601"/>
      <c r="C4" s="600"/>
      <c r="G4" s="213"/>
      <c r="H4" s="213"/>
      <c r="I4" s="281"/>
      <c r="M4" s="210"/>
      <c r="V4" s="656"/>
    </row>
    <row r="5" ht="15">
      <c r="A5" s="601"/>
      <c r="C5" s="600"/>
      <c r="G5" s="214">
        <v>2553266</v>
      </c>
      <c r="H5" s="214"/>
      <c r="I5" s="281"/>
      <c r="M5" s="210"/>
      <c r="V5" s="656"/>
    </row>
    <row r="6" ht="12" customHeight="1">
      <c r="A6" s="1038"/>
      <c r="B6" s="1038"/>
      <c r="C6" s="1038"/>
      <c r="D6" s="1038"/>
      <c r="E6" s="1038"/>
      <c r="F6" s="1038"/>
      <c r="G6" s="683"/>
      <c r="H6" s="683"/>
      <c r="I6" s="683"/>
      <c r="J6" s="683"/>
      <c r="K6" s="683"/>
      <c r="L6" s="683"/>
      <c r="M6" s="683"/>
      <c r="N6" s="683"/>
      <c r="O6" s="683"/>
      <c r="P6" s="683"/>
      <c r="Q6" s="683"/>
      <c r="R6" s="683"/>
      <c r="S6" s="683"/>
      <c r="T6" s="683"/>
      <c r="U6" s="683"/>
      <c r="V6" s="683"/>
    </row>
    <row r="7" ht="33" customHeight="1">
      <c r="A7" s="602" t="s">
        <v>2</v>
      </c>
      <c r="B7" s="603" t="s">
        <v>3</v>
      </c>
      <c r="C7" s="603" t="s">
        <v>4</v>
      </c>
      <c r="D7" s="603" t="s">
        <v>5</v>
      </c>
      <c r="E7" s="603" t="s">
        <v>6</v>
      </c>
      <c r="F7" s="604" t="s">
        <v>7</v>
      </c>
      <c r="G7" s="218" t="s">
        <v>8</v>
      </c>
      <c r="H7" s="219" t="s">
        <v>9</v>
      </c>
      <c r="I7" s="638" t="s">
        <v>10</v>
      </c>
      <c r="J7" s="283" t="s">
        <v>11</v>
      </c>
      <c r="K7" s="283" t="s">
        <v>12</v>
      </c>
      <c r="L7" s="640" t="s">
        <v>13</v>
      </c>
      <c r="M7" s="641" t="s">
        <v>14</v>
      </c>
      <c r="N7" s="285" t="s">
        <v>15</v>
      </c>
      <c r="O7" s="286" t="s">
        <v>882</v>
      </c>
      <c r="P7" s="285" t="s">
        <v>918</v>
      </c>
      <c r="Q7" s="285" t="s">
        <v>18</v>
      </c>
      <c r="R7" s="319" t="s">
        <v>19</v>
      </c>
      <c r="S7" s="320" t="s">
        <v>20</v>
      </c>
      <c r="T7" s="320" t="s">
        <v>21</v>
      </c>
      <c r="U7" s="321" t="s">
        <v>22</v>
      </c>
      <c r="V7" s="322" t="s">
        <v>23</v>
      </c>
    </row>
    <row r="8" ht="12" customHeight="1">
      <c r="A8" s="1088" t="s">
        <v>31</v>
      </c>
      <c r="B8" s="1876" t="s">
        <v>999</v>
      </c>
      <c r="C8" s="1032" t="s">
        <v>1000</v>
      </c>
      <c r="D8" s="228" t="s">
        <v>34</v>
      </c>
      <c r="E8" s="1030" t="s">
        <v>314</v>
      </c>
      <c r="F8" s="1032" t="s">
        <v>87</v>
      </c>
      <c r="G8" s="233">
        <f>2553266/31*30</f>
        <v>2470902.580645161</v>
      </c>
      <c r="H8" s="233"/>
      <c r="I8" s="395">
        <f ref="I8:I23" t="shared" si="0">+$G$5*4.89%</f>
        <v>124854.7074</v>
      </c>
      <c r="J8" s="395">
        <f ref="J8:J23" t="shared" si="1">+$G$5*4%</f>
        <v>102130.64</v>
      </c>
      <c r="K8" s="395">
        <f ref="K8:K23" t="shared" si="2">+$G$5*2%</f>
        <v>51065.32</v>
      </c>
      <c r="L8" s="395">
        <v>15000</v>
      </c>
      <c r="M8" s="295">
        <f>SUM(G8:L8)</f>
        <v>2763953.2480451614</v>
      </c>
      <c r="N8" s="1047">
        <f ref="N8:N25" t="shared" si="3">+M8*8%</f>
        <v>221116.2598436129</v>
      </c>
      <c r="O8" s="1100">
        <v>540000</v>
      </c>
      <c r="P8" s="1101"/>
      <c r="Q8" s="396"/>
      <c r="R8" s="396">
        <f ref="R8:R25" t="shared" si="4">SUM(M8:Q8)</f>
        <v>3525069.5078887744</v>
      </c>
      <c r="S8" s="396">
        <f ref="S8:S25" t="shared" si="5">N8*0.1</f>
        <v>22111.625984361293</v>
      </c>
      <c r="T8" s="413">
        <f ref="T8:T25" t="shared" si="6">R8+S8</f>
        <v>3547181.133873136</v>
      </c>
      <c r="U8" s="579">
        <v>44409</v>
      </c>
      <c r="V8" s="580">
        <v>44422</v>
      </c>
      <c r="W8" s="350"/>
      <c r="X8" s="1065"/>
      <c r="Y8" s="1065"/>
    </row>
    <row r="9" ht="12" customHeight="1">
      <c r="A9" s="1088" t="s">
        <v>31</v>
      </c>
      <c r="B9" s="1878" t="s">
        <v>1001</v>
      </c>
      <c r="C9" s="359" t="s">
        <v>290</v>
      </c>
      <c r="D9" s="228" t="s">
        <v>34</v>
      </c>
      <c r="E9" s="1030" t="s">
        <v>314</v>
      </c>
      <c r="F9" s="1032" t="s">
        <v>87</v>
      </c>
      <c r="G9" s="233">
        <f ref="G9:G22" t="shared" si="8">2553266/31*30</f>
        <v>2470902.580645161</v>
      </c>
      <c r="H9" s="233"/>
      <c r="I9" s="395">
        <f t="shared" si="0"/>
        <v>124854.7074</v>
      </c>
      <c r="J9" s="395">
        <f t="shared" si="1"/>
        <v>102130.64</v>
      </c>
      <c r="K9" s="395">
        <f t="shared" si="2"/>
        <v>51065.32</v>
      </c>
      <c r="L9" s="395">
        <v>15000</v>
      </c>
      <c r="M9" s="295">
        <f ref="M9:M25" t="shared" si="9">SUM(G9:L9)</f>
        <v>2763953.2480451614</v>
      </c>
      <c r="N9" s="1047">
        <f t="shared" si="3"/>
        <v>221116.2598436129</v>
      </c>
      <c r="O9" s="1100">
        <v>797500</v>
      </c>
      <c r="P9" s="1102"/>
      <c r="Q9" s="398"/>
      <c r="R9" s="396">
        <f t="shared" si="4"/>
        <v>3782569.5078887744</v>
      </c>
      <c r="S9" s="396">
        <f t="shared" si="5"/>
        <v>22111.625984361293</v>
      </c>
      <c r="T9" s="413">
        <f t="shared" si="6"/>
        <v>3804681.133873136</v>
      </c>
      <c r="U9" s="155">
        <v>44409</v>
      </c>
      <c r="V9" s="580">
        <v>44422</v>
      </c>
      <c r="W9" s="350"/>
      <c r="X9" s="1065"/>
      <c r="Y9" s="1065"/>
    </row>
    <row r="10" ht="12" customHeight="1">
      <c r="A10" s="1088" t="s">
        <v>31</v>
      </c>
      <c r="B10" s="1878" t="s">
        <v>1002</v>
      </c>
      <c r="C10" s="359" t="s">
        <v>1003</v>
      </c>
      <c r="D10" s="228" t="s">
        <v>34</v>
      </c>
      <c r="E10" s="1030" t="s">
        <v>314</v>
      </c>
      <c r="F10" s="1032" t="s">
        <v>87</v>
      </c>
      <c r="G10" s="233">
        <f t="shared" si="8"/>
        <v>2470902.580645161</v>
      </c>
      <c r="H10" s="233"/>
      <c r="I10" s="395">
        <f t="shared" si="0"/>
        <v>124854.7074</v>
      </c>
      <c r="J10" s="395">
        <f t="shared" si="1"/>
        <v>102130.64</v>
      </c>
      <c r="K10" s="395">
        <f t="shared" si="2"/>
        <v>51065.32</v>
      </c>
      <c r="L10" s="395">
        <v>15000</v>
      </c>
      <c r="M10" s="295">
        <f t="shared" si="9"/>
        <v>2763953.2480451614</v>
      </c>
      <c r="N10" s="1047">
        <f t="shared" si="3"/>
        <v>221116.2598436129</v>
      </c>
      <c r="O10" s="1100">
        <v>672500</v>
      </c>
      <c r="P10" s="1102"/>
      <c r="Q10" s="398"/>
      <c r="R10" s="396">
        <f t="shared" si="4"/>
        <v>3657569.5078887744</v>
      </c>
      <c r="S10" s="396">
        <f t="shared" si="5"/>
        <v>22111.625984361293</v>
      </c>
      <c r="T10" s="413">
        <f t="shared" si="6"/>
        <v>3679681.133873136</v>
      </c>
      <c r="U10" s="155">
        <v>44409</v>
      </c>
      <c r="V10" s="580">
        <v>44422</v>
      </c>
      <c r="W10" s="350"/>
      <c r="X10" s="1065"/>
      <c r="Y10" s="1065"/>
    </row>
    <row r="11" ht="12" customHeight="1">
      <c r="A11" s="1088" t="s">
        <v>31</v>
      </c>
      <c r="B11" s="1878" t="s">
        <v>1004</v>
      </c>
      <c r="C11" s="359" t="s">
        <v>1005</v>
      </c>
      <c r="D11" s="228" t="s">
        <v>34</v>
      </c>
      <c r="E11" s="1030" t="s">
        <v>314</v>
      </c>
      <c r="F11" s="1032" t="s">
        <v>87</v>
      </c>
      <c r="G11" s="233">
        <f t="shared" si="8"/>
        <v>2470902.580645161</v>
      </c>
      <c r="H11" s="233"/>
      <c r="I11" s="395">
        <f t="shared" si="0"/>
        <v>124854.7074</v>
      </c>
      <c r="J11" s="395">
        <f t="shared" si="1"/>
        <v>102130.64</v>
      </c>
      <c r="K11" s="395">
        <f t="shared" si="2"/>
        <v>51065.32</v>
      </c>
      <c r="L11" s="395">
        <v>15000</v>
      </c>
      <c r="M11" s="295">
        <f t="shared" si="9"/>
        <v>2763953.2480451614</v>
      </c>
      <c r="N11" s="1047">
        <f t="shared" si="3"/>
        <v>221116.2598436129</v>
      </c>
      <c r="O11" s="1100">
        <v>398500</v>
      </c>
      <c r="P11" s="1102"/>
      <c r="Q11" s="398"/>
      <c r="R11" s="396">
        <f t="shared" si="4"/>
        <v>3383569.5078887744</v>
      </c>
      <c r="S11" s="396">
        <f t="shared" si="5"/>
        <v>22111.625984361293</v>
      </c>
      <c r="T11" s="413">
        <f t="shared" si="6"/>
        <v>3405681.133873136</v>
      </c>
      <c r="U11" s="155">
        <v>44378</v>
      </c>
      <c r="V11" s="580">
        <v>44422</v>
      </c>
      <c r="W11" s="350"/>
      <c r="X11" s="1065"/>
      <c r="Y11" s="1065"/>
    </row>
    <row r="12" ht="12" customHeight="1">
      <c r="A12" s="1088" t="s">
        <v>31</v>
      </c>
      <c r="B12" s="1898" t="s">
        <v>1006</v>
      </c>
      <c r="C12" s="359" t="s">
        <v>1007</v>
      </c>
      <c r="D12" s="228" t="s">
        <v>34</v>
      </c>
      <c r="E12" s="1030" t="s">
        <v>314</v>
      </c>
      <c r="F12" s="1032" t="s">
        <v>87</v>
      </c>
      <c r="G12" s="233">
        <f t="shared" si="8"/>
        <v>2470902.580645161</v>
      </c>
      <c r="H12" s="233"/>
      <c r="I12" s="395">
        <f t="shared" si="0"/>
        <v>124854.7074</v>
      </c>
      <c r="J12" s="395">
        <f t="shared" si="1"/>
        <v>102130.64</v>
      </c>
      <c r="K12" s="395">
        <f t="shared" si="2"/>
        <v>51065.32</v>
      </c>
      <c r="L12" s="395">
        <v>15000</v>
      </c>
      <c r="M12" s="295">
        <f t="shared" si="9"/>
        <v>2763953.2480451614</v>
      </c>
      <c r="N12" s="1047">
        <f t="shared" si="3"/>
        <v>221116.2598436129</v>
      </c>
      <c r="O12" s="1100">
        <v>365000</v>
      </c>
      <c r="P12" s="1102"/>
      <c r="Q12" s="398"/>
      <c r="R12" s="396">
        <f t="shared" si="4"/>
        <v>3350069.5078887744</v>
      </c>
      <c r="S12" s="396">
        <f t="shared" si="5"/>
        <v>22111.625984361293</v>
      </c>
      <c r="T12" s="413">
        <f t="shared" si="6"/>
        <v>3372181.133873136</v>
      </c>
      <c r="U12" s="155">
        <v>44348</v>
      </c>
      <c r="V12" s="580">
        <v>44422</v>
      </c>
      <c r="W12" s="350"/>
      <c r="X12" s="1065"/>
      <c r="Y12" s="1065"/>
    </row>
    <row r="13" ht="13.5" customHeight="1">
      <c r="A13" s="1088" t="s">
        <v>31</v>
      </c>
      <c r="B13" s="1878" t="s">
        <v>1008</v>
      </c>
      <c r="C13" s="1089" t="s">
        <v>1009</v>
      </c>
      <c r="D13" s="228" t="s">
        <v>34</v>
      </c>
      <c r="E13" s="228" t="s">
        <v>27</v>
      </c>
      <c r="F13" s="228" t="s">
        <v>87</v>
      </c>
      <c r="G13" s="233">
        <f t="shared" si="8"/>
        <v>2470902.580645161</v>
      </c>
      <c r="H13" s="233"/>
      <c r="I13" s="395">
        <f t="shared" si="0"/>
        <v>124854.7074</v>
      </c>
      <c r="J13" s="395">
        <f t="shared" si="1"/>
        <v>102130.64</v>
      </c>
      <c r="K13" s="395">
        <f t="shared" si="2"/>
        <v>51065.32</v>
      </c>
      <c r="L13" s="395">
        <v>15000</v>
      </c>
      <c r="M13" s="295">
        <f t="shared" si="9"/>
        <v>2763953.2480451614</v>
      </c>
      <c r="N13" s="1103">
        <f t="shared" si="3"/>
        <v>221116.2598436129</v>
      </c>
      <c r="O13" s="1104">
        <v>405000</v>
      </c>
      <c r="P13" s="1105"/>
      <c r="Q13" s="447"/>
      <c r="R13" s="328">
        <f t="shared" si="4"/>
        <v>3390069.5078887744</v>
      </c>
      <c r="S13" s="328">
        <f t="shared" si="5"/>
        <v>22111.625984361293</v>
      </c>
      <c r="T13" s="329">
        <f t="shared" si="6"/>
        <v>3412181.133873136</v>
      </c>
      <c r="U13" s="155">
        <v>44378</v>
      </c>
      <c r="V13" s="580">
        <v>44422</v>
      </c>
      <c r="W13" s="426"/>
      <c r="X13" s="1065"/>
      <c r="Y13" s="1065"/>
    </row>
    <row r="14" ht="12" customHeight="1">
      <c r="A14" s="1088" t="s">
        <v>31</v>
      </c>
      <c r="B14" s="1878" t="s">
        <v>1010</v>
      </c>
      <c r="C14" s="359" t="s">
        <v>1011</v>
      </c>
      <c r="D14" s="228" t="s">
        <v>34</v>
      </c>
      <c r="E14" s="1030" t="s">
        <v>314</v>
      </c>
      <c r="F14" s="1032" t="s">
        <v>87</v>
      </c>
      <c r="G14" s="233">
        <f t="shared" si="8"/>
        <v>2470902.580645161</v>
      </c>
      <c r="H14" s="233"/>
      <c r="I14" s="395">
        <f t="shared" si="0"/>
        <v>124854.7074</v>
      </c>
      <c r="J14" s="395">
        <f t="shared" si="1"/>
        <v>102130.64</v>
      </c>
      <c r="K14" s="395">
        <f t="shared" si="2"/>
        <v>51065.32</v>
      </c>
      <c r="L14" s="395">
        <v>15000</v>
      </c>
      <c r="M14" s="295">
        <f t="shared" si="9"/>
        <v>2763953.2480451614</v>
      </c>
      <c r="N14" s="1047">
        <f t="shared" si="3"/>
        <v>221116.2598436129</v>
      </c>
      <c r="O14" s="1100">
        <v>560000</v>
      </c>
      <c r="P14" s="1102"/>
      <c r="Q14" s="398"/>
      <c r="R14" s="396">
        <f t="shared" si="4"/>
        <v>3545069.5078887744</v>
      </c>
      <c r="S14" s="396">
        <f t="shared" si="5"/>
        <v>22111.625984361293</v>
      </c>
      <c r="T14" s="413">
        <f t="shared" si="6"/>
        <v>3567181.133873136</v>
      </c>
      <c r="U14" s="155">
        <v>44378</v>
      </c>
      <c r="V14" s="580">
        <v>44422</v>
      </c>
      <c r="W14" s="350"/>
      <c r="X14" s="1065"/>
      <c r="Y14" s="1065"/>
    </row>
    <row r="15" ht="12" customHeight="1">
      <c r="A15" s="1088" t="s">
        <v>31</v>
      </c>
      <c r="B15" s="1878" t="s">
        <v>1012</v>
      </c>
      <c r="C15" s="359" t="s">
        <v>1013</v>
      </c>
      <c r="D15" s="228" t="s">
        <v>34</v>
      </c>
      <c r="E15" s="1030" t="s">
        <v>314</v>
      </c>
      <c r="F15" s="1032" t="s">
        <v>87</v>
      </c>
      <c r="G15" s="233">
        <f t="shared" si="8"/>
        <v>2470902.580645161</v>
      </c>
      <c r="H15" s="233"/>
      <c r="I15" s="395">
        <f t="shared" si="0"/>
        <v>124854.7074</v>
      </c>
      <c r="J15" s="395">
        <f t="shared" si="1"/>
        <v>102130.64</v>
      </c>
      <c r="K15" s="395">
        <f t="shared" si="2"/>
        <v>51065.32</v>
      </c>
      <c r="L15" s="395">
        <v>15000</v>
      </c>
      <c r="M15" s="295">
        <f t="shared" si="9"/>
        <v>2763953.2480451614</v>
      </c>
      <c r="N15" s="1047">
        <f t="shared" si="3"/>
        <v>221116.2598436129</v>
      </c>
      <c r="O15" s="1100">
        <v>568000</v>
      </c>
      <c r="P15" s="1102"/>
      <c r="Q15" s="398"/>
      <c r="R15" s="396">
        <f t="shared" si="4"/>
        <v>3553069.5078887744</v>
      </c>
      <c r="S15" s="396">
        <f t="shared" si="5"/>
        <v>22111.625984361293</v>
      </c>
      <c r="T15" s="413">
        <f t="shared" si="6"/>
        <v>3575181.133873136</v>
      </c>
      <c r="U15" s="155">
        <v>44378</v>
      </c>
      <c r="V15" s="580">
        <v>44422</v>
      </c>
      <c r="W15" s="350"/>
      <c r="X15" s="1065"/>
      <c r="Y15" s="1065"/>
    </row>
    <row r="16" ht="12" customHeight="1">
      <c r="A16" s="1088" t="s">
        <v>31</v>
      </c>
      <c r="B16" s="1878" t="s">
        <v>1014</v>
      </c>
      <c r="C16" s="359" t="s">
        <v>315</v>
      </c>
      <c r="D16" s="228" t="s">
        <v>34</v>
      </c>
      <c r="E16" s="1030" t="s">
        <v>314</v>
      </c>
      <c r="F16" s="1032" t="s">
        <v>87</v>
      </c>
      <c r="G16" s="233">
        <f t="shared" si="8"/>
        <v>2470902.580645161</v>
      </c>
      <c r="H16" s="233"/>
      <c r="I16" s="395">
        <f t="shared" si="0"/>
        <v>124854.7074</v>
      </c>
      <c r="J16" s="395">
        <f t="shared" si="1"/>
        <v>102130.64</v>
      </c>
      <c r="K16" s="395">
        <f t="shared" si="2"/>
        <v>51065.32</v>
      </c>
      <c r="L16" s="395">
        <v>15000</v>
      </c>
      <c r="M16" s="295">
        <f t="shared" si="9"/>
        <v>2763953.2480451614</v>
      </c>
      <c r="N16" s="1047">
        <f t="shared" si="3"/>
        <v>221116.2598436129</v>
      </c>
      <c r="O16" s="1100">
        <v>506000</v>
      </c>
      <c r="P16" s="1102"/>
      <c r="Q16" s="398"/>
      <c r="R16" s="396">
        <f t="shared" si="4"/>
        <v>3491069.5078887744</v>
      </c>
      <c r="S16" s="396">
        <f t="shared" si="5"/>
        <v>22111.625984361293</v>
      </c>
      <c r="T16" s="413">
        <f t="shared" si="6"/>
        <v>3513181.133873136</v>
      </c>
      <c r="U16" s="155">
        <v>44409</v>
      </c>
      <c r="V16" s="580">
        <v>44422</v>
      </c>
      <c r="W16" s="350"/>
      <c r="X16" s="1065"/>
      <c r="Y16" s="1065"/>
    </row>
    <row r="17" ht="12" customHeight="1">
      <c r="A17" s="1088" t="s">
        <v>31</v>
      </c>
      <c r="B17" s="1878" t="s">
        <v>1015</v>
      </c>
      <c r="C17" s="359" t="s">
        <v>1016</v>
      </c>
      <c r="D17" s="228" t="s">
        <v>34</v>
      </c>
      <c r="E17" s="1030" t="s">
        <v>314</v>
      </c>
      <c r="F17" s="1032" t="s">
        <v>87</v>
      </c>
      <c r="G17" s="233">
        <f t="shared" si="8"/>
        <v>2470902.580645161</v>
      </c>
      <c r="H17" s="233"/>
      <c r="I17" s="395">
        <f t="shared" si="0"/>
        <v>124854.7074</v>
      </c>
      <c r="J17" s="395">
        <f t="shared" si="1"/>
        <v>102130.64</v>
      </c>
      <c r="K17" s="395">
        <f t="shared" si="2"/>
        <v>51065.32</v>
      </c>
      <c r="L17" s="395">
        <v>15000</v>
      </c>
      <c r="M17" s="295">
        <f t="shared" si="9"/>
        <v>2763953.2480451614</v>
      </c>
      <c r="N17" s="1047">
        <f t="shared" si="3"/>
        <v>221116.2598436129</v>
      </c>
      <c r="O17" s="1100">
        <v>557500</v>
      </c>
      <c r="P17" s="1102"/>
      <c r="Q17" s="398"/>
      <c r="R17" s="396">
        <f t="shared" si="4"/>
        <v>3542569.5078887744</v>
      </c>
      <c r="S17" s="396">
        <f t="shared" si="5"/>
        <v>22111.625984361293</v>
      </c>
      <c r="T17" s="413">
        <f t="shared" si="6"/>
        <v>3564681.133873136</v>
      </c>
      <c r="U17" s="155">
        <v>44409</v>
      </c>
      <c r="V17" s="580">
        <v>44422</v>
      </c>
      <c r="W17" s="350"/>
      <c r="X17" s="1065"/>
      <c r="Y17" s="1065"/>
    </row>
    <row r="18" ht="12" customHeight="1">
      <c r="A18" s="1088" t="s">
        <v>31</v>
      </c>
      <c r="B18" s="1878" t="s">
        <v>1017</v>
      </c>
      <c r="C18" s="359" t="s">
        <v>1018</v>
      </c>
      <c r="D18" s="228" t="s">
        <v>34</v>
      </c>
      <c r="E18" s="1030" t="s">
        <v>314</v>
      </c>
      <c r="F18" s="1032" t="s">
        <v>87</v>
      </c>
      <c r="G18" s="233">
        <f t="shared" si="8"/>
        <v>2470902.580645161</v>
      </c>
      <c r="H18" s="233"/>
      <c r="I18" s="395">
        <f t="shared" si="0"/>
        <v>124854.7074</v>
      </c>
      <c r="J18" s="395">
        <f t="shared" si="1"/>
        <v>102130.64</v>
      </c>
      <c r="K18" s="395">
        <f t="shared" si="2"/>
        <v>51065.32</v>
      </c>
      <c r="L18" s="395">
        <v>15000</v>
      </c>
      <c r="M18" s="295">
        <f t="shared" si="9"/>
        <v>2763953.2480451614</v>
      </c>
      <c r="N18" s="1047">
        <f t="shared" si="3"/>
        <v>221116.2598436129</v>
      </c>
      <c r="O18" s="1100">
        <v>790000</v>
      </c>
      <c r="P18" s="1102"/>
      <c r="Q18" s="398"/>
      <c r="R18" s="396">
        <f t="shared" si="4"/>
        <v>3775069.5078887744</v>
      </c>
      <c r="S18" s="396">
        <f t="shared" si="5"/>
        <v>22111.625984361293</v>
      </c>
      <c r="T18" s="413">
        <f t="shared" si="6"/>
        <v>3797181.133873136</v>
      </c>
      <c r="U18" s="155">
        <v>44409</v>
      </c>
      <c r="V18" s="580">
        <v>44422</v>
      </c>
      <c r="W18" s="350"/>
      <c r="X18" s="1065"/>
      <c r="Y18" s="1065"/>
    </row>
    <row r="19" ht="12" customHeight="1">
      <c r="A19" s="1088" t="s">
        <v>31</v>
      </c>
      <c r="B19" s="1876" t="s">
        <v>1019</v>
      </c>
      <c r="C19" s="1032" t="s">
        <v>1020</v>
      </c>
      <c r="D19" s="1090" t="s">
        <v>34</v>
      </c>
      <c r="E19" s="1030" t="s">
        <v>314</v>
      </c>
      <c r="F19" s="1091" t="s">
        <v>87</v>
      </c>
      <c r="G19" s="233">
        <f t="shared" si="8"/>
        <v>2470902.580645161</v>
      </c>
      <c r="H19" s="1092"/>
      <c r="I19" s="395">
        <f t="shared" si="0"/>
        <v>124854.7074</v>
      </c>
      <c r="J19" s="395">
        <f t="shared" si="1"/>
        <v>102130.64</v>
      </c>
      <c r="K19" s="395">
        <f t="shared" si="2"/>
        <v>51065.32</v>
      </c>
      <c r="L19" s="395">
        <v>15000</v>
      </c>
      <c r="M19" s="295">
        <f t="shared" si="9"/>
        <v>2763953.2480451614</v>
      </c>
      <c r="N19" s="396">
        <f t="shared" si="3"/>
        <v>221116.2598436129</v>
      </c>
      <c r="O19" s="1100">
        <v>677500</v>
      </c>
      <c r="P19" s="1047"/>
      <c r="Q19" s="1047"/>
      <c r="R19" s="396">
        <f t="shared" si="4"/>
        <v>3662569.5078887744</v>
      </c>
      <c r="S19" s="396">
        <f t="shared" si="5"/>
        <v>22111.625984361293</v>
      </c>
      <c r="T19" s="413">
        <f t="shared" si="6"/>
        <v>3684681.133873136</v>
      </c>
      <c r="U19" s="703">
        <v>44378</v>
      </c>
      <c r="V19" s="580">
        <v>44422</v>
      </c>
      <c r="X19" s="1065"/>
      <c r="Y19" s="1065"/>
    </row>
    <row r="20" ht="12" customHeight="1">
      <c r="A20" s="1093" t="s">
        <v>30</v>
      </c>
      <c r="B20" s="1899"/>
      <c r="C20" s="986" t="s">
        <v>1021</v>
      </c>
      <c r="D20" s="1094" t="s">
        <v>34</v>
      </c>
      <c r="E20" s="250" t="s">
        <v>27</v>
      </c>
      <c r="F20" s="1095" t="s">
        <v>87</v>
      </c>
      <c r="G20" s="256">
        <f>2553266/31*6</f>
        <v>494180.51612903224</v>
      </c>
      <c r="H20" s="1096"/>
      <c r="I20" s="307">
        <f t="shared" si="0"/>
        <v>124854.7074</v>
      </c>
      <c r="J20" s="307">
        <f t="shared" si="1"/>
        <v>102130.64</v>
      </c>
      <c r="K20" s="307">
        <f t="shared" si="2"/>
        <v>51065.32</v>
      </c>
      <c r="L20" s="307">
        <v>15000</v>
      </c>
      <c r="M20" s="295">
        <f t="shared" si="9"/>
        <v>787231.1835290322</v>
      </c>
      <c r="N20" s="995">
        <f t="shared" si="3"/>
        <v>62978.49468232258</v>
      </c>
      <c r="O20" s="1106"/>
      <c r="P20" s="1107"/>
      <c r="Q20" s="1112"/>
      <c r="R20" s="342">
        <f t="shared" si="4"/>
        <v>850209.6782113548</v>
      </c>
      <c r="S20" s="342">
        <f t="shared" si="5"/>
        <v>6297.849468232258</v>
      </c>
      <c r="T20" s="343">
        <f t="shared" si="6"/>
        <v>856507.527679587</v>
      </c>
      <c r="U20" s="1113">
        <v>44417</v>
      </c>
      <c r="V20" s="345">
        <v>44422</v>
      </c>
      <c r="W20" s="1114"/>
      <c r="X20" s="1115"/>
      <c r="Y20" s="1115"/>
    </row>
    <row r="21" ht="12" customHeight="1">
      <c r="A21" s="1097" t="s">
        <v>31</v>
      </c>
      <c r="B21" s="1889" t="s">
        <v>1022</v>
      </c>
      <c r="C21" s="383" t="s">
        <v>550</v>
      </c>
      <c r="D21" s="221" t="s">
        <v>34</v>
      </c>
      <c r="E21" s="1098" t="s">
        <v>314</v>
      </c>
      <c r="F21" s="1099" t="s">
        <v>87</v>
      </c>
      <c r="G21" s="593">
        <f t="shared" si="8"/>
        <v>2470902.580645161</v>
      </c>
      <c r="H21" s="593"/>
      <c r="I21" s="409">
        <f t="shared" si="0"/>
        <v>124854.7074</v>
      </c>
      <c r="J21" s="409">
        <f t="shared" si="1"/>
        <v>102130.64</v>
      </c>
      <c r="K21" s="409">
        <f t="shared" si="2"/>
        <v>51065.32</v>
      </c>
      <c r="L21" s="409">
        <v>15000</v>
      </c>
      <c r="M21" s="295">
        <f t="shared" si="9"/>
        <v>2763953.2480451614</v>
      </c>
      <c r="N21" s="1108">
        <f t="shared" si="3"/>
        <v>221116.2598436129</v>
      </c>
      <c r="O21" s="1109">
        <v>539500</v>
      </c>
      <c r="P21" s="1110"/>
      <c r="Q21" s="411"/>
      <c r="R21" s="433">
        <f t="shared" si="4"/>
        <v>3524569.5078887744</v>
      </c>
      <c r="S21" s="433">
        <f t="shared" si="5"/>
        <v>22111.625984361293</v>
      </c>
      <c r="T21" s="434">
        <f t="shared" si="6"/>
        <v>3546681.133873136</v>
      </c>
      <c r="U21" s="325">
        <v>44409</v>
      </c>
      <c r="V21" s="598">
        <v>44422</v>
      </c>
      <c r="W21" s="1116" t="s">
        <v>1023</v>
      </c>
      <c r="X21" s="1117"/>
      <c r="Y21" s="1117"/>
    </row>
    <row r="22" ht="13.5" customHeight="1">
      <c r="A22" s="1097" t="s">
        <v>31</v>
      </c>
      <c r="B22" s="1889" t="s">
        <v>1024</v>
      </c>
      <c r="C22" s="383" t="s">
        <v>1025</v>
      </c>
      <c r="D22" s="221" t="s">
        <v>34</v>
      </c>
      <c r="E22" s="1098" t="s">
        <v>314</v>
      </c>
      <c r="F22" s="1099" t="s">
        <v>87</v>
      </c>
      <c r="G22" s="593">
        <f t="shared" si="8"/>
        <v>2470902.580645161</v>
      </c>
      <c r="H22" s="593"/>
      <c r="I22" s="409">
        <f t="shared" si="0"/>
        <v>124854.7074</v>
      </c>
      <c r="J22" s="409">
        <f t="shared" si="1"/>
        <v>102130.64</v>
      </c>
      <c r="K22" s="409">
        <f t="shared" si="2"/>
        <v>51065.32</v>
      </c>
      <c r="L22" s="409">
        <v>15000</v>
      </c>
      <c r="M22" s="295">
        <f t="shared" si="9"/>
        <v>2763953.2480451614</v>
      </c>
      <c r="N22" s="1108">
        <f t="shared" si="3"/>
        <v>221116.2598436129</v>
      </c>
      <c r="O22" s="1109">
        <v>230000</v>
      </c>
      <c r="P22" s="1110"/>
      <c r="Q22" s="411"/>
      <c r="R22" s="433">
        <f t="shared" si="4"/>
        <v>3215069.5078887744</v>
      </c>
      <c r="S22" s="433">
        <f t="shared" si="5"/>
        <v>22111.625984361293</v>
      </c>
      <c r="T22" s="434">
        <f t="shared" si="6"/>
        <v>3237181.133873136</v>
      </c>
      <c r="U22" s="325">
        <v>44409</v>
      </c>
      <c r="V22" s="598">
        <v>44422</v>
      </c>
      <c r="W22" s="1118" t="s">
        <v>1026</v>
      </c>
      <c r="X22" s="1117"/>
      <c r="Y22" s="1117"/>
    </row>
    <row r="23" ht="12" customHeight="1">
      <c r="A23" s="1097" t="s">
        <v>31</v>
      </c>
      <c r="B23" s="1875" t="s">
        <v>1027</v>
      </c>
      <c r="C23" s="1099" t="s">
        <v>355</v>
      </c>
      <c r="D23" s="221" t="s">
        <v>34</v>
      </c>
      <c r="E23" s="1098" t="s">
        <v>314</v>
      </c>
      <c r="F23" s="1099" t="s">
        <v>87</v>
      </c>
      <c r="G23" s="593">
        <f>2553266/31*23</f>
        <v>1894358.6451612904</v>
      </c>
      <c r="H23" s="593"/>
      <c r="I23" s="409">
        <f t="shared" si="0"/>
        <v>124854.7074</v>
      </c>
      <c r="J23" s="409">
        <f t="shared" si="1"/>
        <v>102130.64</v>
      </c>
      <c r="K23" s="409">
        <f t="shared" si="2"/>
        <v>51065.32</v>
      </c>
      <c r="L23" s="409">
        <v>15000</v>
      </c>
      <c r="M23" s="295">
        <f t="shared" si="9"/>
        <v>2187409.3125612903</v>
      </c>
      <c r="N23" s="1108">
        <f t="shared" si="3"/>
        <v>174992.74500490323</v>
      </c>
      <c r="O23" s="1109">
        <v>602500</v>
      </c>
      <c r="P23" s="1111"/>
      <c r="Q23" s="433"/>
      <c r="R23" s="433">
        <f t="shared" si="4"/>
        <v>2964902.0575661934</v>
      </c>
      <c r="S23" s="433">
        <f t="shared" si="5"/>
        <v>17499.274500490323</v>
      </c>
      <c r="T23" s="434">
        <f t="shared" si="6"/>
        <v>2982401.3320666836</v>
      </c>
      <c r="U23" s="597">
        <v>44348</v>
      </c>
      <c r="V23" s="598">
        <v>44416</v>
      </c>
      <c r="W23" s="1116" t="s">
        <v>1028</v>
      </c>
      <c r="X23" s="1117"/>
      <c r="Y23" s="1117"/>
    </row>
    <row r="24" ht="12" customHeight="1">
      <c r="A24" s="1097" t="s">
        <v>31</v>
      </c>
      <c r="B24" s="1889" t="s">
        <v>1029</v>
      </c>
      <c r="C24" s="383" t="s">
        <v>1030</v>
      </c>
      <c r="D24" s="221" t="s">
        <v>34</v>
      </c>
      <c r="E24" s="1098" t="s">
        <v>314</v>
      </c>
      <c r="F24" s="1099" t="s">
        <v>87</v>
      </c>
      <c r="G24" s="593"/>
      <c r="H24" s="593"/>
      <c r="I24" s="409"/>
      <c r="J24" s="409"/>
      <c r="K24" s="409"/>
      <c r="L24" s="409"/>
      <c r="M24" s="295">
        <f t="shared" si="9"/>
        <v>0</v>
      </c>
      <c r="N24" s="1108">
        <f t="shared" si="3"/>
        <v>0</v>
      </c>
      <c r="O24" s="1109">
        <v>225000</v>
      </c>
      <c r="P24" s="1110"/>
      <c r="Q24" s="411"/>
      <c r="R24" s="433">
        <f t="shared" si="4"/>
        <v>225000</v>
      </c>
      <c r="S24" s="433">
        <f t="shared" si="5"/>
        <v>0</v>
      </c>
      <c r="T24" s="434">
        <f t="shared" si="6"/>
        <v>225000</v>
      </c>
      <c r="U24" s="325">
        <v>44348</v>
      </c>
      <c r="V24" s="326">
        <v>44392</v>
      </c>
      <c r="W24" s="1116" t="s">
        <v>1031</v>
      </c>
      <c r="X24" s="1117"/>
      <c r="Y24" s="1117"/>
    </row>
    <row r="25" ht="12" customHeight="1">
      <c r="A25" s="1097" t="s">
        <v>31</v>
      </c>
      <c r="B25" s="1889" t="s">
        <v>1032</v>
      </c>
      <c r="C25" s="383" t="s">
        <v>1033</v>
      </c>
      <c r="D25" s="221" t="s">
        <v>34</v>
      </c>
      <c r="E25" s="1098" t="s">
        <v>314</v>
      </c>
      <c r="F25" s="1099" t="s">
        <v>87</v>
      </c>
      <c r="G25" s="593">
        <f>2553266/31*1</f>
        <v>82363.41935483871</v>
      </c>
      <c r="H25" s="593"/>
      <c r="I25" s="409"/>
      <c r="J25" s="409"/>
      <c r="K25" s="409"/>
      <c r="L25" s="409"/>
      <c r="M25" s="295">
        <f t="shared" si="9"/>
        <v>82363.41935483871</v>
      </c>
      <c r="N25" s="1108">
        <f t="shared" si="3"/>
        <v>6589.073548387097</v>
      </c>
      <c r="O25" s="1109">
        <v>160000</v>
      </c>
      <c r="P25" s="1110"/>
      <c r="Q25" s="411"/>
      <c r="R25" s="433">
        <f t="shared" si="4"/>
        <v>248952.49290322582</v>
      </c>
      <c r="S25" s="433">
        <f t="shared" si="5"/>
        <v>658.9073548387097</v>
      </c>
      <c r="T25" s="434">
        <f t="shared" si="6"/>
        <v>249611.40025806453</v>
      </c>
      <c r="U25" s="325">
        <v>44328</v>
      </c>
      <c r="V25" s="326">
        <v>44394</v>
      </c>
      <c r="W25" s="1116" t="s">
        <v>1034</v>
      </c>
      <c r="X25" s="1117"/>
      <c r="Y25" s="1117"/>
    </row>
    <row r="26" ht="12" customHeight="1">
      <c r="A26" s="1753" t="s">
        <v>30</v>
      </c>
      <c r="B26" s="1900"/>
      <c r="C26" s="1754"/>
      <c r="D26" s="1755"/>
      <c r="E26" s="1080"/>
      <c r="F26" s="1080"/>
      <c r="G26" s="1081">
        <f ref="G26:T26" t="shared" si="10">SUM(G8:G25)</f>
        <v>37063538.70967743</v>
      </c>
      <c r="H26" s="1081">
        <f t="shared" si="10"/>
        <v>0</v>
      </c>
      <c r="I26" s="1081">
        <f t="shared" si="10"/>
        <v>1997675.3183999995</v>
      </c>
      <c r="J26" s="1081">
        <f t="shared" si="10"/>
        <v>1634090.2399999995</v>
      </c>
      <c r="K26" s="1081">
        <f t="shared" si="10"/>
        <v>817045.1199999998</v>
      </c>
      <c r="L26" s="1081">
        <f t="shared" si="10"/>
        <v>240000</v>
      </c>
      <c r="M26" s="1081">
        <f t="shared" si="10"/>
        <v>41752349.38807742</v>
      </c>
      <c r="N26" s="1081">
        <f t="shared" si="10"/>
        <v>3340187.951046195</v>
      </c>
      <c r="O26" s="1081">
        <f t="shared" si="10"/>
        <v>8594500</v>
      </c>
      <c r="P26" s="1081">
        <f t="shared" si="10"/>
        <v>0</v>
      </c>
      <c r="Q26" s="1081">
        <f t="shared" si="10"/>
        <v>0</v>
      </c>
      <c r="R26" s="1081">
        <f t="shared" si="10"/>
        <v>53687037.33912361</v>
      </c>
      <c r="S26" s="1081">
        <f t="shared" si="10"/>
        <v>334018.79510461935</v>
      </c>
      <c r="T26" s="1081">
        <f t="shared" si="10"/>
        <v>54021056.13422823</v>
      </c>
      <c r="U26" s="660"/>
      <c r="V26" s="661"/>
    </row>
    <row r="27" ht="12" customHeight="1">
      <c r="A27" s="1756" t="s">
        <v>30</v>
      </c>
      <c r="B27" s="1901"/>
      <c r="C27" s="1756"/>
      <c r="D27" s="1756"/>
      <c r="E27" s="1756"/>
      <c r="F27" s="1756"/>
      <c r="G27" s="1083"/>
      <c r="H27" s="1083"/>
      <c r="I27" s="1083"/>
      <c r="J27" s="1083"/>
      <c r="K27" s="1083"/>
      <c r="L27" s="1083"/>
      <c r="M27" s="1083"/>
      <c r="N27" s="1083"/>
      <c r="O27" s="1083"/>
      <c r="P27" s="1083"/>
      <c r="Q27" s="1083"/>
      <c r="R27" s="1083"/>
      <c r="S27" s="1083"/>
      <c r="T27" s="1083"/>
      <c r="U27" s="1119"/>
      <c r="V27" s="1119"/>
    </row>
    <row r="28" ht="12" customHeight="1">
      <c r="A28" s="0" t="s">
        <v>30</v>
      </c>
      <c r="B28" s="1861"/>
      <c r="C28" s="636"/>
      <c r="D28" s="281"/>
      <c r="E28" s="281"/>
      <c r="F28" s="281"/>
      <c r="G28" s="271"/>
      <c r="H28" s="271"/>
      <c r="I28" s="655"/>
      <c r="J28" s="655"/>
      <c r="K28" s="655"/>
      <c r="L28" s="655"/>
      <c r="M28" s="655"/>
      <c r="N28" s="655"/>
      <c r="O28" s="655"/>
      <c r="P28" s="655"/>
      <c r="Q28" s="655"/>
      <c r="R28" s="655"/>
      <c r="S28" s="655"/>
      <c r="T28" s="655"/>
      <c r="U28" s="674"/>
      <c r="V28" s="656"/>
    </row>
    <row r="29" ht="12" customHeight="1">
      <c r="A29" s="0" t="s">
        <v>30</v>
      </c>
      <c r="B29" s="1861"/>
      <c r="C29" s="632"/>
      <c r="D29" s="636"/>
      <c r="E29" s="632"/>
      <c r="F29" s="632"/>
      <c r="G29" s="210"/>
      <c r="H29" s="210"/>
      <c r="I29" s="281"/>
      <c r="J29" s="281"/>
      <c r="K29" s="281"/>
      <c r="L29" s="281"/>
      <c r="M29" s="281"/>
      <c r="N29" s="655"/>
      <c r="O29" s="655"/>
      <c r="P29" s="655"/>
      <c r="Q29" s="655"/>
      <c r="R29" s="281"/>
      <c r="S29" s="281"/>
      <c r="T29" s="655"/>
      <c r="U29" s="674"/>
      <c r="V29" s="656"/>
    </row>
    <row r="30" ht="12" customHeight="1">
      <c r="A30" s="387" t="s">
        <v>30</v>
      </c>
      <c r="B30" s="1869"/>
      <c r="C30" s="264" t="str">
        <f>+'MALANG BAT AGUSTUS - OK'!C26</f>
        <v>Karawang, 16 Agustus 2021</v>
      </c>
      <c r="D30" s="270"/>
      <c r="E30" s="632"/>
      <c r="F30" s="632"/>
      <c r="G30" s="275"/>
      <c r="H30" s="275"/>
      <c r="I30" s="652"/>
      <c r="J30" s="652"/>
      <c r="K30" s="652"/>
      <c r="L30" s="653"/>
      <c r="M30" s="636" t="s">
        <v>39</v>
      </c>
      <c r="N30" s="654"/>
      <c r="R30" s="673"/>
      <c r="S30" s="281"/>
      <c r="T30" s="654"/>
      <c r="U30" s="674"/>
      <c r="V30" s="674"/>
    </row>
    <row r="31" ht="12" customHeight="1">
      <c r="A31" s="387" t="s">
        <v>30</v>
      </c>
      <c r="B31" s="1870"/>
      <c r="C31" s="387"/>
      <c r="D31" s="263"/>
      <c r="G31" s="275"/>
      <c r="H31" s="275"/>
      <c r="I31" s="652"/>
      <c r="J31" s="314"/>
      <c r="K31" s="652"/>
      <c r="L31" s="653"/>
      <c r="M31" s="652"/>
      <c r="N31" s="281"/>
      <c r="O31" s="281"/>
      <c r="P31" s="281"/>
      <c r="Q31" s="281"/>
      <c r="R31" s="673"/>
      <c r="S31" s="281"/>
      <c r="T31" s="281"/>
      <c r="U31" s="674"/>
      <c r="V31" s="674"/>
    </row>
    <row r="32" ht="12" customHeight="1">
      <c r="A32" s="387" t="s">
        <v>30</v>
      </c>
      <c r="B32" s="1869"/>
      <c r="C32" s="264" t="s">
        <v>38</v>
      </c>
      <c r="D32" s="274"/>
      <c r="G32" s="210"/>
      <c r="H32" s="210"/>
      <c r="I32" s="210"/>
      <c r="J32" s="281"/>
      <c r="K32" s="281"/>
      <c r="L32" s="655"/>
      <c r="M32" s="281"/>
      <c r="N32" s="281"/>
      <c r="O32" s="281"/>
      <c r="P32" s="281"/>
      <c r="Q32" s="281"/>
      <c r="R32" s="631"/>
      <c r="S32" s="281"/>
      <c r="T32" s="281"/>
      <c r="U32" s="674"/>
      <c r="V32" s="674"/>
    </row>
    <row r="33" ht="12" customHeight="1">
      <c r="A33" s="387" t="s">
        <v>30</v>
      </c>
      <c r="B33" s="1871"/>
      <c r="C33" s="446"/>
      <c r="D33" s="209"/>
      <c r="E33" s="632"/>
      <c r="F33" s="632"/>
      <c r="G33" s="275"/>
      <c r="H33" s="275"/>
      <c r="I33" s="275"/>
      <c r="J33" s="652"/>
      <c r="K33" s="652"/>
      <c r="L33" s="653"/>
      <c r="M33" s="652"/>
      <c r="N33" s="652"/>
      <c r="O33" s="652"/>
      <c r="P33" s="652"/>
      <c r="Q33" s="652"/>
      <c r="R33" s="632"/>
      <c r="S33" s="281"/>
      <c r="T33" s="281"/>
      <c r="U33" s="674"/>
      <c r="V33" s="674"/>
    </row>
    <row r="34" ht="12" customHeight="1">
      <c r="A34" s="387" t="s">
        <v>30</v>
      </c>
      <c r="B34" s="1871"/>
      <c r="C34" s="446"/>
      <c r="D34" s="209"/>
      <c r="E34" s="632"/>
      <c r="F34" s="632"/>
      <c r="G34" s="275"/>
      <c r="H34" s="275"/>
      <c r="I34" s="275"/>
      <c r="J34" s="652"/>
      <c r="K34" s="652"/>
      <c r="L34" s="653"/>
      <c r="M34" s="652"/>
      <c r="N34" s="652"/>
      <c r="O34" s="652"/>
      <c r="P34" s="652"/>
      <c r="Q34" s="652"/>
      <c r="R34" s="632"/>
      <c r="S34" s="631"/>
      <c r="T34" s="281"/>
      <c r="U34" s="674"/>
      <c r="V34" s="674"/>
    </row>
    <row r="35" ht="12" customHeight="1">
      <c r="A35" s="387" t="s">
        <v>30</v>
      </c>
      <c r="B35" s="1869"/>
      <c r="C35" s="445"/>
      <c r="D35" s="274"/>
      <c r="E35" s="632"/>
      <c r="F35" s="632"/>
      <c r="G35" s="275"/>
      <c r="H35" s="275"/>
      <c r="I35" s="275"/>
      <c r="J35" s="652"/>
      <c r="K35" s="652"/>
      <c r="L35" s="653"/>
      <c r="M35" s="652"/>
      <c r="N35" s="652"/>
      <c r="O35" s="652"/>
      <c r="P35" s="652"/>
      <c r="Q35" s="652"/>
      <c r="R35" s="632"/>
      <c r="S35" s="281"/>
      <c r="U35" s="674"/>
      <c r="V35" s="674"/>
    </row>
    <row r="36" ht="12" customHeight="1">
      <c r="A36" s="387" t="s">
        <v>30</v>
      </c>
      <c r="B36" s="1870"/>
      <c r="C36" s="264"/>
      <c r="D36" s="264"/>
      <c r="E36" s="632"/>
      <c r="F36" s="632"/>
      <c r="G36" s="275"/>
      <c r="H36" s="275"/>
      <c r="I36" s="275"/>
      <c r="J36" s="653" t="s">
        <v>41</v>
      </c>
      <c r="K36" s="636"/>
      <c r="L36" s="636"/>
      <c r="M36" s="636" t="s">
        <v>42</v>
      </c>
      <c r="O36" s="632" t="s">
        <v>43</v>
      </c>
      <c r="P36" s="632"/>
      <c r="Q36" s="636"/>
      <c r="U36" s="675"/>
      <c r="V36" s="675"/>
    </row>
    <row r="37" ht="12" customHeight="1">
      <c r="A37" s="387" t="s">
        <v>30</v>
      </c>
      <c r="B37" s="1870"/>
      <c r="C37" s="264"/>
      <c r="D37" s="264"/>
      <c r="E37" s="632"/>
      <c r="F37" s="279"/>
      <c r="G37" s="275"/>
      <c r="H37" s="275"/>
      <c r="I37" s="636"/>
      <c r="J37" s="636"/>
      <c r="K37" s="636"/>
      <c r="L37" s="636"/>
      <c r="M37" s="275"/>
      <c r="N37" s="636"/>
      <c r="O37" s="636"/>
      <c r="P37" s="636"/>
      <c r="Q37" s="636"/>
      <c r="R37" s="636"/>
      <c r="U37" s="675"/>
      <c r="V37" s="675"/>
    </row>
    <row r="38" ht="12" customHeight="1">
      <c r="A38" s="387" t="s">
        <v>30</v>
      </c>
      <c r="B38" s="1870"/>
      <c r="C38" s="264" t="s">
        <v>40</v>
      </c>
      <c r="D38" s="568"/>
      <c r="E38" s="632"/>
      <c r="F38" s="279"/>
      <c r="G38" s="275"/>
      <c r="H38" s="275"/>
      <c r="I38" s="636"/>
      <c r="J38" s="636"/>
      <c r="K38" s="636"/>
      <c r="L38" s="636"/>
      <c r="M38" s="275"/>
      <c r="N38" s="636"/>
      <c r="O38" s="636"/>
      <c r="P38" s="636"/>
      <c r="Q38" s="636"/>
      <c r="R38" s="636"/>
      <c r="U38" s="675"/>
      <c r="V38" s="675"/>
    </row>
    <row r="39" ht="12" customHeight="1">
      <c r="A39" s="0" t="s">
        <v>30</v>
      </c>
      <c r="B39" s="1861"/>
      <c r="C39" s="600"/>
      <c r="G39" s="210"/>
      <c r="H39" s="210"/>
      <c r="M39" s="210"/>
    </row>
    <row r="40">
      <c r="A40" s="0" t="s">
        <v>30</v>
      </c>
      <c r="B40" s="1861"/>
    </row>
    <row r="41">
      <c r="A41" s="0" t="s">
        <v>30</v>
      </c>
      <c r="B41" s="1861"/>
    </row>
    <row r="42" ht="33" customHeight="1">
      <c r="A42" s="0" t="s">
        <v>30</v>
      </c>
      <c r="B42" s="1861"/>
    </row>
    <row r="43" ht="12" customHeight="1">
      <c r="A43" s="0" t="s">
        <v>30</v>
      </c>
      <c r="B43" s="1861"/>
      <c r="X43" s="1120"/>
      <c r="Y43" s="1120"/>
    </row>
    <row r="44" ht="12" customHeight="1">
      <c r="A44" s="0" t="s">
        <v>30</v>
      </c>
      <c r="B44" s="1861"/>
      <c r="X44" s="1120"/>
      <c r="Y44" s="1120"/>
    </row>
    <row r="45" ht="12" customHeight="1">
      <c r="A45" s="0" t="s">
        <v>30</v>
      </c>
      <c r="B45" s="1861"/>
      <c r="X45" s="1120"/>
      <c r="Y45" s="1120"/>
    </row>
    <row r="46" ht="12" customHeight="1">
      <c r="A46" s="0" t="s">
        <v>30</v>
      </c>
      <c r="B46" s="1861"/>
      <c r="X46" s="1120"/>
      <c r="Y46" s="1120"/>
    </row>
    <row r="47" ht="12" customHeight="1">
      <c r="A47" s="0" t="s">
        <v>30</v>
      </c>
      <c r="B47" s="1861"/>
      <c r="X47" s="1120"/>
      <c r="Y47" s="1120"/>
    </row>
    <row r="48" ht="12" customHeight="1">
      <c r="A48" s="0" t="s">
        <v>30</v>
      </c>
      <c r="B48" s="1861"/>
      <c r="X48" s="1120"/>
      <c r="Y48" s="1120"/>
    </row>
    <row r="49" ht="13.5" customHeight="1">
      <c r="A49" s="0" t="s">
        <v>30</v>
      </c>
      <c r="B49" s="1861"/>
      <c r="X49" s="1120"/>
      <c r="Y49" s="1120"/>
    </row>
    <row r="50" ht="13.5" customHeight="1">
      <c r="A50" s="0" t="s">
        <v>30</v>
      </c>
      <c r="B50" s="1861"/>
      <c r="X50" s="1120"/>
      <c r="Y50" s="1120"/>
    </row>
    <row r="51" ht="12" customHeight="1">
      <c r="A51" s="0" t="s">
        <v>30</v>
      </c>
      <c r="B51" s="1861"/>
      <c r="X51" s="1120"/>
      <c r="Y51" s="1120"/>
    </row>
    <row r="52" ht="12" customHeight="1">
      <c r="A52" s="0" t="s">
        <v>30</v>
      </c>
      <c r="B52" s="1861"/>
      <c r="X52" s="1120"/>
      <c r="Y52" s="1120"/>
    </row>
    <row r="53" ht="12" customHeight="1">
      <c r="A53" s="0" t="s">
        <v>30</v>
      </c>
      <c r="B53" s="1861"/>
      <c r="X53" s="1120"/>
      <c r="Y53" s="1120"/>
    </row>
    <row r="54" ht="12" customHeight="1">
      <c r="A54" s="0" t="s">
        <v>30</v>
      </c>
      <c r="B54" s="1861"/>
      <c r="X54" s="1120"/>
      <c r="Y54" s="1120"/>
    </row>
    <row r="55" ht="12" customHeight="1">
      <c r="A55" s="0" t="s">
        <v>30</v>
      </c>
      <c r="B55" s="1861"/>
      <c r="X55" s="1120"/>
      <c r="Y55" s="1120"/>
    </row>
    <row r="56" ht="12" customHeight="1">
      <c r="A56" s="0" t="s">
        <v>30</v>
      </c>
      <c r="B56" s="1861"/>
      <c r="X56" s="1120"/>
      <c r="Y56" s="1120"/>
    </row>
    <row r="57" ht="12" customHeight="1">
      <c r="A57" s="0" t="s">
        <v>30</v>
      </c>
      <c r="B57" s="1861"/>
      <c r="X57" s="1115"/>
      <c r="Y57" s="1115"/>
    </row>
    <row r="58" ht="12" customHeight="1">
      <c r="A58" s="0" t="s">
        <v>30</v>
      </c>
      <c r="B58" s="1861"/>
      <c r="X58" s="1121"/>
      <c r="Y58" s="1121"/>
    </row>
    <row r="59" ht="12" customHeight="1">
      <c r="A59" s="0" t="s">
        <v>30</v>
      </c>
      <c r="B59" s="1861"/>
      <c r="X59" s="1122"/>
      <c r="Y59" s="1122"/>
    </row>
    <row r="60" ht="12" customHeight="1">
      <c r="A60" s="0" t="s">
        <v>30</v>
      </c>
      <c r="B60" s="1861"/>
      <c r="X60" s="1122"/>
      <c r="Y60" s="1122"/>
    </row>
  </sheetData>
  <mergeCells>
    <mergeCell ref="A26:D26"/>
    <mergeCell ref="A27:F27"/>
  </mergeCells>
  <printOptions horizontalCentered="1"/>
  <pageMargins left="0" right="0" top="0.66944444444444495" bottom="0" header="0.43888888888888899" footer="0.3"/>
  <pageSetup paperSize="9" scale="70" orientation="landscape" horizontalDpi="120" verticalDpi="72"/>
  <headerFooter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 tint="-0.499984740745262"/>
    <pageSetUpPr fitToPage="1"/>
  </sheetPr>
  <dimension ref="A1:Z21"/>
  <sheetViews>
    <sheetView zoomScale="85" zoomScaleNormal="85" workbookViewId="0">
      <pane xSplit="7" ySplit="6" topLeftCell="H7" activePane="bottomRight" state="frozen"/>
      <selection pane="topRight"/>
      <selection pane="bottomLeft"/>
      <selection pane="bottomRight" activeCell="J27" sqref="J26:J27"/>
    </sheetView>
  </sheetViews>
  <sheetFormatPr defaultColWidth="9.140625" defaultRowHeight="15"/>
  <cols>
    <col min="1" max="2" width="4.5703125" customWidth="1"/>
    <col min="3" max="3" width="23.140625" customWidth="1"/>
    <col min="4" max="4" width="17.5703125" customWidth="1"/>
    <col min="5" max="5" hidden="1" width="8.140625" customWidth="1"/>
    <col min="6" max="6" hidden="1" width="9.85546875" customWidth="1"/>
    <col min="7" max="7" width="11.5703125" customWidth="1"/>
    <col min="8" max="8" width="12.140625" customWidth="1"/>
    <col min="9" max="12" width="10.42578125" customWidth="1"/>
    <col min="13" max="13" width="13.28515625" customWidth="1"/>
    <col min="14" max="14" width="11" customWidth="1"/>
    <col min="15" max="17" width="10.42578125" customWidth="1"/>
    <col min="18" max="18" width="12" customWidth="1"/>
    <col min="19" max="19" width="10.42578125" customWidth="1"/>
    <col min="20" max="20" width="14" customWidth="1"/>
    <col min="21" max="22" width="8.7109375" customWidth="1"/>
  </cols>
  <sheetData>
    <row r="1">
      <c r="A1" s="1469" t="s">
        <v>0</v>
      </c>
      <c r="B1" s="1470"/>
      <c r="C1" s="1471"/>
      <c r="D1" s="1470"/>
      <c r="E1" s="1470"/>
      <c r="F1" s="1470"/>
      <c r="G1" s="1472"/>
      <c r="H1" s="1472"/>
      <c r="M1" s="1472"/>
      <c r="U1" s="1500"/>
      <c r="V1" s="1501"/>
    </row>
    <row r="2">
      <c r="A2" s="1469" t="s">
        <v>50</v>
      </c>
      <c r="B2" s="1473"/>
      <c r="C2" s="1474"/>
      <c r="D2" s="1473"/>
      <c r="E2" s="1473"/>
      <c r="F2" s="1473"/>
      <c r="G2" s="1475"/>
      <c r="H2" s="1475"/>
      <c r="I2" s="1493"/>
      <c r="J2" s="1493"/>
      <c r="K2" s="1493"/>
      <c r="L2" s="1493"/>
      <c r="M2" s="1475"/>
      <c r="N2" s="1475"/>
      <c r="O2" s="1475"/>
      <c r="P2" s="1475"/>
      <c r="Q2" s="1475"/>
      <c r="R2" s="1493"/>
      <c r="S2" s="1493"/>
      <c r="T2" s="1493"/>
      <c r="U2" s="1502"/>
      <c r="V2" s="1502"/>
    </row>
    <row r="3">
      <c r="A3" s="207" t="s">
        <v>51</v>
      </c>
      <c r="B3" s="1470"/>
      <c r="C3" s="1471"/>
      <c r="D3" s="1470"/>
      <c r="E3" s="1470"/>
      <c r="F3" s="1470"/>
      <c r="G3" s="1475"/>
      <c r="H3" s="1475"/>
      <c r="I3" s="1494"/>
      <c r="M3" s="1472"/>
      <c r="U3" s="1500"/>
      <c r="V3" s="1501"/>
    </row>
    <row r="4">
      <c r="A4" s="1476"/>
      <c r="B4" s="1470"/>
      <c r="C4" s="1471"/>
      <c r="D4" s="1470"/>
      <c r="E4" s="1470"/>
      <c r="F4" s="1470"/>
      <c r="G4" s="1477">
        <v>2970502</v>
      </c>
      <c r="H4" s="1477"/>
      <c r="I4" s="1494"/>
      <c r="M4" s="1472"/>
      <c r="U4" s="1500"/>
      <c r="V4" s="1501"/>
    </row>
    <row r="5">
      <c r="A5" s="1476"/>
      <c r="B5" s="1470"/>
      <c r="C5" s="1471"/>
      <c r="D5" s="1470"/>
      <c r="E5" s="1470"/>
      <c r="F5" s="1470"/>
      <c r="G5" s="1477"/>
      <c r="H5" s="1477"/>
      <c r="I5" s="1494"/>
      <c r="M5" s="1472"/>
      <c r="U5" s="1500"/>
      <c r="V5" s="1501"/>
    </row>
    <row r="6" ht="22.5" customHeight="1">
      <c r="A6" s="1397" t="s">
        <v>2</v>
      </c>
      <c r="B6" s="1398" t="s">
        <v>3</v>
      </c>
      <c r="C6" s="1398" t="s">
        <v>4</v>
      </c>
      <c r="D6" s="1398" t="s">
        <v>5</v>
      </c>
      <c r="E6" s="1398" t="s">
        <v>6</v>
      </c>
      <c r="F6" s="1399" t="s">
        <v>7</v>
      </c>
      <c r="G6" s="219" t="s">
        <v>8</v>
      </c>
      <c r="H6" s="219" t="s">
        <v>9</v>
      </c>
      <c r="I6" s="1403" t="s">
        <v>10</v>
      </c>
      <c r="J6" s="1404" t="s">
        <v>11</v>
      </c>
      <c r="K6" s="1404" t="s">
        <v>12</v>
      </c>
      <c r="L6" s="1405" t="s">
        <v>13</v>
      </c>
      <c r="M6" s="1405" t="s">
        <v>14</v>
      </c>
      <c r="N6" s="1406" t="s">
        <v>15</v>
      </c>
      <c r="O6" s="1406" t="s">
        <v>16</v>
      </c>
      <c r="P6" s="1406" t="s">
        <v>17</v>
      </c>
      <c r="Q6" s="1406" t="s">
        <v>18</v>
      </c>
      <c r="R6" s="1407" t="s">
        <v>19</v>
      </c>
      <c r="S6" s="1408" t="s">
        <v>20</v>
      </c>
      <c r="T6" s="1408" t="s">
        <v>21</v>
      </c>
      <c r="U6" s="1409" t="s">
        <v>22</v>
      </c>
      <c r="V6" s="1410" t="s">
        <v>23</v>
      </c>
    </row>
    <row r="7" ht="18" customHeight="1">
      <c r="A7" s="1478" t="s">
        <v>24</v>
      </c>
      <c r="B7" s="946" t="s">
        <v>52</v>
      </c>
      <c r="C7" s="925" t="s">
        <v>53</v>
      </c>
      <c r="D7" s="1247" t="s">
        <v>54</v>
      </c>
      <c r="E7" s="1479" t="s">
        <v>47</v>
      </c>
      <c r="F7" s="1479" t="s">
        <v>48</v>
      </c>
      <c r="G7" s="1480"/>
      <c r="H7" s="1480"/>
      <c r="I7" s="958"/>
      <c r="J7" s="958"/>
      <c r="K7" s="958"/>
      <c r="L7" s="958"/>
      <c r="M7" s="295">
        <f>SUM(G7:L7)</f>
        <v>0</v>
      </c>
      <c r="N7" s="295">
        <f>+M7*8%</f>
        <v>0</v>
      </c>
      <c r="O7" s="295">
        <v>100000</v>
      </c>
      <c r="P7" s="295"/>
      <c r="Q7" s="295"/>
      <c r="R7" s="976">
        <f>SUM(M7:Q7)</f>
        <v>100000</v>
      </c>
      <c r="S7" s="976">
        <f>N7*0.1</f>
        <v>0</v>
      </c>
      <c r="T7" s="977">
        <f>R7+S7</f>
        <v>100000</v>
      </c>
      <c r="U7" s="1273">
        <v>44348</v>
      </c>
      <c r="V7" s="1274">
        <v>44439</v>
      </c>
      <c r="W7" s="1167" t="s">
        <v>55</v>
      </c>
    </row>
    <row r="8" ht="18" customHeight="1">
      <c r="A8" s="1478" t="s">
        <v>24</v>
      </c>
      <c r="B8" s="946" t="s">
        <v>56</v>
      </c>
      <c r="C8" s="925" t="s">
        <v>57</v>
      </c>
      <c r="D8" s="1481" t="s">
        <v>26</v>
      </c>
      <c r="E8" s="1481" t="s">
        <v>47</v>
      </c>
      <c r="F8" s="1481" t="s">
        <v>48</v>
      </c>
      <c r="G8" s="1480">
        <f>4300479-2970502</f>
        <v>1329977</v>
      </c>
      <c r="H8" s="1480"/>
      <c r="I8" s="958">
        <f>210293.4231-145257.5478</f>
        <v>65035.8753</v>
      </c>
      <c r="J8" s="958">
        <f>172019.16-118820.08</f>
        <v>53199.08</v>
      </c>
      <c r="K8" s="958">
        <f>86009.58-59410.04</f>
        <v>26599.54</v>
      </c>
      <c r="L8" s="958"/>
      <c r="M8" s="295">
        <f>SUM(G8:L8)</f>
        <v>1474811.4953</v>
      </c>
      <c r="N8" s="295">
        <f>+M8*8%</f>
        <v>117984.919624</v>
      </c>
      <c r="O8" s="295"/>
      <c r="P8" s="295"/>
      <c r="Q8" s="295"/>
      <c r="R8" s="976">
        <f>SUM(M8:Q8)</f>
        <v>1592796.414924</v>
      </c>
      <c r="S8" s="976">
        <f>N8*0.1</f>
        <v>11798.4919624</v>
      </c>
      <c r="T8" s="977">
        <f>R8+S8</f>
        <v>1604594.9068864</v>
      </c>
      <c r="U8" s="1273">
        <v>44378</v>
      </c>
      <c r="V8" s="1274">
        <v>44469</v>
      </c>
      <c r="W8" s="1503" t="s">
        <v>58</v>
      </c>
      <c r="X8" s="963"/>
      <c r="Y8" s="963"/>
      <c r="Z8" s="963"/>
    </row>
    <row r="9" ht="18" customHeight="1">
      <c r="A9" s="1736" t="s">
        <v>30</v>
      </c>
      <c r="B9" s="1856"/>
      <c r="C9" s="1738"/>
      <c r="D9" s="1738"/>
      <c r="E9" s="1738"/>
      <c r="F9" s="1739"/>
      <c r="G9" s="1425">
        <f>SUM(G7:G8)</f>
        <v>1329977</v>
      </c>
      <c r="H9" s="1425">
        <f ref="H9:T9" t="shared" si="0">SUM(H7:H8)</f>
        <v>0</v>
      </c>
      <c r="I9" s="1425">
        <f t="shared" si="0"/>
        <v>65035.8753</v>
      </c>
      <c r="J9" s="1425">
        <f t="shared" si="0"/>
        <v>53199.08</v>
      </c>
      <c r="K9" s="1425">
        <f t="shared" si="0"/>
        <v>26599.54</v>
      </c>
      <c r="L9" s="1425">
        <f t="shared" si="0"/>
        <v>0</v>
      </c>
      <c r="M9" s="1425">
        <f t="shared" si="0"/>
        <v>1474811.4953</v>
      </c>
      <c r="N9" s="1425">
        <f t="shared" si="0"/>
        <v>117984.919624</v>
      </c>
      <c r="O9" s="1425">
        <f t="shared" si="0"/>
        <v>100000</v>
      </c>
      <c r="P9" s="1425">
        <f t="shared" si="0"/>
        <v>0</v>
      </c>
      <c r="Q9" s="1425">
        <f t="shared" si="0"/>
        <v>0</v>
      </c>
      <c r="R9" s="1425">
        <f t="shared" si="0"/>
        <v>1692796.414924</v>
      </c>
      <c r="S9" s="1425">
        <f t="shared" si="0"/>
        <v>11798.4919624</v>
      </c>
      <c r="T9" s="1425">
        <f t="shared" si="0"/>
        <v>1704594.9068864</v>
      </c>
      <c r="U9" s="1425"/>
      <c r="V9" s="1438"/>
      <c r="W9" s="1504"/>
    </row>
    <row r="10" ht="23.25" customHeight="1">
      <c r="A10" s="1129" t="s">
        <v>30</v>
      </c>
      <c r="B10" s="1857"/>
      <c r="C10" s="1129"/>
      <c r="D10" s="1129"/>
      <c r="E10" s="1129"/>
      <c r="F10" s="1129"/>
      <c r="G10" s="1402"/>
      <c r="H10" s="1402"/>
      <c r="I10" s="1402"/>
      <c r="J10" s="1402"/>
      <c r="K10" s="1402"/>
      <c r="L10" s="1402"/>
      <c r="M10" s="1402"/>
      <c r="N10" s="1402"/>
      <c r="O10" s="1402"/>
      <c r="P10" s="1402"/>
      <c r="Q10" s="1402"/>
      <c r="R10" s="1402"/>
      <c r="S10" s="1402"/>
      <c r="T10" s="1402"/>
      <c r="U10" s="1502"/>
      <c r="V10" s="1502"/>
    </row>
    <row r="11" ht="15.75" customHeight="1">
      <c r="A11" s="1482" t="s">
        <v>30</v>
      </c>
      <c r="B11" s="1863"/>
      <c r="C11" s="1482"/>
      <c r="D11" s="1482"/>
      <c r="E11" s="1482"/>
      <c r="F11" s="1482"/>
      <c r="G11" s="1483"/>
      <c r="H11" s="1483"/>
      <c r="I11" s="1489"/>
      <c r="J11" s="1489"/>
      <c r="K11" s="1489"/>
      <c r="L11" s="1489"/>
      <c r="M11" s="1489"/>
      <c r="N11" s="1489"/>
      <c r="O11" s="1489"/>
      <c r="P11" s="1489"/>
      <c r="Q11" s="1489"/>
      <c r="R11" s="1489"/>
      <c r="S11" s="1489"/>
      <c r="T11" s="1489"/>
      <c r="U11" s="1489"/>
      <c r="V11" s="1489"/>
    </row>
    <row r="12">
      <c r="A12" s="0" t="s">
        <v>30</v>
      </c>
      <c r="B12" s="1864"/>
      <c r="C12" s="1482" t="s">
        <v>59</v>
      </c>
      <c r="D12" s="1485"/>
      <c r="E12" s="1485"/>
      <c r="F12" s="1485"/>
      <c r="G12" s="1486"/>
      <c r="H12" s="1486"/>
      <c r="I12" s="1495"/>
      <c r="J12" s="1495"/>
      <c r="K12" s="1495"/>
      <c r="L12" s="1495"/>
      <c r="M12" s="1495"/>
      <c r="N12" s="1495"/>
      <c r="O12" s="1495"/>
      <c r="P12" s="1495"/>
      <c r="Q12" s="1495"/>
      <c r="R12" s="1495"/>
      <c r="S12" s="1495"/>
      <c r="T12" s="1495"/>
      <c r="U12" s="1505"/>
      <c r="V12" s="1501"/>
    </row>
    <row r="13" ht="7.5" customHeight="1">
      <c r="A13" s="0" t="s">
        <v>30</v>
      </c>
      <c r="B13" s="1865"/>
      <c r="D13" s="1487"/>
      <c r="E13" s="1482"/>
      <c r="F13" s="1482"/>
      <c r="G13" s="1472"/>
      <c r="H13" s="1472"/>
      <c r="I13" s="1485"/>
      <c r="J13" s="1485"/>
      <c r="K13" s="1485"/>
      <c r="L13" s="1485"/>
      <c r="M13" s="1485"/>
      <c r="N13" s="1495"/>
      <c r="O13" s="1495"/>
      <c r="P13" s="1495"/>
      <c r="Q13" s="1495"/>
      <c r="R13" s="1485"/>
      <c r="S13" s="1485"/>
      <c r="T13" s="1506"/>
      <c r="U13" s="1505"/>
      <c r="V13" s="1501"/>
    </row>
    <row r="14">
      <c r="A14" s="0" t="s">
        <v>30</v>
      </c>
      <c r="B14" s="1864"/>
      <c r="C14" s="1482" t="s">
        <v>38</v>
      </c>
      <c r="D14" s="1488"/>
      <c r="E14" s="1482"/>
      <c r="F14" s="1482"/>
      <c r="G14" s="1489"/>
      <c r="H14" s="1489"/>
      <c r="I14" s="1496"/>
      <c r="J14" s="1496"/>
      <c r="K14" s="1496"/>
      <c r="L14" s="1497"/>
      <c r="M14" s="1487" t="s">
        <v>39</v>
      </c>
      <c r="N14" s="1498"/>
      <c r="O14" s="1498"/>
      <c r="R14" s="1507"/>
      <c r="S14" s="1485"/>
      <c r="T14" s="1498"/>
      <c r="U14" s="1505"/>
      <c r="V14" s="1505"/>
    </row>
    <row r="15">
      <c r="A15" s="0" t="s">
        <v>30</v>
      </c>
      <c r="B15" s="1866"/>
      <c r="C15" s="1490"/>
      <c r="D15" s="1471"/>
      <c r="E15" s="1470"/>
      <c r="F15" s="1470"/>
      <c r="G15" s="1489"/>
      <c r="H15" s="1489"/>
      <c r="I15" s="1496"/>
      <c r="J15" s="1499"/>
      <c r="K15" s="1496"/>
      <c r="L15" s="1497"/>
      <c r="M15" s="1496"/>
      <c r="N15" s="1485"/>
      <c r="O15" s="1485"/>
      <c r="P15" s="1485"/>
      <c r="Q15" s="1485"/>
      <c r="R15" s="1507"/>
      <c r="S15" s="1485"/>
      <c r="T15" s="1485"/>
      <c r="U15" s="1505"/>
      <c r="V15" s="1505"/>
    </row>
    <row r="16">
      <c r="A16" s="0" t="s">
        <v>30</v>
      </c>
      <c r="B16" s="1866"/>
      <c r="C16" s="1490"/>
      <c r="D16" s="1471"/>
      <c r="E16" s="1470"/>
      <c r="F16" s="1470"/>
      <c r="G16" s="1472"/>
      <c r="H16" s="1472"/>
      <c r="I16" s="1472"/>
      <c r="J16" s="1485"/>
      <c r="K16" s="1485"/>
      <c r="L16" s="1495"/>
      <c r="M16" s="1485"/>
      <c r="N16" s="1485"/>
      <c r="O16" s="1485"/>
      <c r="P16" s="1485"/>
      <c r="Q16" s="1485"/>
      <c r="R16" s="1470"/>
      <c r="S16" s="1485"/>
      <c r="T16" s="1485"/>
      <c r="U16" s="1505"/>
      <c r="V16" s="1505"/>
    </row>
    <row r="17">
      <c r="A17" s="0" t="s">
        <v>30</v>
      </c>
      <c r="B17" s="1864"/>
      <c r="C17" s="1484"/>
      <c r="D17" s="1488"/>
      <c r="E17" s="1482"/>
      <c r="F17" s="1482"/>
      <c r="G17" s="1489"/>
      <c r="H17" s="1489"/>
      <c r="I17" s="1489"/>
      <c r="J17" s="1496"/>
      <c r="K17" s="1496"/>
      <c r="L17" s="1497"/>
      <c r="M17" s="1496"/>
      <c r="N17" s="1496"/>
      <c r="O17" s="1496"/>
      <c r="P17" s="1496"/>
      <c r="Q17" s="1496"/>
      <c r="R17" s="1482"/>
      <c r="S17" s="1485"/>
      <c r="T17" s="1485"/>
      <c r="U17" s="1505"/>
      <c r="V17" s="1505"/>
    </row>
    <row r="18">
      <c r="A18" s="0" t="s">
        <v>30</v>
      </c>
      <c r="B18" s="1865"/>
      <c r="C18" s="1482"/>
      <c r="D18" s="1482"/>
      <c r="E18" s="1482"/>
      <c r="F18" s="1482"/>
      <c r="G18" s="1489"/>
      <c r="H18" s="1489"/>
      <c r="I18" s="1489"/>
      <c r="J18" s="1496"/>
      <c r="K18" s="1496"/>
      <c r="L18" s="1497"/>
      <c r="M18" s="1496"/>
      <c r="N18" s="1496"/>
      <c r="O18" s="1496"/>
      <c r="P18" s="1496"/>
      <c r="Q18" s="1496"/>
      <c r="R18" s="1482"/>
      <c r="S18" s="1470"/>
      <c r="T18" s="1485"/>
      <c r="U18" s="1505"/>
      <c r="V18" s="1505"/>
    </row>
    <row r="19">
      <c r="A19" s="0" t="s">
        <v>30</v>
      </c>
      <c r="B19" s="1865"/>
      <c r="C19" s="1482"/>
      <c r="D19" s="1482"/>
      <c r="E19" s="1482"/>
      <c r="F19" s="1482"/>
      <c r="G19" s="1489"/>
      <c r="H19" s="1489"/>
      <c r="I19" s="1489"/>
      <c r="J19" s="1496"/>
      <c r="K19" s="1496"/>
      <c r="L19" s="1497"/>
      <c r="M19" s="1496"/>
      <c r="N19" s="1496"/>
      <c r="O19" s="1496"/>
      <c r="P19" s="1496"/>
      <c r="Q19" s="1496"/>
      <c r="R19" s="1482"/>
      <c r="S19" s="1485"/>
      <c r="U19" s="1505"/>
      <c r="V19" s="1505"/>
    </row>
    <row r="20">
      <c r="A20" s="0" t="s">
        <v>30</v>
      </c>
      <c r="B20" s="1865"/>
      <c r="C20" s="1482" t="s">
        <v>40</v>
      </c>
      <c r="D20" s="1491"/>
      <c r="E20" s="1482"/>
      <c r="F20" s="1482"/>
      <c r="G20" s="1489"/>
      <c r="H20" s="1489"/>
      <c r="I20" s="1489"/>
      <c r="J20" s="1497" t="s">
        <v>41</v>
      </c>
      <c r="K20" s="1487"/>
      <c r="L20" s="1487"/>
      <c r="M20" s="1487" t="s">
        <v>42</v>
      </c>
      <c r="P20" s="1482" t="s">
        <v>43</v>
      </c>
      <c r="Q20" s="1487"/>
      <c r="U20" s="963"/>
      <c r="V20" s="963"/>
    </row>
    <row r="21">
      <c r="A21" s="1487" t="s">
        <v>30</v>
      </c>
      <c r="B21" s="1863"/>
      <c r="C21" s="1488"/>
      <c r="D21" s="1482"/>
      <c r="E21" s="1482"/>
      <c r="F21" s="1492"/>
      <c r="G21" s="1489"/>
      <c r="H21" s="1489"/>
      <c r="I21" s="1487"/>
      <c r="J21" s="1487"/>
      <c r="K21" s="1487"/>
      <c r="L21" s="1487"/>
      <c r="M21" s="1489"/>
      <c r="N21" s="1487"/>
      <c r="O21" s="1487"/>
      <c r="P21" s="1487"/>
      <c r="Q21" s="1487"/>
      <c r="R21" s="1487"/>
      <c r="U21" s="963"/>
      <c r="V21" s="963"/>
    </row>
  </sheetData>
  <mergeCells>
    <mergeCell ref="A9:F9"/>
  </mergeCells>
  <printOptions horizontalCentered="1"/>
  <pageMargins left="0.25902777777777802" right="0" top="0.75" bottom="0.75" header="0.30902777777777801" footer="0.30902777777777801"/>
  <pageSetup paperSize="9" scale="64" fitToHeight="0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Y78"/>
  <sheetViews>
    <sheetView zoomScale="85" zoomScaleNormal="85" workbookViewId="0">
      <pane xSplit="7" ySplit="12" topLeftCell="H54" activePane="bottomRight" state="frozen"/>
      <selection pane="topRight"/>
      <selection pane="bottomLeft"/>
      <selection pane="bottomRight" activeCell="M58" sqref="M58"/>
    </sheetView>
  </sheetViews>
  <sheetFormatPr defaultColWidth="9.140625" defaultRowHeight="12" customHeight="1"/>
  <cols>
    <col min="1" max="2" width="4.5703125" customWidth="1"/>
    <col min="3" max="3" width="26.85546875" customWidth="1"/>
    <col min="4" max="4" width="11.5703125" customWidth="1"/>
    <col min="5" max="5" width="10" customWidth="1"/>
    <col min="6" max="6" width="10.28515625" customWidth="1"/>
    <col min="7" max="8" width="11.5703125" customWidth="1"/>
    <col min="9" max="9" width="10.85546875" customWidth="1"/>
    <col min="10" max="12" width="11.42578125" customWidth="1"/>
    <col min="13" max="13" bestFit="1" width="13.28515625" customWidth="1"/>
    <col min="14" max="14" width="10.7109375" customWidth="1"/>
    <col min="15" max="16" width="11.42578125" customWidth="1"/>
    <col min="17" max="17" width="11.5703125" customWidth="1"/>
    <col min="18" max="18" width="12.5703125" customWidth="1"/>
    <col min="19" max="19" width="11.42578125" customWidth="1"/>
    <col min="20" max="20" width="13.42578125" customWidth="1"/>
    <col min="21" max="21" width="12.140625" customWidth="1"/>
    <col min="22" max="22" width="10.28515625" customWidth="1"/>
    <col min="23" max="23" width="4.85546875" customWidth="1"/>
  </cols>
  <sheetData>
    <row r="1" ht="12" customHeight="1">
      <c r="A1" s="601" t="s">
        <v>0</v>
      </c>
      <c r="C1" s="600"/>
      <c r="G1" s="210"/>
      <c r="H1" s="210"/>
      <c r="M1" s="210"/>
      <c r="V1" s="1054"/>
    </row>
    <row r="2" ht="12" customHeight="1">
      <c r="A2" s="601" t="s">
        <v>917</v>
      </c>
      <c r="C2" s="600"/>
      <c r="G2" s="213"/>
      <c r="H2" s="213"/>
      <c r="M2" s="213"/>
      <c r="N2" s="213"/>
      <c r="O2" s="213"/>
      <c r="P2" s="213"/>
      <c r="Q2" s="213"/>
    </row>
    <row r="3" ht="15">
      <c r="A3" s="601" t="str">
        <f>+'PROBOLINGGO ANTERAJA AGUST - OK'!A3</f>
        <v>Periode Bulan Agustus  2021</v>
      </c>
      <c r="C3" s="600"/>
      <c r="G3" s="213"/>
      <c r="H3" s="213"/>
      <c r="I3" s="281"/>
      <c r="M3" s="210"/>
      <c r="V3" s="1054"/>
    </row>
    <row r="4" ht="15">
      <c r="A4" s="601"/>
      <c r="C4" s="600"/>
      <c r="G4" s="213"/>
      <c r="H4" s="213"/>
      <c r="I4" s="281"/>
      <c r="M4" s="210"/>
      <c r="V4" s="1054"/>
    </row>
    <row r="5" ht="15">
      <c r="A5" s="601"/>
      <c r="C5" s="600"/>
      <c r="G5" s="214">
        <v>2654096</v>
      </c>
      <c r="H5" s="214"/>
      <c r="I5" s="281"/>
      <c r="M5" s="210"/>
      <c r="V5" s="1054"/>
    </row>
    <row r="6" ht="22.5">
      <c r="A6" s="1020" t="s">
        <v>2</v>
      </c>
      <c r="B6" s="1021" t="s">
        <v>3</v>
      </c>
      <c r="C6" s="1021" t="s">
        <v>4</v>
      </c>
      <c r="D6" s="1021" t="s">
        <v>5</v>
      </c>
      <c r="E6" s="1021" t="s">
        <v>6</v>
      </c>
      <c r="F6" s="1022" t="s">
        <v>7</v>
      </c>
      <c r="G6" s="1023" t="s">
        <v>8</v>
      </c>
      <c r="H6" s="219" t="s">
        <v>9</v>
      </c>
      <c r="I6" s="1040" t="s">
        <v>10</v>
      </c>
      <c r="J6" s="1041" t="s">
        <v>11</v>
      </c>
      <c r="K6" s="1041" t="s">
        <v>12</v>
      </c>
      <c r="L6" s="1042" t="s">
        <v>13</v>
      </c>
      <c r="M6" s="1043" t="s">
        <v>14</v>
      </c>
      <c r="N6" s="1044" t="s">
        <v>15</v>
      </c>
      <c r="O6" s="1044" t="s">
        <v>32</v>
      </c>
      <c r="P6" s="1044" t="s">
        <v>918</v>
      </c>
      <c r="Q6" s="1044" t="s">
        <v>18</v>
      </c>
      <c r="R6" s="1055" t="s">
        <v>19</v>
      </c>
      <c r="S6" s="1056" t="s">
        <v>20</v>
      </c>
      <c r="T6" s="1056" t="s">
        <v>21</v>
      </c>
      <c r="U6" s="1057" t="s">
        <v>22</v>
      </c>
      <c r="V6" s="1058" t="s">
        <v>23</v>
      </c>
    </row>
    <row r="7" ht="12" customHeight="1">
      <c r="A7" s="1024" t="s">
        <v>24</v>
      </c>
      <c r="B7" s="1025" t="s">
        <v>919</v>
      </c>
      <c r="C7" s="1026" t="s">
        <v>920</v>
      </c>
      <c r="D7" s="1027" t="s">
        <v>26</v>
      </c>
      <c r="E7" s="1024" t="s">
        <v>312</v>
      </c>
      <c r="F7" s="1028" t="s">
        <v>87</v>
      </c>
      <c r="G7" s="1029">
        <f ref="G7:G9" t="shared" si="0">2654096</f>
        <v>2654096</v>
      </c>
      <c r="H7" s="1029"/>
      <c r="I7" s="1045">
        <f>+$G$5*4.89%</f>
        <v>129785.2944</v>
      </c>
      <c r="J7" s="1045">
        <f>+$G$5*4%</f>
        <v>106163.84</v>
      </c>
      <c r="K7" s="1045">
        <f>+$G$5*2%</f>
        <v>53081.92</v>
      </c>
      <c r="L7" s="395">
        <v>1667</v>
      </c>
      <c r="M7" s="295">
        <f>SUM(G7:L7)</f>
        <v>2944794.0544</v>
      </c>
      <c r="N7" s="1046">
        <f ref="N7:N9" t="shared" si="1">+M7*8%</f>
        <v>235583.52435199998</v>
      </c>
      <c r="O7" s="396">
        <f>500000+25000</f>
        <v>525000</v>
      </c>
      <c r="P7" s="396">
        <v>100000</v>
      </c>
      <c r="Q7" s="396">
        <f>25*12000</f>
        <v>300000</v>
      </c>
      <c r="R7" s="1046">
        <f ref="R7:R9" t="shared" si="2">SUM(M7:Q7)</f>
        <v>4105377.578752</v>
      </c>
      <c r="S7" s="1046">
        <f ref="S7:S9" t="shared" si="3">N7*0.1</f>
        <v>23558.3524352</v>
      </c>
      <c r="T7" s="1059">
        <f ref="T7:T9" t="shared" si="4">R7+S7</f>
        <v>4128935.9311872</v>
      </c>
      <c r="U7" s="1060">
        <v>44409</v>
      </c>
      <c r="V7" s="1061">
        <v>44500</v>
      </c>
      <c r="W7" s="1062"/>
    </row>
    <row r="8" ht="12" customHeight="1">
      <c r="A8" s="1030" t="s">
        <v>24</v>
      </c>
      <c r="B8" s="358" t="s">
        <v>921</v>
      </c>
      <c r="C8" s="1031" t="s">
        <v>922</v>
      </c>
      <c r="D8" s="679" t="s">
        <v>26</v>
      </c>
      <c r="E8" s="1030" t="s">
        <v>312</v>
      </c>
      <c r="F8" s="1032" t="s">
        <v>87</v>
      </c>
      <c r="G8" s="233">
        <f t="shared" si="0"/>
        <v>2654096</v>
      </c>
      <c r="H8" s="233"/>
      <c r="I8" s="395">
        <f>+$G$5*4.89%</f>
        <v>129785.2944</v>
      </c>
      <c r="J8" s="395">
        <f>+$G$5*4%</f>
        <v>106163.84</v>
      </c>
      <c r="K8" s="395">
        <f>+$G$5*2%</f>
        <v>53081.92</v>
      </c>
      <c r="L8" s="395">
        <v>1667</v>
      </c>
      <c r="M8" s="295">
        <f ref="M8:M9" t="shared" si="5">SUM(G8:L8)</f>
        <v>2944794.0544</v>
      </c>
      <c r="N8" s="1047">
        <f t="shared" si="1"/>
        <v>235583.52435199998</v>
      </c>
      <c r="O8" s="396">
        <f>500000</f>
        <v>500000</v>
      </c>
      <c r="P8" s="396">
        <v>100000</v>
      </c>
      <c r="Q8" s="396">
        <f>14*12000</f>
        <v>168000</v>
      </c>
      <c r="R8" s="396">
        <f t="shared" si="2"/>
        <v>3948377.578752</v>
      </c>
      <c r="S8" s="396">
        <f t="shared" si="3"/>
        <v>23558.3524352</v>
      </c>
      <c r="T8" s="413">
        <f t="shared" si="4"/>
        <v>3971935.9311872</v>
      </c>
      <c r="U8" s="1063">
        <v>44357</v>
      </c>
      <c r="V8" s="1064">
        <v>44439</v>
      </c>
      <c r="W8" s="1065"/>
      <c r="X8" s="1066"/>
      <c r="Y8" s="1066"/>
    </row>
    <row r="9" ht="12" customHeight="1">
      <c r="A9" s="1033" t="s">
        <v>24</v>
      </c>
      <c r="B9" s="1034">
        <v>2795</v>
      </c>
      <c r="C9" s="1035" t="s">
        <v>923</v>
      </c>
      <c r="D9" s="1036" t="s">
        <v>26</v>
      </c>
      <c r="E9" s="1037" t="s">
        <v>312</v>
      </c>
      <c r="F9" s="628" t="s">
        <v>87</v>
      </c>
      <c r="G9" s="629">
        <f t="shared" si="0"/>
        <v>2654096</v>
      </c>
      <c r="H9" s="629"/>
      <c r="I9" s="649">
        <f ref="I9:I63" t="shared" si="6">+$G$5*4.89%</f>
        <v>129785.2944</v>
      </c>
      <c r="J9" s="649">
        <f ref="J9:J63" t="shared" si="7">+$G$5*4%</f>
        <v>106163.84</v>
      </c>
      <c r="K9" s="649">
        <f ref="K9:K63" t="shared" si="8">+$G$5*2%</f>
        <v>53081.92</v>
      </c>
      <c r="L9" s="1048">
        <v>1667</v>
      </c>
      <c r="M9" s="295">
        <f t="shared" si="5"/>
        <v>2944794.0544</v>
      </c>
      <c r="N9" s="1049">
        <f t="shared" si="1"/>
        <v>235583.52435199998</v>
      </c>
      <c r="O9" s="1050"/>
      <c r="P9" s="1051"/>
      <c r="Q9" s="666"/>
      <c r="R9" s="666">
        <f t="shared" si="2"/>
        <v>3180377.578752</v>
      </c>
      <c r="S9" s="666">
        <f t="shared" si="3"/>
        <v>23558.3524352</v>
      </c>
      <c r="T9" s="667">
        <f t="shared" si="4"/>
        <v>3203935.9311872</v>
      </c>
      <c r="U9" s="1067">
        <v>44409</v>
      </c>
      <c r="V9" s="1068">
        <v>44500</v>
      </c>
      <c r="W9" s="1069"/>
      <c r="X9" s="1070"/>
      <c r="Y9" s="1070"/>
    </row>
    <row r="10" ht="12" customHeight="1">
      <c r="A10" s="1745" t="s">
        <v>30</v>
      </c>
      <c r="B10" s="1867"/>
      <c r="C10" s="1745"/>
      <c r="D10" s="1745"/>
      <c r="E10" s="1745"/>
      <c r="F10" s="1745"/>
      <c r="G10" s="234">
        <f>SUM(G7:G9)</f>
        <v>7962288</v>
      </c>
      <c r="H10" s="234">
        <f ref="H10:T10" t="shared" si="9">SUM(H7:H9)</f>
        <v>0</v>
      </c>
      <c r="I10" s="234">
        <f t="shared" si="9"/>
        <v>389355.8832</v>
      </c>
      <c r="J10" s="234">
        <f t="shared" si="9"/>
        <v>318491.52</v>
      </c>
      <c r="K10" s="234">
        <f t="shared" si="9"/>
        <v>159245.76</v>
      </c>
      <c r="L10" s="234">
        <f t="shared" si="9"/>
        <v>5001</v>
      </c>
      <c r="M10" s="234">
        <f t="shared" si="9"/>
        <v>8834382.163199998</v>
      </c>
      <c r="N10" s="234">
        <f t="shared" si="9"/>
        <v>706750.5730559999</v>
      </c>
      <c r="O10" s="234">
        <f t="shared" si="9"/>
        <v>1025000</v>
      </c>
      <c r="P10" s="234">
        <f t="shared" si="9"/>
        <v>200000</v>
      </c>
      <c r="Q10" s="234">
        <f t="shared" si="9"/>
        <v>468000</v>
      </c>
      <c r="R10" s="234">
        <f t="shared" si="9"/>
        <v>11234132.736256</v>
      </c>
      <c r="S10" s="234">
        <f t="shared" si="9"/>
        <v>70675.0573056</v>
      </c>
      <c r="T10" s="234">
        <f t="shared" si="9"/>
        <v>11304807.7935616</v>
      </c>
      <c r="U10" s="1071"/>
      <c r="V10" s="1072"/>
    </row>
    <row r="11" ht="12" customHeight="1">
      <c r="A11" s="1038" t="s">
        <v>30</v>
      </c>
      <c r="B11" s="1902"/>
      <c r="C11" s="1038"/>
      <c r="D11" s="1038"/>
      <c r="E11" s="1038"/>
      <c r="F11" s="1038"/>
      <c r="G11" s="683"/>
      <c r="H11" s="683"/>
      <c r="I11" s="683"/>
      <c r="J11" s="683"/>
      <c r="K11" s="683"/>
      <c r="L11" s="683"/>
      <c r="M11" s="683"/>
      <c r="N11" s="683"/>
      <c r="O11" s="683"/>
      <c r="P11" s="683"/>
      <c r="Q11" s="683"/>
      <c r="R11" s="683"/>
      <c r="S11" s="683"/>
      <c r="T11" s="683"/>
      <c r="U11" s="1073"/>
      <c r="V11" s="683"/>
    </row>
    <row r="12" ht="33" customHeight="1">
      <c r="A12" s="1020" t="s">
        <v>31</v>
      </c>
      <c r="B12" s="1903" t="s">
        <v>3</v>
      </c>
      <c r="C12" s="1021" t="s">
        <v>4</v>
      </c>
      <c r="D12" s="1021" t="s">
        <v>5</v>
      </c>
      <c r="E12" s="1021" t="s">
        <v>6</v>
      </c>
      <c r="F12" s="1022" t="s">
        <v>7</v>
      </c>
      <c r="G12" s="1023" t="s">
        <v>8</v>
      </c>
      <c r="H12" s="219" t="s">
        <v>9</v>
      </c>
      <c r="I12" s="1040" t="s">
        <v>10</v>
      </c>
      <c r="J12" s="1041" t="s">
        <v>11</v>
      </c>
      <c r="K12" s="1041" t="s">
        <v>12</v>
      </c>
      <c r="L12" s="1042" t="s">
        <v>13</v>
      </c>
      <c r="M12" s="1043" t="s">
        <v>14</v>
      </c>
      <c r="N12" s="1044" t="s">
        <v>15</v>
      </c>
      <c r="O12" s="1052" t="s">
        <v>32</v>
      </c>
      <c r="P12" s="1044" t="s">
        <v>918</v>
      </c>
      <c r="Q12" s="1044" t="s">
        <v>18</v>
      </c>
      <c r="R12" s="1055" t="s">
        <v>19</v>
      </c>
      <c r="S12" s="1056" t="s">
        <v>20</v>
      </c>
      <c r="T12" s="1056" t="s">
        <v>21</v>
      </c>
      <c r="U12" s="1057" t="s">
        <v>22</v>
      </c>
      <c r="V12" s="1058" t="s">
        <v>23</v>
      </c>
    </row>
    <row r="13" ht="12" customHeight="1">
      <c r="A13" s="618" t="s">
        <v>24</v>
      </c>
      <c r="B13" s="239" t="s">
        <v>924</v>
      </c>
      <c r="C13" s="240" t="s">
        <v>925</v>
      </c>
      <c r="D13" s="239" t="s">
        <v>34</v>
      </c>
      <c r="E13" s="618" t="s">
        <v>312</v>
      </c>
      <c r="F13" s="240" t="s">
        <v>87</v>
      </c>
      <c r="G13" s="244">
        <v>2654096</v>
      </c>
      <c r="H13" s="244"/>
      <c r="I13" s="304">
        <f t="shared" si="6"/>
        <v>129785.2944</v>
      </c>
      <c r="J13" s="304">
        <f t="shared" si="7"/>
        <v>106163.84</v>
      </c>
      <c r="K13" s="304">
        <f t="shared" si="8"/>
        <v>53081.92</v>
      </c>
      <c r="L13" s="304">
        <v>15000</v>
      </c>
      <c r="M13" s="295">
        <f ref="M13:M28" t="shared" si="10">SUM(G13,I13:L13)-H13</f>
        <v>2958127.0544</v>
      </c>
      <c r="N13" s="510">
        <f ref="N13:N63" t="shared" si="11">+M13*8%</f>
        <v>236650.164352</v>
      </c>
      <c r="O13" s="1053">
        <f>+VLOOKUP(C13,[7]Summary!$C$207:$E$248,3,0)</f>
        <v>575000</v>
      </c>
      <c r="P13" s="528"/>
      <c r="Q13" s="300"/>
      <c r="R13" s="300">
        <f ref="R13:R63" t="shared" si="12">SUM(M13:Q13)</f>
        <v>3769777.2187519995</v>
      </c>
      <c r="S13" s="300">
        <f ref="S13:S63" t="shared" si="13">N13*0.1</f>
        <v>23665.0164352</v>
      </c>
      <c r="T13" s="416">
        <f ref="T13:T63" t="shared" si="14">R13+S13</f>
        <v>3793442.2351871994</v>
      </c>
      <c r="U13" s="1074">
        <v>44348</v>
      </c>
      <c r="V13" s="1074">
        <v>44439</v>
      </c>
      <c r="W13" s="419"/>
      <c r="X13" s="1066"/>
      <c r="Y13" s="1066"/>
    </row>
    <row r="14" ht="12" customHeight="1">
      <c r="A14" s="618" t="s">
        <v>24</v>
      </c>
      <c r="B14" s="239" t="s">
        <v>926</v>
      </c>
      <c r="C14" s="240" t="s">
        <v>927</v>
      </c>
      <c r="D14" s="239" t="s">
        <v>34</v>
      </c>
      <c r="E14" s="618" t="s">
        <v>312</v>
      </c>
      <c r="F14" s="240" t="s">
        <v>87</v>
      </c>
      <c r="G14" s="244">
        <v>2654096</v>
      </c>
      <c r="H14" s="244"/>
      <c r="I14" s="304">
        <f t="shared" si="6"/>
        <v>129785.2944</v>
      </c>
      <c r="J14" s="304">
        <f t="shared" si="7"/>
        <v>106163.84</v>
      </c>
      <c r="K14" s="304">
        <f t="shared" si="8"/>
        <v>53081.92</v>
      </c>
      <c r="L14" s="304">
        <v>15000</v>
      </c>
      <c r="M14" s="295">
        <f t="shared" si="10"/>
        <v>2958127.0544</v>
      </c>
      <c r="N14" s="510">
        <f t="shared" si="11"/>
        <v>236650.164352</v>
      </c>
      <c r="O14" s="1053">
        <v>445000</v>
      </c>
      <c r="P14" s="528"/>
      <c r="Q14" s="300"/>
      <c r="R14" s="300">
        <f t="shared" si="12"/>
        <v>3639777.218752</v>
      </c>
      <c r="S14" s="300">
        <f t="shared" si="13"/>
        <v>23665.0164352</v>
      </c>
      <c r="T14" s="416">
        <f t="shared" si="14"/>
        <v>3663442.2351872</v>
      </c>
      <c r="U14" s="1074">
        <v>44348</v>
      </c>
      <c r="V14" s="1074">
        <v>44439</v>
      </c>
      <c r="W14" s="419"/>
      <c r="X14" s="1066"/>
      <c r="Y14" s="1066"/>
    </row>
    <row r="15" ht="12" customHeight="1">
      <c r="A15" s="618" t="s">
        <v>24</v>
      </c>
      <c r="B15" s="239" t="s">
        <v>928</v>
      </c>
      <c r="C15" s="240" t="s">
        <v>311</v>
      </c>
      <c r="D15" s="239" t="s">
        <v>34</v>
      </c>
      <c r="E15" s="618" t="s">
        <v>312</v>
      </c>
      <c r="F15" s="240" t="s">
        <v>87</v>
      </c>
      <c r="G15" s="244">
        <v>2654096</v>
      </c>
      <c r="H15" s="244"/>
      <c r="I15" s="304">
        <f t="shared" si="6"/>
        <v>129785.2944</v>
      </c>
      <c r="J15" s="304">
        <f t="shared" si="7"/>
        <v>106163.84</v>
      </c>
      <c r="K15" s="304">
        <f t="shared" si="8"/>
        <v>53081.92</v>
      </c>
      <c r="L15" s="304">
        <v>15000</v>
      </c>
      <c r="M15" s="295">
        <f t="shared" si="10"/>
        <v>2958127.0544</v>
      </c>
      <c r="N15" s="510">
        <f t="shared" si="11"/>
        <v>236650.164352</v>
      </c>
      <c r="O15" s="1053">
        <f>+VLOOKUP(C15,[7]Summary!$C$207:$E$248,3,0)</f>
        <v>840000</v>
      </c>
      <c r="P15" s="528"/>
      <c r="Q15" s="300"/>
      <c r="R15" s="300">
        <f t="shared" si="12"/>
        <v>4034777.2187519995</v>
      </c>
      <c r="S15" s="300">
        <f t="shared" si="13"/>
        <v>23665.0164352</v>
      </c>
      <c r="T15" s="416">
        <f t="shared" si="14"/>
        <v>4058442.2351871994</v>
      </c>
      <c r="U15" s="1074">
        <v>44409</v>
      </c>
      <c r="V15" s="1074">
        <v>44500</v>
      </c>
      <c r="W15" s="419"/>
      <c r="X15" s="1066"/>
      <c r="Y15" s="1066"/>
    </row>
    <row r="16" ht="12" customHeight="1">
      <c r="A16" s="618" t="s">
        <v>24</v>
      </c>
      <c r="B16" s="239" t="s">
        <v>929</v>
      </c>
      <c r="C16" s="240" t="s">
        <v>325</v>
      </c>
      <c r="D16" s="239" t="s">
        <v>34</v>
      </c>
      <c r="E16" s="618" t="s">
        <v>312</v>
      </c>
      <c r="F16" s="240" t="s">
        <v>87</v>
      </c>
      <c r="G16" s="244">
        <v>2654096</v>
      </c>
      <c r="H16" s="244"/>
      <c r="I16" s="304">
        <f t="shared" si="6"/>
        <v>129785.2944</v>
      </c>
      <c r="J16" s="304">
        <f t="shared" si="7"/>
        <v>106163.84</v>
      </c>
      <c r="K16" s="304">
        <f t="shared" si="8"/>
        <v>53081.92</v>
      </c>
      <c r="L16" s="304">
        <v>15000</v>
      </c>
      <c r="M16" s="295">
        <f t="shared" si="10"/>
        <v>2958127.0544</v>
      </c>
      <c r="N16" s="510">
        <f t="shared" si="11"/>
        <v>236650.164352</v>
      </c>
      <c r="O16" s="1053">
        <f>+VLOOKUP(C16,[7]Summary!$C$207:$E$248,3,0)</f>
        <v>825000</v>
      </c>
      <c r="P16" s="528"/>
      <c r="Q16" s="300"/>
      <c r="R16" s="300">
        <f t="shared" si="12"/>
        <v>4019777.2187519995</v>
      </c>
      <c r="S16" s="300">
        <f t="shared" si="13"/>
        <v>23665.0164352</v>
      </c>
      <c r="T16" s="416">
        <f t="shared" si="14"/>
        <v>4043442.2351871994</v>
      </c>
      <c r="U16" s="1074">
        <v>44348</v>
      </c>
      <c r="V16" s="1074">
        <v>44439</v>
      </c>
      <c r="W16" s="1075"/>
      <c r="X16" s="1066"/>
      <c r="Y16" s="1066"/>
    </row>
    <row r="17" ht="12" customHeight="1">
      <c r="A17" s="618" t="s">
        <v>24</v>
      </c>
      <c r="B17" s="239" t="s">
        <v>930</v>
      </c>
      <c r="C17" s="240" t="s">
        <v>352</v>
      </c>
      <c r="D17" s="239" t="s">
        <v>34</v>
      </c>
      <c r="E17" s="618" t="s">
        <v>312</v>
      </c>
      <c r="F17" s="240" t="s">
        <v>87</v>
      </c>
      <c r="G17" s="244">
        <v>2654096</v>
      </c>
      <c r="H17" s="244"/>
      <c r="I17" s="304">
        <f t="shared" si="6"/>
        <v>129785.2944</v>
      </c>
      <c r="J17" s="304">
        <f t="shared" si="7"/>
        <v>106163.84</v>
      </c>
      <c r="K17" s="304">
        <f t="shared" si="8"/>
        <v>53081.92</v>
      </c>
      <c r="L17" s="304">
        <v>15000</v>
      </c>
      <c r="M17" s="295">
        <f t="shared" si="10"/>
        <v>2958127.0544</v>
      </c>
      <c r="N17" s="510">
        <f t="shared" si="11"/>
        <v>236650.164352</v>
      </c>
      <c r="O17" s="1053">
        <v>425000</v>
      </c>
      <c r="P17" s="528"/>
      <c r="Q17" s="300"/>
      <c r="R17" s="300">
        <f t="shared" si="12"/>
        <v>3619777.218752</v>
      </c>
      <c r="S17" s="300">
        <f t="shared" si="13"/>
        <v>23665.0164352</v>
      </c>
      <c r="T17" s="416">
        <f t="shared" si="14"/>
        <v>3643442.2351872</v>
      </c>
      <c r="U17" s="1074">
        <v>44348</v>
      </c>
      <c r="V17" s="1074">
        <v>44439</v>
      </c>
      <c r="W17" s="1076"/>
      <c r="X17" s="1066"/>
      <c r="Y17" s="1066"/>
    </row>
    <row r="18" ht="12" customHeight="1">
      <c r="A18" s="618" t="s">
        <v>24</v>
      </c>
      <c r="B18" s="239" t="s">
        <v>449</v>
      </c>
      <c r="C18" s="240" t="s">
        <v>450</v>
      </c>
      <c r="D18" s="239" t="s">
        <v>34</v>
      </c>
      <c r="E18" s="618" t="s">
        <v>312</v>
      </c>
      <c r="F18" s="240" t="s">
        <v>87</v>
      </c>
      <c r="G18" s="244">
        <v>2654096</v>
      </c>
      <c r="H18" s="244"/>
      <c r="I18" s="304">
        <f t="shared" si="6"/>
        <v>129785.2944</v>
      </c>
      <c r="J18" s="304">
        <f t="shared" si="7"/>
        <v>106163.84</v>
      </c>
      <c r="K18" s="304">
        <f t="shared" si="8"/>
        <v>53081.92</v>
      </c>
      <c r="L18" s="304">
        <v>15000</v>
      </c>
      <c r="M18" s="295">
        <f t="shared" si="10"/>
        <v>2958127.0544</v>
      </c>
      <c r="N18" s="510">
        <f t="shared" si="11"/>
        <v>236650.164352</v>
      </c>
      <c r="O18" s="1053">
        <f>+VLOOKUP(C18,[7]Summary!$C$207:$E$248,3,0)</f>
        <v>772500</v>
      </c>
      <c r="P18" s="528"/>
      <c r="Q18" s="300"/>
      <c r="R18" s="300">
        <f t="shared" si="12"/>
        <v>3967277.2187519995</v>
      </c>
      <c r="S18" s="300">
        <f t="shared" si="13"/>
        <v>23665.0164352</v>
      </c>
      <c r="T18" s="416">
        <f t="shared" si="14"/>
        <v>3990942.2351871994</v>
      </c>
      <c r="U18" s="1074">
        <v>44378</v>
      </c>
      <c r="V18" s="1074">
        <v>44469</v>
      </c>
      <c r="W18" s="1076"/>
      <c r="X18" s="1066"/>
      <c r="Y18" s="1066"/>
    </row>
    <row r="19" ht="12" customHeight="1">
      <c r="A19" s="618" t="s">
        <v>24</v>
      </c>
      <c r="B19" s="239" t="s">
        <v>931</v>
      </c>
      <c r="C19" s="240" t="s">
        <v>490</v>
      </c>
      <c r="D19" s="239" t="s">
        <v>34</v>
      </c>
      <c r="E19" s="618" t="s">
        <v>312</v>
      </c>
      <c r="F19" s="240" t="s">
        <v>87</v>
      </c>
      <c r="G19" s="244">
        <v>2654096</v>
      </c>
      <c r="H19" s="244"/>
      <c r="I19" s="304">
        <f t="shared" si="6"/>
        <v>129785.2944</v>
      </c>
      <c r="J19" s="304">
        <f t="shared" si="7"/>
        <v>106163.84</v>
      </c>
      <c r="K19" s="304">
        <f t="shared" si="8"/>
        <v>53081.92</v>
      </c>
      <c r="L19" s="304">
        <v>15000</v>
      </c>
      <c r="M19" s="295">
        <f t="shared" si="10"/>
        <v>2958127.0544</v>
      </c>
      <c r="N19" s="510">
        <f t="shared" si="11"/>
        <v>236650.164352</v>
      </c>
      <c r="O19" s="1053">
        <v>582500</v>
      </c>
      <c r="P19" s="528"/>
      <c r="Q19" s="300"/>
      <c r="R19" s="300">
        <f t="shared" si="12"/>
        <v>3777277.218752</v>
      </c>
      <c r="S19" s="300">
        <f t="shared" si="13"/>
        <v>23665.0164352</v>
      </c>
      <c r="T19" s="416">
        <f t="shared" si="14"/>
        <v>3800942.2351872</v>
      </c>
      <c r="U19" s="1074">
        <v>44348</v>
      </c>
      <c r="V19" s="1074">
        <v>44439</v>
      </c>
      <c r="W19" s="1076"/>
      <c r="X19" s="1066"/>
      <c r="Y19" s="1066"/>
    </row>
    <row r="20" ht="12" customHeight="1">
      <c r="A20" s="618" t="s">
        <v>24</v>
      </c>
      <c r="B20" s="239" t="s">
        <v>425</v>
      </c>
      <c r="C20" s="240" t="s">
        <v>426</v>
      </c>
      <c r="D20" s="239" t="s">
        <v>34</v>
      </c>
      <c r="E20" s="618" t="s">
        <v>312</v>
      </c>
      <c r="F20" s="240" t="s">
        <v>87</v>
      </c>
      <c r="G20" s="244">
        <v>2654096</v>
      </c>
      <c r="H20" s="244"/>
      <c r="I20" s="304">
        <f t="shared" si="6"/>
        <v>129785.2944</v>
      </c>
      <c r="J20" s="304">
        <f t="shared" si="7"/>
        <v>106163.84</v>
      </c>
      <c r="K20" s="304">
        <f t="shared" si="8"/>
        <v>53081.92</v>
      </c>
      <c r="L20" s="304">
        <v>15000</v>
      </c>
      <c r="M20" s="295">
        <f t="shared" si="10"/>
        <v>2958127.0544</v>
      </c>
      <c r="N20" s="510">
        <f t="shared" si="11"/>
        <v>236650.164352</v>
      </c>
      <c r="O20" s="1053">
        <f>+VLOOKUP(C20,[7]Summary!$C$207:$E$248,3,0)</f>
        <v>647500</v>
      </c>
      <c r="P20" s="528"/>
      <c r="Q20" s="300"/>
      <c r="R20" s="300">
        <f t="shared" si="12"/>
        <v>3842277.2187519995</v>
      </c>
      <c r="S20" s="300">
        <f t="shared" si="13"/>
        <v>23665.0164352</v>
      </c>
      <c r="T20" s="416">
        <f t="shared" si="14"/>
        <v>3865942.2351871994</v>
      </c>
      <c r="U20" s="1074">
        <v>44378</v>
      </c>
      <c r="V20" s="1074">
        <v>44469</v>
      </c>
      <c r="W20" s="1076"/>
      <c r="X20" s="1066"/>
      <c r="Y20" s="1066"/>
    </row>
    <row r="21" ht="12" customHeight="1">
      <c r="A21" s="618" t="s">
        <v>24</v>
      </c>
      <c r="B21" s="245" t="s">
        <v>657</v>
      </c>
      <c r="C21" s="1039" t="s">
        <v>658</v>
      </c>
      <c r="D21" s="491" t="s">
        <v>34</v>
      </c>
      <c r="E21" s="618" t="s">
        <v>312</v>
      </c>
      <c r="F21" s="240" t="s">
        <v>87</v>
      </c>
      <c r="G21" s="244">
        <v>2654096</v>
      </c>
      <c r="H21" s="244"/>
      <c r="I21" s="304">
        <f t="shared" si="6"/>
        <v>129785.2944</v>
      </c>
      <c r="J21" s="304">
        <f t="shared" si="7"/>
        <v>106163.84</v>
      </c>
      <c r="K21" s="304">
        <f t="shared" si="8"/>
        <v>53081.92</v>
      </c>
      <c r="L21" s="304">
        <v>15000</v>
      </c>
      <c r="M21" s="295">
        <f t="shared" si="10"/>
        <v>2958127.0544</v>
      </c>
      <c r="N21" s="510">
        <f t="shared" si="11"/>
        <v>236650.164352</v>
      </c>
      <c r="O21" s="1053">
        <f>+VLOOKUP(C21,[7]Summary!$C$207:$E$248,3,0)</f>
        <v>705000</v>
      </c>
      <c r="P21" s="528"/>
      <c r="Q21" s="300"/>
      <c r="R21" s="300">
        <f t="shared" si="12"/>
        <v>3899777.2187519995</v>
      </c>
      <c r="S21" s="300">
        <f t="shared" si="13"/>
        <v>23665.0164352</v>
      </c>
      <c r="T21" s="416">
        <f t="shared" si="14"/>
        <v>3923442.2351871994</v>
      </c>
      <c r="U21" s="1077">
        <v>44378</v>
      </c>
      <c r="V21" s="1078">
        <v>44469</v>
      </c>
      <c r="W21" s="1079"/>
      <c r="X21" s="1066"/>
      <c r="Y21" s="1066"/>
    </row>
    <row r="22" ht="12" customHeight="1">
      <c r="A22" s="618" t="s">
        <v>24</v>
      </c>
      <c r="B22" s="245" t="s">
        <v>659</v>
      </c>
      <c r="C22" s="1039" t="s">
        <v>660</v>
      </c>
      <c r="D22" s="491" t="s">
        <v>34</v>
      </c>
      <c r="E22" s="618" t="s">
        <v>312</v>
      </c>
      <c r="F22" s="240" t="s">
        <v>87</v>
      </c>
      <c r="G22" s="244">
        <v>2654096</v>
      </c>
      <c r="H22" s="244"/>
      <c r="I22" s="304">
        <f t="shared" si="6"/>
        <v>129785.2944</v>
      </c>
      <c r="J22" s="304">
        <f t="shared" si="7"/>
        <v>106163.84</v>
      </c>
      <c r="K22" s="304">
        <f t="shared" si="8"/>
        <v>53081.92</v>
      </c>
      <c r="L22" s="304">
        <v>15000</v>
      </c>
      <c r="M22" s="295">
        <f t="shared" si="10"/>
        <v>2958127.0544</v>
      </c>
      <c r="N22" s="510">
        <f t="shared" si="11"/>
        <v>236650.164352</v>
      </c>
      <c r="O22" s="1053">
        <f>+VLOOKUP(C22,[7]Summary!$C$207:$E$248,3,0)</f>
        <v>375000</v>
      </c>
      <c r="P22" s="528"/>
      <c r="Q22" s="300"/>
      <c r="R22" s="300">
        <f t="shared" si="12"/>
        <v>3569777.2187519995</v>
      </c>
      <c r="S22" s="300">
        <f t="shared" si="13"/>
        <v>23665.0164352</v>
      </c>
      <c r="T22" s="416">
        <f t="shared" si="14"/>
        <v>3593442.2351871994</v>
      </c>
      <c r="U22" s="1077">
        <v>44378</v>
      </c>
      <c r="V22" s="1078">
        <v>44469</v>
      </c>
      <c r="W22" s="1079"/>
      <c r="X22" s="1066"/>
      <c r="Y22" s="1066"/>
    </row>
    <row r="23" ht="12" customHeight="1">
      <c r="A23" s="618" t="s">
        <v>24</v>
      </c>
      <c r="B23" s="245" t="s">
        <v>661</v>
      </c>
      <c r="C23" s="1039" t="s">
        <v>662</v>
      </c>
      <c r="D23" s="491" t="s">
        <v>34</v>
      </c>
      <c r="E23" s="618" t="s">
        <v>312</v>
      </c>
      <c r="F23" s="240" t="s">
        <v>87</v>
      </c>
      <c r="G23" s="244">
        <v>2654096</v>
      </c>
      <c r="H23" s="244"/>
      <c r="I23" s="304">
        <f t="shared" si="6"/>
        <v>129785.2944</v>
      </c>
      <c r="J23" s="304">
        <f t="shared" si="7"/>
        <v>106163.84</v>
      </c>
      <c r="K23" s="304">
        <f t="shared" si="8"/>
        <v>53081.92</v>
      </c>
      <c r="L23" s="304">
        <v>15000</v>
      </c>
      <c r="M23" s="295">
        <f t="shared" si="10"/>
        <v>2958127.0544</v>
      </c>
      <c r="N23" s="510">
        <f t="shared" si="11"/>
        <v>236650.164352</v>
      </c>
      <c r="O23" s="1053">
        <f>+VLOOKUP(C23,[7]Summary!$C$207:$E$248,3,0)</f>
        <v>445000</v>
      </c>
      <c r="P23" s="528"/>
      <c r="Q23" s="300"/>
      <c r="R23" s="300">
        <f t="shared" si="12"/>
        <v>3639777.2187519995</v>
      </c>
      <c r="S23" s="300">
        <f t="shared" si="13"/>
        <v>23665.0164352</v>
      </c>
      <c r="T23" s="416">
        <f t="shared" si="14"/>
        <v>3663442.2351871994</v>
      </c>
      <c r="U23" s="1077">
        <v>44378</v>
      </c>
      <c r="V23" s="1078">
        <v>44469</v>
      </c>
      <c r="W23" s="1079"/>
      <c r="X23" s="1066"/>
      <c r="Y23" s="1066"/>
    </row>
    <row r="24" ht="12" customHeight="1">
      <c r="A24" s="618" t="s">
        <v>24</v>
      </c>
      <c r="B24" s="245" t="s">
        <v>664</v>
      </c>
      <c r="C24" s="1039" t="s">
        <v>665</v>
      </c>
      <c r="D24" s="491" t="s">
        <v>34</v>
      </c>
      <c r="E24" s="618" t="s">
        <v>312</v>
      </c>
      <c r="F24" s="240" t="s">
        <v>87</v>
      </c>
      <c r="G24" s="244">
        <v>2654096</v>
      </c>
      <c r="H24" s="244"/>
      <c r="I24" s="304">
        <f t="shared" si="6"/>
        <v>129785.2944</v>
      </c>
      <c r="J24" s="304">
        <f t="shared" si="7"/>
        <v>106163.84</v>
      </c>
      <c r="K24" s="304">
        <f t="shared" si="8"/>
        <v>53081.92</v>
      </c>
      <c r="L24" s="304">
        <v>15000</v>
      </c>
      <c r="M24" s="295">
        <f t="shared" si="10"/>
        <v>2958127.0544</v>
      </c>
      <c r="N24" s="510">
        <f t="shared" si="11"/>
        <v>236650.164352</v>
      </c>
      <c r="O24" s="1053">
        <v>480000</v>
      </c>
      <c r="P24" s="528"/>
      <c r="Q24" s="300"/>
      <c r="R24" s="300">
        <f t="shared" si="12"/>
        <v>3674777.218752</v>
      </c>
      <c r="S24" s="300">
        <f t="shared" si="13"/>
        <v>23665.0164352</v>
      </c>
      <c r="T24" s="416">
        <f t="shared" si="14"/>
        <v>3698442.2351872</v>
      </c>
      <c r="U24" s="1077">
        <v>44378</v>
      </c>
      <c r="V24" s="1078">
        <v>44469</v>
      </c>
      <c r="W24" s="1079"/>
      <c r="X24" s="1066"/>
      <c r="Y24" s="1066"/>
    </row>
    <row r="25" ht="12" customHeight="1">
      <c r="A25" s="618" t="s">
        <v>24</v>
      </c>
      <c r="B25" s="245" t="s">
        <v>932</v>
      </c>
      <c r="C25" s="1039" t="s">
        <v>933</v>
      </c>
      <c r="D25" s="491" t="s">
        <v>34</v>
      </c>
      <c r="E25" s="618" t="s">
        <v>312</v>
      </c>
      <c r="F25" s="240" t="s">
        <v>87</v>
      </c>
      <c r="G25" s="244">
        <v>2654096</v>
      </c>
      <c r="H25" s="244"/>
      <c r="I25" s="304">
        <f t="shared" si="6"/>
        <v>129785.2944</v>
      </c>
      <c r="J25" s="304">
        <f t="shared" si="7"/>
        <v>106163.84</v>
      </c>
      <c r="K25" s="304">
        <f t="shared" si="8"/>
        <v>53081.92</v>
      </c>
      <c r="L25" s="304">
        <v>15000</v>
      </c>
      <c r="M25" s="295">
        <f t="shared" si="10"/>
        <v>2958127.0544</v>
      </c>
      <c r="N25" s="510">
        <f t="shared" si="11"/>
        <v>236650.164352</v>
      </c>
      <c r="O25" s="1053">
        <v>877500</v>
      </c>
      <c r="P25" s="528"/>
      <c r="Q25" s="300"/>
      <c r="R25" s="300">
        <f t="shared" si="12"/>
        <v>4072277.218752</v>
      </c>
      <c r="S25" s="300">
        <f t="shared" si="13"/>
        <v>23665.0164352</v>
      </c>
      <c r="T25" s="416">
        <f t="shared" si="14"/>
        <v>4095942.2351872</v>
      </c>
      <c r="U25" s="1077">
        <v>44378</v>
      </c>
      <c r="V25" s="1078">
        <v>44469</v>
      </c>
      <c r="W25" s="1079"/>
      <c r="X25" s="1066"/>
      <c r="Y25" s="1066"/>
    </row>
    <row r="26" ht="12" customHeight="1">
      <c r="A26" s="618" t="s">
        <v>24</v>
      </c>
      <c r="B26" s="245" t="s">
        <v>934</v>
      </c>
      <c r="C26" s="1039" t="s">
        <v>935</v>
      </c>
      <c r="D26" s="491" t="s">
        <v>34</v>
      </c>
      <c r="E26" s="618" t="s">
        <v>312</v>
      </c>
      <c r="F26" s="240" t="s">
        <v>87</v>
      </c>
      <c r="G26" s="244">
        <v>2654096</v>
      </c>
      <c r="H26" s="244"/>
      <c r="I26" s="304">
        <f t="shared" si="6"/>
        <v>129785.2944</v>
      </c>
      <c r="J26" s="304">
        <f t="shared" si="7"/>
        <v>106163.84</v>
      </c>
      <c r="K26" s="304">
        <f t="shared" si="8"/>
        <v>53081.92</v>
      </c>
      <c r="L26" s="304">
        <v>15000</v>
      </c>
      <c r="M26" s="295">
        <f t="shared" si="10"/>
        <v>2958127.0544</v>
      </c>
      <c r="N26" s="510">
        <f t="shared" si="11"/>
        <v>236650.164352</v>
      </c>
      <c r="O26" s="1053">
        <f>+VLOOKUP(C26,[7]Summary!$C$207:$E$248,3,0)</f>
        <v>577500</v>
      </c>
      <c r="P26" s="528"/>
      <c r="Q26" s="300"/>
      <c r="R26" s="300">
        <f t="shared" si="12"/>
        <v>3772277.2187519995</v>
      </c>
      <c r="S26" s="300">
        <f t="shared" si="13"/>
        <v>23665.0164352</v>
      </c>
      <c r="T26" s="416">
        <f t="shared" si="14"/>
        <v>3795942.2351871994</v>
      </c>
      <c r="U26" s="1077">
        <v>44378</v>
      </c>
      <c r="V26" s="1078">
        <v>44469</v>
      </c>
      <c r="W26" s="1079"/>
      <c r="X26" s="1066"/>
      <c r="Y26" s="1066"/>
    </row>
    <row r="27" ht="12" customHeight="1">
      <c r="A27" s="618" t="s">
        <v>24</v>
      </c>
      <c r="B27" s="245" t="s">
        <v>936</v>
      </c>
      <c r="C27" s="1039" t="s">
        <v>937</v>
      </c>
      <c r="D27" s="491" t="s">
        <v>34</v>
      </c>
      <c r="E27" s="618" t="s">
        <v>312</v>
      </c>
      <c r="F27" s="240" t="s">
        <v>87</v>
      </c>
      <c r="G27" s="244">
        <v>2654096</v>
      </c>
      <c r="H27" s="244"/>
      <c r="I27" s="304">
        <f t="shared" si="6"/>
        <v>129785.2944</v>
      </c>
      <c r="J27" s="304">
        <f t="shared" si="7"/>
        <v>106163.84</v>
      </c>
      <c r="K27" s="304">
        <f t="shared" si="8"/>
        <v>53081.92</v>
      </c>
      <c r="L27" s="304">
        <v>15000</v>
      </c>
      <c r="M27" s="295">
        <f t="shared" si="10"/>
        <v>2958127.0544</v>
      </c>
      <c r="N27" s="510">
        <f t="shared" si="11"/>
        <v>236650.164352</v>
      </c>
      <c r="O27" s="1053">
        <f>+VLOOKUP(C27,[7]Summary!$C$207:$E$248,3,0)</f>
        <v>495000</v>
      </c>
      <c r="P27" s="528"/>
      <c r="Q27" s="300"/>
      <c r="R27" s="300">
        <f t="shared" si="12"/>
        <v>3689777.2187519995</v>
      </c>
      <c r="S27" s="300">
        <f t="shared" si="13"/>
        <v>23665.0164352</v>
      </c>
      <c r="T27" s="416">
        <f t="shared" si="14"/>
        <v>3713442.2351871994</v>
      </c>
      <c r="U27" s="1077">
        <v>44378</v>
      </c>
      <c r="V27" s="1078">
        <v>44469</v>
      </c>
      <c r="W27" s="1079"/>
      <c r="X27" s="1066"/>
      <c r="Y27" s="1066"/>
    </row>
    <row r="28" ht="12" customHeight="1">
      <c r="A28" s="618" t="s">
        <v>24</v>
      </c>
      <c r="B28" s="245" t="s">
        <v>938</v>
      </c>
      <c r="C28" s="1039" t="s">
        <v>939</v>
      </c>
      <c r="D28" s="491" t="s">
        <v>34</v>
      </c>
      <c r="E28" s="618" t="s">
        <v>312</v>
      </c>
      <c r="F28" s="240" t="s">
        <v>87</v>
      </c>
      <c r="G28" s="244">
        <v>2654096</v>
      </c>
      <c r="H28" s="244"/>
      <c r="I28" s="304">
        <f t="shared" si="6"/>
        <v>129785.2944</v>
      </c>
      <c r="J28" s="304">
        <f t="shared" si="7"/>
        <v>106163.84</v>
      </c>
      <c r="K28" s="304">
        <f t="shared" si="8"/>
        <v>53081.92</v>
      </c>
      <c r="L28" s="304">
        <v>15000</v>
      </c>
      <c r="M28" s="295">
        <f t="shared" si="10"/>
        <v>2958127.0544</v>
      </c>
      <c r="N28" s="510">
        <f t="shared" si="11"/>
        <v>236650.164352</v>
      </c>
      <c r="O28" s="1053">
        <f>+VLOOKUP(C28,[7]Summary!$C$207:$E$248,3,0)</f>
        <v>607500</v>
      </c>
      <c r="P28" s="528"/>
      <c r="Q28" s="300"/>
      <c r="R28" s="300">
        <f t="shared" si="12"/>
        <v>3802277.2187519995</v>
      </c>
      <c r="S28" s="300">
        <f t="shared" si="13"/>
        <v>23665.0164352</v>
      </c>
      <c r="T28" s="416">
        <f t="shared" si="14"/>
        <v>3825942.2351871994</v>
      </c>
      <c r="U28" s="1077">
        <v>44378</v>
      </c>
      <c r="V28" s="1078">
        <v>44469</v>
      </c>
      <c r="W28" s="1079"/>
      <c r="X28" s="1066"/>
      <c r="Y28" s="1066"/>
    </row>
    <row r="29" ht="12" customHeight="1">
      <c r="A29" s="618" t="s">
        <v>24</v>
      </c>
      <c r="B29" s="245" t="s">
        <v>940</v>
      </c>
      <c r="C29" s="1039" t="s">
        <v>941</v>
      </c>
      <c r="D29" s="491" t="s">
        <v>34</v>
      </c>
      <c r="E29" s="618" t="s">
        <v>312</v>
      </c>
      <c r="F29" s="240" t="s">
        <v>87</v>
      </c>
      <c r="G29" s="244">
        <v>2654096</v>
      </c>
      <c r="H29" s="244"/>
      <c r="I29" s="304">
        <f t="shared" si="6"/>
        <v>129785.2944</v>
      </c>
      <c r="J29" s="304">
        <f t="shared" si="7"/>
        <v>106163.84</v>
      </c>
      <c r="K29" s="304">
        <f t="shared" si="8"/>
        <v>53081.92</v>
      </c>
      <c r="L29" s="304">
        <v>15000</v>
      </c>
      <c r="M29" s="295">
        <f ref="M29:M63" t="shared" si="16">SUM(G29:L29)</f>
        <v>2958127.0544</v>
      </c>
      <c r="N29" s="510">
        <f t="shared" si="11"/>
        <v>236650.164352</v>
      </c>
      <c r="O29" s="1053">
        <v>415000</v>
      </c>
      <c r="P29" s="528"/>
      <c r="Q29" s="300"/>
      <c r="R29" s="300">
        <f t="shared" si="12"/>
        <v>3609777.2187519995</v>
      </c>
      <c r="S29" s="300">
        <f t="shared" si="13"/>
        <v>23665.0164352</v>
      </c>
      <c r="T29" s="416">
        <f t="shared" si="14"/>
        <v>3633442.2351871994</v>
      </c>
      <c r="U29" s="1077">
        <v>44378</v>
      </c>
      <c r="V29" s="1078">
        <v>44469</v>
      </c>
      <c r="W29" s="1079"/>
      <c r="X29" s="1066"/>
      <c r="Y29" s="1066"/>
    </row>
    <row r="30" ht="12" customHeight="1">
      <c r="A30" s="618" t="s">
        <v>24</v>
      </c>
      <c r="B30" s="245" t="s">
        <v>942</v>
      </c>
      <c r="C30" s="1039" t="s">
        <v>943</v>
      </c>
      <c r="D30" s="491" t="s">
        <v>34</v>
      </c>
      <c r="E30" s="618" t="s">
        <v>312</v>
      </c>
      <c r="F30" s="240" t="s">
        <v>87</v>
      </c>
      <c r="G30" s="244">
        <v>2654096</v>
      </c>
      <c r="H30" s="244"/>
      <c r="I30" s="304">
        <f t="shared" si="6"/>
        <v>129785.2944</v>
      </c>
      <c r="J30" s="304">
        <f t="shared" si="7"/>
        <v>106163.84</v>
      </c>
      <c r="K30" s="304">
        <f t="shared" si="8"/>
        <v>53081.92</v>
      </c>
      <c r="L30" s="304">
        <v>15000</v>
      </c>
      <c r="M30" s="295">
        <f t="shared" si="16"/>
        <v>2958127.0544</v>
      </c>
      <c r="N30" s="510">
        <f t="shared" si="11"/>
        <v>236650.164352</v>
      </c>
      <c r="O30" s="1053">
        <f>+VLOOKUP(C30,[7]Summary!$C$207:$E$248,3,0)</f>
        <v>495000</v>
      </c>
      <c r="P30" s="528"/>
      <c r="Q30" s="300"/>
      <c r="R30" s="300">
        <f t="shared" si="12"/>
        <v>3689777.2187519995</v>
      </c>
      <c r="S30" s="300">
        <f t="shared" si="13"/>
        <v>23665.0164352</v>
      </c>
      <c r="T30" s="416">
        <f t="shared" si="14"/>
        <v>3713442.2351871994</v>
      </c>
      <c r="U30" s="1077">
        <v>44378</v>
      </c>
      <c r="V30" s="1078">
        <v>44469</v>
      </c>
      <c r="W30" s="1079"/>
      <c r="X30" s="1066"/>
      <c r="Y30" s="1066"/>
    </row>
    <row r="31" ht="12" customHeight="1">
      <c r="A31" s="618" t="s">
        <v>24</v>
      </c>
      <c r="B31" s="245" t="s">
        <v>944</v>
      </c>
      <c r="C31" s="1039" t="s">
        <v>945</v>
      </c>
      <c r="D31" s="491" t="s">
        <v>34</v>
      </c>
      <c r="E31" s="618" t="s">
        <v>312</v>
      </c>
      <c r="F31" s="240" t="s">
        <v>87</v>
      </c>
      <c r="G31" s="244">
        <v>2654096</v>
      </c>
      <c r="H31" s="244"/>
      <c r="I31" s="304">
        <f t="shared" si="6"/>
        <v>129785.2944</v>
      </c>
      <c r="J31" s="304">
        <f t="shared" si="7"/>
        <v>106163.84</v>
      </c>
      <c r="K31" s="304">
        <f t="shared" si="8"/>
        <v>53081.92</v>
      </c>
      <c r="L31" s="304">
        <v>15000</v>
      </c>
      <c r="M31" s="295">
        <f t="shared" si="16"/>
        <v>2958127.0544</v>
      </c>
      <c r="N31" s="510">
        <f t="shared" si="11"/>
        <v>236650.164352</v>
      </c>
      <c r="O31" s="1053">
        <f>+VLOOKUP(C31,[7]Summary!$C$207:$E$248,3,0)</f>
        <v>555000</v>
      </c>
      <c r="P31" s="528"/>
      <c r="Q31" s="300"/>
      <c r="R31" s="300">
        <f t="shared" si="12"/>
        <v>3749777.2187519995</v>
      </c>
      <c r="S31" s="300">
        <f t="shared" si="13"/>
        <v>23665.0164352</v>
      </c>
      <c r="T31" s="416">
        <f t="shared" si="14"/>
        <v>3773442.2351871994</v>
      </c>
      <c r="U31" s="1077">
        <v>44378</v>
      </c>
      <c r="V31" s="1078">
        <v>44469</v>
      </c>
      <c r="W31" s="1079"/>
      <c r="X31" s="1066"/>
      <c r="Y31" s="1066"/>
    </row>
    <row r="32" ht="12" customHeight="1">
      <c r="A32" s="618" t="s">
        <v>24</v>
      </c>
      <c r="B32" s="245" t="s">
        <v>946</v>
      </c>
      <c r="C32" s="1039" t="s">
        <v>947</v>
      </c>
      <c r="D32" s="491" t="s">
        <v>34</v>
      </c>
      <c r="E32" s="618" t="s">
        <v>312</v>
      </c>
      <c r="F32" s="240" t="s">
        <v>87</v>
      </c>
      <c r="G32" s="244">
        <v>2654096</v>
      </c>
      <c r="H32" s="244"/>
      <c r="I32" s="304">
        <f t="shared" si="6"/>
        <v>129785.2944</v>
      </c>
      <c r="J32" s="304">
        <f t="shared" si="7"/>
        <v>106163.84</v>
      </c>
      <c r="K32" s="304">
        <f t="shared" si="8"/>
        <v>53081.92</v>
      </c>
      <c r="L32" s="304">
        <v>15000</v>
      </c>
      <c r="M32" s="295">
        <f t="shared" si="16"/>
        <v>2958127.0544</v>
      </c>
      <c r="N32" s="510">
        <f t="shared" si="11"/>
        <v>236650.164352</v>
      </c>
      <c r="O32" s="1053">
        <f>+VLOOKUP(C32,[7]Summary!$C$207:$E$248,3,0)</f>
        <v>480000</v>
      </c>
      <c r="P32" s="528"/>
      <c r="Q32" s="300"/>
      <c r="R32" s="300">
        <f t="shared" si="12"/>
        <v>3674777.2187519995</v>
      </c>
      <c r="S32" s="300">
        <f t="shared" si="13"/>
        <v>23665.0164352</v>
      </c>
      <c r="T32" s="416">
        <f t="shared" si="14"/>
        <v>3698442.2351871994</v>
      </c>
      <c r="U32" s="1077">
        <v>44378</v>
      </c>
      <c r="V32" s="1078">
        <v>44469</v>
      </c>
      <c r="W32" s="1079"/>
      <c r="X32" s="1066"/>
      <c r="Y32" s="1066"/>
    </row>
    <row r="33" ht="12" customHeight="1">
      <c r="A33" s="618" t="s">
        <v>24</v>
      </c>
      <c r="B33" s="245" t="s">
        <v>948</v>
      </c>
      <c r="C33" s="1039" t="s">
        <v>949</v>
      </c>
      <c r="D33" s="491" t="s">
        <v>34</v>
      </c>
      <c r="E33" s="618" t="s">
        <v>312</v>
      </c>
      <c r="F33" s="240" t="s">
        <v>87</v>
      </c>
      <c r="G33" s="244">
        <v>2654096</v>
      </c>
      <c r="H33" s="244"/>
      <c r="I33" s="304">
        <f t="shared" si="6"/>
        <v>129785.2944</v>
      </c>
      <c r="J33" s="304">
        <f t="shared" si="7"/>
        <v>106163.84</v>
      </c>
      <c r="K33" s="304">
        <f t="shared" si="8"/>
        <v>53081.92</v>
      </c>
      <c r="L33" s="304">
        <v>15000</v>
      </c>
      <c r="M33" s="295">
        <f t="shared" si="16"/>
        <v>2958127.0544</v>
      </c>
      <c r="N33" s="510">
        <f t="shared" si="11"/>
        <v>236650.164352</v>
      </c>
      <c r="O33" s="1053">
        <v>512500</v>
      </c>
      <c r="P33" s="528"/>
      <c r="Q33" s="300"/>
      <c r="R33" s="300">
        <f t="shared" si="12"/>
        <v>3707277.2187519995</v>
      </c>
      <c r="S33" s="300">
        <f t="shared" si="13"/>
        <v>23665.0164352</v>
      </c>
      <c r="T33" s="416">
        <f t="shared" si="14"/>
        <v>3730942.2351871994</v>
      </c>
      <c r="U33" s="1077">
        <v>44378</v>
      </c>
      <c r="V33" s="1078">
        <v>44469</v>
      </c>
      <c r="W33" s="1079"/>
      <c r="X33" s="1066"/>
      <c r="Y33" s="1066"/>
    </row>
    <row r="34" ht="12" customHeight="1">
      <c r="A34" s="618" t="s">
        <v>24</v>
      </c>
      <c r="B34" s="245">
        <v>2189</v>
      </c>
      <c r="C34" s="1039" t="s">
        <v>950</v>
      </c>
      <c r="D34" s="491" t="s">
        <v>34</v>
      </c>
      <c r="E34" s="618" t="s">
        <v>312</v>
      </c>
      <c r="F34" s="240" t="s">
        <v>87</v>
      </c>
      <c r="G34" s="244">
        <v>2654096</v>
      </c>
      <c r="H34" s="244"/>
      <c r="I34" s="304">
        <f t="shared" si="6"/>
        <v>129785.2944</v>
      </c>
      <c r="J34" s="304">
        <f t="shared" si="7"/>
        <v>106163.84</v>
      </c>
      <c r="K34" s="304">
        <f t="shared" si="8"/>
        <v>53081.92</v>
      </c>
      <c r="L34" s="304">
        <v>15000</v>
      </c>
      <c r="M34" s="295">
        <f t="shared" si="16"/>
        <v>2958127.0544</v>
      </c>
      <c r="N34" s="510">
        <f t="shared" si="11"/>
        <v>236650.164352</v>
      </c>
      <c r="O34" s="1053">
        <f>+VLOOKUP(C34,[7]Summary!$C$207:$E$248,3,0)</f>
        <v>420000</v>
      </c>
      <c r="P34" s="528"/>
      <c r="Q34" s="300"/>
      <c r="R34" s="300">
        <f t="shared" si="12"/>
        <v>3614777.2187519995</v>
      </c>
      <c r="S34" s="300">
        <f t="shared" si="13"/>
        <v>23665.0164352</v>
      </c>
      <c r="T34" s="416">
        <f t="shared" si="14"/>
        <v>3638442.2351871994</v>
      </c>
      <c r="U34" s="1077">
        <v>44378</v>
      </c>
      <c r="V34" s="1078">
        <v>44469</v>
      </c>
      <c r="W34" s="1079"/>
      <c r="X34" s="1066"/>
      <c r="Y34" s="1066"/>
    </row>
    <row r="35" ht="12" customHeight="1">
      <c r="A35" s="618" t="s">
        <v>24</v>
      </c>
      <c r="B35" s="245">
        <v>2191</v>
      </c>
      <c r="C35" s="1039" t="s">
        <v>951</v>
      </c>
      <c r="D35" s="491" t="s">
        <v>34</v>
      </c>
      <c r="E35" s="618" t="s">
        <v>312</v>
      </c>
      <c r="F35" s="240" t="s">
        <v>87</v>
      </c>
      <c r="G35" s="244">
        <v>2654096</v>
      </c>
      <c r="H35" s="244"/>
      <c r="I35" s="304">
        <f t="shared" si="6"/>
        <v>129785.2944</v>
      </c>
      <c r="J35" s="304">
        <f t="shared" si="7"/>
        <v>106163.84</v>
      </c>
      <c r="K35" s="304">
        <f t="shared" si="8"/>
        <v>53081.92</v>
      </c>
      <c r="L35" s="304">
        <v>15000</v>
      </c>
      <c r="M35" s="295">
        <f t="shared" si="16"/>
        <v>2958127.0544</v>
      </c>
      <c r="N35" s="510">
        <f t="shared" si="11"/>
        <v>236650.164352</v>
      </c>
      <c r="O35" s="1053">
        <f>+VLOOKUP(C35,[7]Summary!$C$207:$E$248,3,0)</f>
        <v>510000</v>
      </c>
      <c r="P35" s="528"/>
      <c r="Q35" s="300"/>
      <c r="R35" s="300">
        <f t="shared" si="12"/>
        <v>3704777.2187519995</v>
      </c>
      <c r="S35" s="300">
        <f t="shared" si="13"/>
        <v>23665.0164352</v>
      </c>
      <c r="T35" s="416">
        <f t="shared" si="14"/>
        <v>3728442.2351871994</v>
      </c>
      <c r="U35" s="1077">
        <v>44378</v>
      </c>
      <c r="V35" s="1078">
        <v>44469</v>
      </c>
      <c r="W35" s="1079"/>
      <c r="X35" s="1066"/>
      <c r="Y35" s="1066"/>
    </row>
    <row r="36" ht="12" customHeight="1">
      <c r="A36" s="618" t="s">
        <v>24</v>
      </c>
      <c r="B36" s="245">
        <v>2217</v>
      </c>
      <c r="C36" s="1039" t="s">
        <v>952</v>
      </c>
      <c r="D36" s="491" t="s">
        <v>34</v>
      </c>
      <c r="E36" s="618" t="s">
        <v>312</v>
      </c>
      <c r="F36" s="240" t="s">
        <v>87</v>
      </c>
      <c r="G36" s="244">
        <v>2654096</v>
      </c>
      <c r="H36" s="244"/>
      <c r="I36" s="304">
        <f t="shared" si="6"/>
        <v>129785.2944</v>
      </c>
      <c r="J36" s="304">
        <f t="shared" si="7"/>
        <v>106163.84</v>
      </c>
      <c r="K36" s="304">
        <f t="shared" si="8"/>
        <v>53081.92</v>
      </c>
      <c r="L36" s="304">
        <v>15000</v>
      </c>
      <c r="M36" s="295">
        <f t="shared" si="16"/>
        <v>2958127.0544</v>
      </c>
      <c r="N36" s="510">
        <f t="shared" si="11"/>
        <v>236650.164352</v>
      </c>
      <c r="O36" s="1053">
        <v>395000</v>
      </c>
      <c r="P36" s="528"/>
      <c r="Q36" s="300"/>
      <c r="R36" s="300">
        <f t="shared" si="12"/>
        <v>3589777.2187519995</v>
      </c>
      <c r="S36" s="300">
        <f t="shared" si="13"/>
        <v>23665.0164352</v>
      </c>
      <c r="T36" s="416">
        <f t="shared" si="14"/>
        <v>3613442.2351871994</v>
      </c>
      <c r="U36" s="1077">
        <v>44378</v>
      </c>
      <c r="V36" s="1078">
        <v>44469</v>
      </c>
      <c r="W36" s="1079"/>
      <c r="X36" s="1066"/>
      <c r="Y36" s="1066"/>
    </row>
    <row r="37" ht="12" customHeight="1">
      <c r="A37" s="618" t="s">
        <v>24</v>
      </c>
      <c r="B37" s="245">
        <v>2218</v>
      </c>
      <c r="C37" s="1039" t="s">
        <v>953</v>
      </c>
      <c r="D37" s="491" t="s">
        <v>34</v>
      </c>
      <c r="E37" s="618" t="s">
        <v>312</v>
      </c>
      <c r="F37" s="240" t="s">
        <v>87</v>
      </c>
      <c r="G37" s="244">
        <v>2654096</v>
      </c>
      <c r="H37" s="244"/>
      <c r="I37" s="304">
        <f t="shared" si="6"/>
        <v>129785.2944</v>
      </c>
      <c r="J37" s="304">
        <f t="shared" si="7"/>
        <v>106163.84</v>
      </c>
      <c r="K37" s="304">
        <f t="shared" si="8"/>
        <v>53081.92</v>
      </c>
      <c r="L37" s="304">
        <v>15000</v>
      </c>
      <c r="M37" s="295">
        <f t="shared" si="16"/>
        <v>2958127.0544</v>
      </c>
      <c r="N37" s="510">
        <f t="shared" si="11"/>
        <v>236650.164352</v>
      </c>
      <c r="O37" s="1053">
        <f>+VLOOKUP(C37,[7]Summary!$C$207:$E$248,3,0)</f>
        <v>470000</v>
      </c>
      <c r="P37" s="528"/>
      <c r="Q37" s="300"/>
      <c r="R37" s="300">
        <f t="shared" si="12"/>
        <v>3664777.2187519995</v>
      </c>
      <c r="S37" s="300">
        <f t="shared" si="13"/>
        <v>23665.0164352</v>
      </c>
      <c r="T37" s="416">
        <f t="shared" si="14"/>
        <v>3688442.2351871994</v>
      </c>
      <c r="U37" s="1077">
        <v>44378</v>
      </c>
      <c r="V37" s="1078">
        <v>44469</v>
      </c>
      <c r="W37" s="1079"/>
      <c r="X37" s="1066"/>
      <c r="Y37" s="1066"/>
    </row>
    <row r="38" ht="12" customHeight="1">
      <c r="A38" s="618" t="s">
        <v>24</v>
      </c>
      <c r="B38" s="245" t="s">
        <v>954</v>
      </c>
      <c r="C38" s="1039" t="s">
        <v>955</v>
      </c>
      <c r="D38" s="491" t="s">
        <v>34</v>
      </c>
      <c r="E38" s="618" t="s">
        <v>312</v>
      </c>
      <c r="F38" s="240" t="s">
        <v>87</v>
      </c>
      <c r="G38" s="244">
        <v>2654096</v>
      </c>
      <c r="H38" s="244"/>
      <c r="I38" s="304">
        <f t="shared" si="6"/>
        <v>129785.2944</v>
      </c>
      <c r="J38" s="304">
        <f t="shared" si="7"/>
        <v>106163.84</v>
      </c>
      <c r="K38" s="304">
        <f t="shared" si="8"/>
        <v>53081.92</v>
      </c>
      <c r="L38" s="304">
        <v>15000</v>
      </c>
      <c r="M38" s="295">
        <f t="shared" si="16"/>
        <v>2958127.0544</v>
      </c>
      <c r="N38" s="510">
        <f t="shared" si="11"/>
        <v>236650.164352</v>
      </c>
      <c r="O38" s="1053">
        <f>+VLOOKUP(C38,[7]Summary!$C$207:$E$248,3,0)</f>
        <v>720000</v>
      </c>
      <c r="P38" s="528"/>
      <c r="Q38" s="300"/>
      <c r="R38" s="300">
        <f t="shared" si="12"/>
        <v>3914777.2187519995</v>
      </c>
      <c r="S38" s="300">
        <f t="shared" si="13"/>
        <v>23665.0164352</v>
      </c>
      <c r="T38" s="416">
        <f t="shared" si="14"/>
        <v>3938442.2351871994</v>
      </c>
      <c r="U38" s="1077">
        <v>44409</v>
      </c>
      <c r="V38" s="1078">
        <v>44500</v>
      </c>
      <c r="W38" s="1079"/>
      <c r="X38" s="1066"/>
      <c r="Y38" s="1066"/>
    </row>
    <row r="39" ht="12" customHeight="1">
      <c r="A39" s="618" t="s">
        <v>24</v>
      </c>
      <c r="B39" s="245" t="s">
        <v>956</v>
      </c>
      <c r="C39" s="1039" t="s">
        <v>957</v>
      </c>
      <c r="D39" s="491" t="s">
        <v>34</v>
      </c>
      <c r="E39" s="618" t="s">
        <v>312</v>
      </c>
      <c r="F39" s="240" t="s">
        <v>87</v>
      </c>
      <c r="G39" s="244">
        <v>2654096</v>
      </c>
      <c r="H39" s="244"/>
      <c r="I39" s="304">
        <f t="shared" si="6"/>
        <v>129785.2944</v>
      </c>
      <c r="J39" s="304">
        <f t="shared" si="7"/>
        <v>106163.84</v>
      </c>
      <c r="K39" s="304">
        <f t="shared" si="8"/>
        <v>53081.92</v>
      </c>
      <c r="L39" s="304">
        <v>15000</v>
      </c>
      <c r="M39" s="295">
        <f t="shared" si="16"/>
        <v>2958127.0544</v>
      </c>
      <c r="N39" s="510">
        <f t="shared" si="11"/>
        <v>236650.164352</v>
      </c>
      <c r="O39" s="1053">
        <f>+VLOOKUP(C39,[7]Summary!$C$207:$E$248,3,0)</f>
        <v>430000</v>
      </c>
      <c r="P39" s="528"/>
      <c r="Q39" s="300"/>
      <c r="R39" s="300">
        <f t="shared" si="12"/>
        <v>3624777.2187519995</v>
      </c>
      <c r="S39" s="300">
        <f t="shared" si="13"/>
        <v>23665.0164352</v>
      </c>
      <c r="T39" s="416">
        <f t="shared" si="14"/>
        <v>3648442.2351871994</v>
      </c>
      <c r="U39" s="1077">
        <v>44409</v>
      </c>
      <c r="V39" s="1078">
        <v>44500</v>
      </c>
      <c r="W39" s="1079"/>
      <c r="X39" s="1066"/>
      <c r="Y39" s="1066"/>
    </row>
    <row r="40" ht="12" customHeight="1">
      <c r="A40" s="618" t="s">
        <v>24</v>
      </c>
      <c r="B40" s="245" t="s">
        <v>958</v>
      </c>
      <c r="C40" s="1039" t="s">
        <v>959</v>
      </c>
      <c r="D40" s="491" t="s">
        <v>34</v>
      </c>
      <c r="E40" s="618" t="s">
        <v>312</v>
      </c>
      <c r="F40" s="240" t="s">
        <v>87</v>
      </c>
      <c r="G40" s="244">
        <v>2654096</v>
      </c>
      <c r="H40" s="244"/>
      <c r="I40" s="304">
        <f t="shared" si="6"/>
        <v>129785.2944</v>
      </c>
      <c r="J40" s="304">
        <f t="shared" si="7"/>
        <v>106163.84</v>
      </c>
      <c r="K40" s="304">
        <f t="shared" si="8"/>
        <v>53081.92</v>
      </c>
      <c r="L40" s="304">
        <v>15000</v>
      </c>
      <c r="M40" s="295">
        <f t="shared" si="16"/>
        <v>2958127.0544</v>
      </c>
      <c r="N40" s="510">
        <f t="shared" si="11"/>
        <v>236650.164352</v>
      </c>
      <c r="O40" s="1053">
        <f>+VLOOKUP(C40,[7]Summary!$C$207:$E$248,3,0)</f>
        <v>472500</v>
      </c>
      <c r="P40" s="528"/>
      <c r="Q40" s="300"/>
      <c r="R40" s="300">
        <f t="shared" si="12"/>
        <v>3667277.2187519995</v>
      </c>
      <c r="S40" s="300">
        <f t="shared" si="13"/>
        <v>23665.0164352</v>
      </c>
      <c r="T40" s="416">
        <f t="shared" si="14"/>
        <v>3690942.2351871994</v>
      </c>
      <c r="U40" s="1077">
        <v>44409</v>
      </c>
      <c r="V40" s="1078">
        <v>44500</v>
      </c>
      <c r="W40" s="1079"/>
      <c r="X40" s="1066"/>
      <c r="Y40" s="1066"/>
    </row>
    <row r="41" ht="12" customHeight="1">
      <c r="A41" s="618" t="s">
        <v>24</v>
      </c>
      <c r="B41" s="245" t="s">
        <v>960</v>
      </c>
      <c r="C41" s="1039" t="s">
        <v>961</v>
      </c>
      <c r="D41" s="491" t="s">
        <v>34</v>
      </c>
      <c r="E41" s="618" t="s">
        <v>312</v>
      </c>
      <c r="F41" s="240" t="s">
        <v>87</v>
      </c>
      <c r="G41" s="244">
        <v>2654096</v>
      </c>
      <c r="H41" s="244"/>
      <c r="I41" s="304">
        <f t="shared" si="6"/>
        <v>129785.2944</v>
      </c>
      <c r="J41" s="304">
        <f t="shared" si="7"/>
        <v>106163.84</v>
      </c>
      <c r="K41" s="304">
        <f t="shared" si="8"/>
        <v>53081.92</v>
      </c>
      <c r="L41" s="304">
        <v>15000</v>
      </c>
      <c r="M41" s="295">
        <f t="shared" si="16"/>
        <v>2958127.0544</v>
      </c>
      <c r="N41" s="510">
        <f t="shared" si="11"/>
        <v>236650.164352</v>
      </c>
      <c r="O41" s="1053">
        <f>+VLOOKUP(C41,[7]Summary!$C$207:$E$248,3,0)</f>
        <v>460000</v>
      </c>
      <c r="P41" s="528"/>
      <c r="Q41" s="300"/>
      <c r="R41" s="300">
        <f t="shared" si="12"/>
        <v>3654777.2187519995</v>
      </c>
      <c r="S41" s="300">
        <f t="shared" si="13"/>
        <v>23665.0164352</v>
      </c>
      <c r="T41" s="416">
        <f t="shared" si="14"/>
        <v>3678442.2351871994</v>
      </c>
      <c r="U41" s="1077">
        <v>44409</v>
      </c>
      <c r="V41" s="1078">
        <v>44500</v>
      </c>
      <c r="W41" s="1079"/>
      <c r="X41" s="1066"/>
      <c r="Y41" s="1066"/>
    </row>
    <row r="42" ht="12" customHeight="1">
      <c r="A42" s="618" t="s">
        <v>24</v>
      </c>
      <c r="B42" s="245" t="s">
        <v>962</v>
      </c>
      <c r="C42" s="1039" t="s">
        <v>963</v>
      </c>
      <c r="D42" s="491" t="s">
        <v>34</v>
      </c>
      <c r="E42" s="618" t="s">
        <v>312</v>
      </c>
      <c r="F42" s="240" t="s">
        <v>87</v>
      </c>
      <c r="G42" s="244">
        <v>2654096</v>
      </c>
      <c r="H42" s="244"/>
      <c r="I42" s="304">
        <f t="shared" si="6"/>
        <v>129785.2944</v>
      </c>
      <c r="J42" s="304">
        <f t="shared" si="7"/>
        <v>106163.84</v>
      </c>
      <c r="K42" s="304">
        <f t="shared" si="8"/>
        <v>53081.92</v>
      </c>
      <c r="L42" s="304">
        <v>15000</v>
      </c>
      <c r="M42" s="295">
        <f t="shared" si="16"/>
        <v>2958127.0544</v>
      </c>
      <c r="N42" s="510">
        <f t="shared" si="11"/>
        <v>236650.164352</v>
      </c>
      <c r="O42" s="1053">
        <f>+VLOOKUP(C42,[7]Summary!$C$207:$E$248,3,0)</f>
        <v>765000</v>
      </c>
      <c r="P42" s="528"/>
      <c r="Q42" s="300"/>
      <c r="R42" s="300">
        <f t="shared" si="12"/>
        <v>3959777.2187519995</v>
      </c>
      <c r="S42" s="300">
        <f t="shared" si="13"/>
        <v>23665.0164352</v>
      </c>
      <c r="T42" s="416">
        <f t="shared" si="14"/>
        <v>3983442.2351871994</v>
      </c>
      <c r="U42" s="1077">
        <v>44409</v>
      </c>
      <c r="V42" s="1078">
        <v>44500</v>
      </c>
      <c r="W42" s="1079"/>
      <c r="X42" s="1066"/>
      <c r="Y42" s="1066"/>
    </row>
    <row r="43" ht="12" customHeight="1">
      <c r="A43" s="618" t="s">
        <v>24</v>
      </c>
      <c r="B43" s="245" t="s">
        <v>964</v>
      </c>
      <c r="C43" s="1039" t="s">
        <v>965</v>
      </c>
      <c r="D43" s="491" t="s">
        <v>34</v>
      </c>
      <c r="E43" s="618" t="s">
        <v>312</v>
      </c>
      <c r="F43" s="240" t="s">
        <v>87</v>
      </c>
      <c r="G43" s="244">
        <v>2654096</v>
      </c>
      <c r="H43" s="244"/>
      <c r="I43" s="304">
        <f t="shared" si="6"/>
        <v>129785.2944</v>
      </c>
      <c r="J43" s="304">
        <f t="shared" si="7"/>
        <v>106163.84</v>
      </c>
      <c r="K43" s="304">
        <f t="shared" si="8"/>
        <v>53081.92</v>
      </c>
      <c r="L43" s="304">
        <v>15000</v>
      </c>
      <c r="M43" s="295">
        <f t="shared" si="16"/>
        <v>2958127.0544</v>
      </c>
      <c r="N43" s="510">
        <f t="shared" si="11"/>
        <v>236650.164352</v>
      </c>
      <c r="O43" s="1053">
        <f>+VLOOKUP(C43,[7]Summary!$C$207:$E$248,3,0)</f>
        <v>635000</v>
      </c>
      <c r="P43" s="528"/>
      <c r="Q43" s="300"/>
      <c r="R43" s="300">
        <f t="shared" si="12"/>
        <v>3829777.2187519995</v>
      </c>
      <c r="S43" s="300">
        <f t="shared" si="13"/>
        <v>23665.0164352</v>
      </c>
      <c r="T43" s="416">
        <f t="shared" si="14"/>
        <v>3853442.2351871994</v>
      </c>
      <c r="U43" s="1077">
        <v>44409</v>
      </c>
      <c r="V43" s="1078">
        <v>44500</v>
      </c>
      <c r="W43" s="1079"/>
      <c r="X43" s="1066"/>
      <c r="Y43" s="1066"/>
    </row>
    <row r="44" ht="12" customHeight="1">
      <c r="A44" s="618" t="s">
        <v>24</v>
      </c>
      <c r="B44" s="245" t="s">
        <v>966</v>
      </c>
      <c r="C44" s="1039" t="s">
        <v>967</v>
      </c>
      <c r="D44" s="491" t="s">
        <v>34</v>
      </c>
      <c r="E44" s="618" t="s">
        <v>312</v>
      </c>
      <c r="F44" s="240" t="s">
        <v>87</v>
      </c>
      <c r="G44" s="244">
        <v>2654096</v>
      </c>
      <c r="H44" s="244"/>
      <c r="I44" s="304">
        <f t="shared" si="6"/>
        <v>129785.2944</v>
      </c>
      <c r="J44" s="304">
        <f t="shared" si="7"/>
        <v>106163.84</v>
      </c>
      <c r="K44" s="304">
        <f t="shared" si="8"/>
        <v>53081.92</v>
      </c>
      <c r="L44" s="304">
        <v>15000</v>
      </c>
      <c r="M44" s="295">
        <f t="shared" si="16"/>
        <v>2958127.0544</v>
      </c>
      <c r="N44" s="510">
        <f t="shared" si="11"/>
        <v>236650.164352</v>
      </c>
      <c r="O44" s="1053">
        <f>+VLOOKUP(C44,[7]Summary!$C$207:$E$248,3,0)</f>
        <v>467500</v>
      </c>
      <c r="P44" s="528"/>
      <c r="Q44" s="300"/>
      <c r="R44" s="300">
        <f t="shared" si="12"/>
        <v>3662277.2187519995</v>
      </c>
      <c r="S44" s="300">
        <f t="shared" si="13"/>
        <v>23665.0164352</v>
      </c>
      <c r="T44" s="416">
        <f t="shared" si="14"/>
        <v>3685942.2351871994</v>
      </c>
      <c r="U44" s="1077">
        <v>44336</v>
      </c>
      <c r="V44" s="1078">
        <v>44439</v>
      </c>
      <c r="W44" s="1079"/>
      <c r="X44" s="1066"/>
      <c r="Y44" s="1066"/>
    </row>
    <row r="45" ht="12" customHeight="1">
      <c r="A45" s="618" t="s">
        <v>24</v>
      </c>
      <c r="B45" s="245" t="s">
        <v>968</v>
      </c>
      <c r="C45" s="1039" t="s">
        <v>969</v>
      </c>
      <c r="D45" s="491" t="s">
        <v>34</v>
      </c>
      <c r="E45" s="618" t="s">
        <v>312</v>
      </c>
      <c r="F45" s="240" t="s">
        <v>87</v>
      </c>
      <c r="G45" s="244">
        <v>2654096</v>
      </c>
      <c r="H45" s="244"/>
      <c r="I45" s="304">
        <f t="shared" si="6"/>
        <v>129785.2944</v>
      </c>
      <c r="J45" s="304">
        <f t="shared" si="7"/>
        <v>106163.84</v>
      </c>
      <c r="K45" s="304">
        <f t="shared" si="8"/>
        <v>53081.92</v>
      </c>
      <c r="L45" s="304">
        <v>15000</v>
      </c>
      <c r="M45" s="295">
        <f t="shared" si="16"/>
        <v>2958127.0544</v>
      </c>
      <c r="N45" s="510">
        <f ref="N45:N62" t="shared" si="17">+M45*8%</f>
        <v>236650.164352</v>
      </c>
      <c r="O45" s="1053">
        <f>+VLOOKUP(C45,[7]Summary!$C$207:$E$248,3,0)</f>
        <v>517500</v>
      </c>
      <c r="P45" s="528"/>
      <c r="Q45" s="300"/>
      <c r="R45" s="300">
        <f ref="R45:R62" t="shared" si="18">SUM(M45:Q45)</f>
        <v>3712277.2187519995</v>
      </c>
      <c r="S45" s="300">
        <f ref="S45:S62" t="shared" si="19">N45*0.1</f>
        <v>23665.0164352</v>
      </c>
      <c r="T45" s="416">
        <f ref="T45:T62" t="shared" si="20">R45+S45</f>
        <v>3735942.2351871994</v>
      </c>
      <c r="U45" s="1077">
        <v>44336</v>
      </c>
      <c r="V45" s="1078">
        <v>44439</v>
      </c>
      <c r="W45" s="1079"/>
      <c r="X45" s="1066"/>
      <c r="Y45" s="1066"/>
    </row>
    <row r="46" ht="12" customHeight="1">
      <c r="A46" s="618" t="s">
        <v>24</v>
      </c>
      <c r="B46" s="1034" t="s">
        <v>970</v>
      </c>
      <c r="C46" s="1035" t="s">
        <v>971</v>
      </c>
      <c r="D46" s="1036" t="s">
        <v>34</v>
      </c>
      <c r="E46" s="1037" t="s">
        <v>312</v>
      </c>
      <c r="F46" s="628" t="s">
        <v>87</v>
      </c>
      <c r="G46" s="629">
        <v>2654096</v>
      </c>
      <c r="H46" s="629"/>
      <c r="I46" s="649">
        <f t="shared" si="6"/>
        <v>129785.2944</v>
      </c>
      <c r="J46" s="649">
        <f t="shared" si="7"/>
        <v>106163.84</v>
      </c>
      <c r="K46" s="649">
        <f t="shared" si="8"/>
        <v>53081.92</v>
      </c>
      <c r="L46" s="649">
        <v>15000</v>
      </c>
      <c r="M46" s="295">
        <f t="shared" si="16"/>
        <v>2958127.0544</v>
      </c>
      <c r="N46" s="1049">
        <f t="shared" si="17"/>
        <v>236650.164352</v>
      </c>
      <c r="O46" s="1053">
        <f>+VLOOKUP(C46,[7]Summary!$C$207:$E$248,3,0)</f>
        <v>457500</v>
      </c>
      <c r="P46" s="1051"/>
      <c r="Q46" s="666"/>
      <c r="R46" s="666">
        <f t="shared" si="18"/>
        <v>3652277.2187519995</v>
      </c>
      <c r="S46" s="666">
        <f t="shared" si="19"/>
        <v>23665.0164352</v>
      </c>
      <c r="T46" s="667">
        <f t="shared" si="20"/>
        <v>3675942.2351871994</v>
      </c>
      <c r="U46" s="1067">
        <v>44385</v>
      </c>
      <c r="V46" s="1068">
        <v>44469</v>
      </c>
      <c r="W46" s="1069"/>
      <c r="X46" s="1070"/>
      <c r="Y46" s="1070"/>
    </row>
    <row r="47" ht="12" customHeight="1">
      <c r="A47" s="618" t="s">
        <v>24</v>
      </c>
      <c r="B47" s="1034" t="s">
        <v>972</v>
      </c>
      <c r="C47" s="1035" t="s">
        <v>973</v>
      </c>
      <c r="D47" s="1036" t="s">
        <v>34</v>
      </c>
      <c r="E47" s="1037" t="s">
        <v>312</v>
      </c>
      <c r="F47" s="628" t="s">
        <v>87</v>
      </c>
      <c r="G47" s="629">
        <v>2654096</v>
      </c>
      <c r="H47" s="629"/>
      <c r="I47" s="649">
        <f t="shared" si="6"/>
        <v>129785.2944</v>
      </c>
      <c r="J47" s="649">
        <f t="shared" si="7"/>
        <v>106163.84</v>
      </c>
      <c r="K47" s="649">
        <f t="shared" si="8"/>
        <v>53081.92</v>
      </c>
      <c r="L47" s="649">
        <v>15000</v>
      </c>
      <c r="M47" s="295">
        <f t="shared" si="16"/>
        <v>2958127.0544</v>
      </c>
      <c r="N47" s="1049">
        <f t="shared" si="17"/>
        <v>236650.164352</v>
      </c>
      <c r="O47" s="1053">
        <v>627500</v>
      </c>
      <c r="P47" s="1051"/>
      <c r="Q47" s="666"/>
      <c r="R47" s="666">
        <f t="shared" si="18"/>
        <v>3822277.2187519995</v>
      </c>
      <c r="S47" s="666">
        <f t="shared" si="19"/>
        <v>23665.0164352</v>
      </c>
      <c r="T47" s="667">
        <f t="shared" si="20"/>
        <v>3845942.2351871994</v>
      </c>
      <c r="U47" s="1067">
        <v>44385</v>
      </c>
      <c r="V47" s="1068">
        <v>44469</v>
      </c>
      <c r="W47" s="1069"/>
      <c r="X47" s="1070"/>
      <c r="Y47" s="1070"/>
    </row>
    <row r="48" ht="12" customHeight="1">
      <c r="A48" s="618" t="s">
        <v>24</v>
      </c>
      <c r="B48" s="1034" t="s">
        <v>974</v>
      </c>
      <c r="C48" s="1035" t="s">
        <v>975</v>
      </c>
      <c r="D48" s="1036" t="s">
        <v>34</v>
      </c>
      <c r="E48" s="1037" t="s">
        <v>312</v>
      </c>
      <c r="F48" s="628" t="s">
        <v>87</v>
      </c>
      <c r="G48" s="629">
        <v>2654096</v>
      </c>
      <c r="H48" s="629"/>
      <c r="I48" s="649">
        <f t="shared" si="6"/>
        <v>129785.2944</v>
      </c>
      <c r="J48" s="649">
        <f t="shared" si="7"/>
        <v>106163.84</v>
      </c>
      <c r="K48" s="649">
        <f t="shared" si="8"/>
        <v>53081.92</v>
      </c>
      <c r="L48" s="649">
        <v>15000</v>
      </c>
      <c r="M48" s="295">
        <f t="shared" si="16"/>
        <v>2958127.0544</v>
      </c>
      <c r="N48" s="1049">
        <f t="shared" si="17"/>
        <v>236650.164352</v>
      </c>
      <c r="O48" s="1053">
        <f>+VLOOKUP(C48,[7]Summary!$C$207:$E$248,3,0)</f>
        <v>722500</v>
      </c>
      <c r="P48" s="1051"/>
      <c r="Q48" s="666"/>
      <c r="R48" s="666">
        <f t="shared" si="18"/>
        <v>3917277.2187519995</v>
      </c>
      <c r="S48" s="666">
        <f t="shared" si="19"/>
        <v>23665.0164352</v>
      </c>
      <c r="T48" s="667">
        <f t="shared" si="20"/>
        <v>3940942.2351871994</v>
      </c>
      <c r="U48" s="1067">
        <v>44384</v>
      </c>
      <c r="V48" s="1068">
        <v>44469</v>
      </c>
      <c r="W48" s="1069"/>
      <c r="X48" s="1070"/>
      <c r="Y48" s="1070"/>
    </row>
    <row r="49" ht="12" customHeight="1">
      <c r="A49" s="618" t="s">
        <v>24</v>
      </c>
      <c r="B49" s="1034" t="s">
        <v>976</v>
      </c>
      <c r="C49" s="1035" t="s">
        <v>977</v>
      </c>
      <c r="D49" s="1036" t="s">
        <v>34</v>
      </c>
      <c r="E49" s="1037" t="s">
        <v>312</v>
      </c>
      <c r="F49" s="628" t="s">
        <v>87</v>
      </c>
      <c r="G49" s="629">
        <v>2654096</v>
      </c>
      <c r="H49" s="629"/>
      <c r="I49" s="649">
        <f t="shared" si="6"/>
        <v>129785.2944</v>
      </c>
      <c r="J49" s="649">
        <f t="shared" si="7"/>
        <v>106163.84</v>
      </c>
      <c r="K49" s="649">
        <f t="shared" si="8"/>
        <v>53081.92</v>
      </c>
      <c r="L49" s="649">
        <v>15000</v>
      </c>
      <c r="M49" s="295">
        <f t="shared" si="16"/>
        <v>2958127.0544</v>
      </c>
      <c r="N49" s="1049">
        <f t="shared" si="17"/>
        <v>236650.164352</v>
      </c>
      <c r="O49" s="1053">
        <f>+VLOOKUP(C49,[7]Summary!$C$207:$E$248,3,0)</f>
        <v>387500</v>
      </c>
      <c r="P49" s="1051"/>
      <c r="Q49" s="666"/>
      <c r="R49" s="666">
        <f t="shared" si="18"/>
        <v>3582277.2187519995</v>
      </c>
      <c r="S49" s="666">
        <f t="shared" si="19"/>
        <v>23665.0164352</v>
      </c>
      <c r="T49" s="667">
        <f t="shared" si="20"/>
        <v>3605942.2351871994</v>
      </c>
      <c r="U49" s="1067">
        <v>44383</v>
      </c>
      <c r="V49" s="1068">
        <v>44469</v>
      </c>
      <c r="W49" s="1069"/>
      <c r="X49" s="1070"/>
      <c r="Y49" s="1070"/>
    </row>
    <row r="50" ht="12" customHeight="1">
      <c r="A50" s="618" t="s">
        <v>24</v>
      </c>
      <c r="B50" s="1034" t="s">
        <v>978</v>
      </c>
      <c r="C50" s="1035" t="s">
        <v>979</v>
      </c>
      <c r="D50" s="1036" t="s">
        <v>34</v>
      </c>
      <c r="E50" s="1037" t="s">
        <v>312</v>
      </c>
      <c r="F50" s="628" t="s">
        <v>87</v>
      </c>
      <c r="G50" s="629">
        <v>2654096</v>
      </c>
      <c r="H50" s="629"/>
      <c r="I50" s="649">
        <f t="shared" si="6"/>
        <v>129785.2944</v>
      </c>
      <c r="J50" s="649">
        <f t="shared" si="7"/>
        <v>106163.84</v>
      </c>
      <c r="K50" s="649">
        <f t="shared" si="8"/>
        <v>53081.92</v>
      </c>
      <c r="L50" s="649">
        <v>15000</v>
      </c>
      <c r="M50" s="295">
        <f t="shared" si="16"/>
        <v>2958127.0544</v>
      </c>
      <c r="N50" s="1049">
        <f t="shared" si="17"/>
        <v>236650.164352</v>
      </c>
      <c r="O50" s="1053">
        <v>285000</v>
      </c>
      <c r="P50" s="1051"/>
      <c r="Q50" s="666"/>
      <c r="R50" s="666">
        <f t="shared" si="18"/>
        <v>3479777.2187519995</v>
      </c>
      <c r="S50" s="666">
        <f t="shared" si="19"/>
        <v>23665.0164352</v>
      </c>
      <c r="T50" s="667">
        <f t="shared" si="20"/>
        <v>3503442.2351871994</v>
      </c>
      <c r="U50" s="1067">
        <v>44393</v>
      </c>
      <c r="V50" s="1068">
        <v>44469</v>
      </c>
      <c r="W50" s="1069"/>
      <c r="X50" s="1070"/>
      <c r="Y50" s="1070"/>
    </row>
    <row r="51" ht="12" customHeight="1">
      <c r="A51" s="618" t="s">
        <v>24</v>
      </c>
      <c r="B51" s="1034" t="s">
        <v>980</v>
      </c>
      <c r="C51" s="1035" t="s">
        <v>981</v>
      </c>
      <c r="D51" s="1036" t="s">
        <v>34</v>
      </c>
      <c r="E51" s="1037" t="s">
        <v>312</v>
      </c>
      <c r="F51" s="628" t="s">
        <v>87</v>
      </c>
      <c r="G51" s="629">
        <v>2654096</v>
      </c>
      <c r="H51" s="629"/>
      <c r="I51" s="649">
        <f t="shared" si="6"/>
        <v>129785.2944</v>
      </c>
      <c r="J51" s="649">
        <f t="shared" si="7"/>
        <v>106163.84</v>
      </c>
      <c r="K51" s="649">
        <f t="shared" si="8"/>
        <v>53081.92</v>
      </c>
      <c r="L51" s="649">
        <v>15000</v>
      </c>
      <c r="M51" s="295">
        <f t="shared" si="16"/>
        <v>2958127.0544</v>
      </c>
      <c r="N51" s="1049">
        <f t="shared" si="17"/>
        <v>236650.164352</v>
      </c>
      <c r="O51" s="1053">
        <f>+VLOOKUP(C51,[7]Summary!$C$207:$E$248,3,0)</f>
        <v>355000</v>
      </c>
      <c r="P51" s="1051"/>
      <c r="Q51" s="666"/>
      <c r="R51" s="666">
        <f t="shared" si="18"/>
        <v>3549777.2187519995</v>
      </c>
      <c r="S51" s="666">
        <f t="shared" si="19"/>
        <v>23665.0164352</v>
      </c>
      <c r="T51" s="667">
        <f t="shared" si="20"/>
        <v>3573442.2351871994</v>
      </c>
      <c r="U51" s="1067">
        <v>44392</v>
      </c>
      <c r="V51" s="1068">
        <v>44469</v>
      </c>
      <c r="W51" s="1069"/>
      <c r="X51" s="1070"/>
      <c r="Y51" s="1070"/>
    </row>
    <row r="52" ht="12" customHeight="1">
      <c r="A52" s="618" t="s">
        <v>24</v>
      </c>
      <c r="B52" s="1034" t="s">
        <v>982</v>
      </c>
      <c r="C52" s="1035" t="s">
        <v>983</v>
      </c>
      <c r="D52" s="1036" t="s">
        <v>34</v>
      </c>
      <c r="E52" s="1037" t="s">
        <v>312</v>
      </c>
      <c r="F52" s="628" t="s">
        <v>87</v>
      </c>
      <c r="G52" s="629">
        <v>2654096</v>
      </c>
      <c r="H52" s="629"/>
      <c r="I52" s="649">
        <f t="shared" si="6"/>
        <v>129785.2944</v>
      </c>
      <c r="J52" s="649">
        <f t="shared" si="7"/>
        <v>106163.84</v>
      </c>
      <c r="K52" s="649">
        <f t="shared" si="8"/>
        <v>53081.92</v>
      </c>
      <c r="L52" s="649">
        <v>15000</v>
      </c>
      <c r="M52" s="295">
        <f t="shared" si="16"/>
        <v>2958127.0544</v>
      </c>
      <c r="N52" s="1049">
        <f t="shared" si="17"/>
        <v>236650.164352</v>
      </c>
      <c r="O52" s="1053">
        <f>+VLOOKUP(C52,[7]Summary!$C$207:$E$248,3,0)</f>
        <v>230000</v>
      </c>
      <c r="P52" s="1051"/>
      <c r="Q52" s="666"/>
      <c r="R52" s="666">
        <f t="shared" si="18"/>
        <v>3424777.2187519995</v>
      </c>
      <c r="S52" s="666">
        <f t="shared" si="19"/>
        <v>23665.0164352</v>
      </c>
      <c r="T52" s="667">
        <f t="shared" si="20"/>
        <v>3448442.2351871994</v>
      </c>
      <c r="U52" s="1067">
        <v>44391</v>
      </c>
      <c r="V52" s="1068">
        <v>44469</v>
      </c>
      <c r="W52" s="1069"/>
      <c r="X52" s="1070"/>
      <c r="Y52" s="1070"/>
    </row>
    <row r="53" ht="12" customHeight="1">
      <c r="A53" s="618" t="s">
        <v>24</v>
      </c>
      <c r="B53" s="1034" t="s">
        <v>984</v>
      </c>
      <c r="C53" s="1035" t="s">
        <v>985</v>
      </c>
      <c r="D53" s="1036" t="s">
        <v>34</v>
      </c>
      <c r="E53" s="1037" t="s">
        <v>312</v>
      </c>
      <c r="F53" s="628" t="s">
        <v>87</v>
      </c>
      <c r="G53" s="629">
        <v>2654096</v>
      </c>
      <c r="H53" s="629"/>
      <c r="I53" s="649">
        <f t="shared" si="6"/>
        <v>129785.2944</v>
      </c>
      <c r="J53" s="649">
        <f t="shared" si="7"/>
        <v>106163.84</v>
      </c>
      <c r="K53" s="649">
        <f t="shared" si="8"/>
        <v>53081.92</v>
      </c>
      <c r="L53" s="649">
        <v>15000</v>
      </c>
      <c r="M53" s="295">
        <f t="shared" si="16"/>
        <v>2958127.0544</v>
      </c>
      <c r="N53" s="1049">
        <f t="shared" si="17"/>
        <v>236650.164352</v>
      </c>
      <c r="O53" s="1053">
        <v>277500</v>
      </c>
      <c r="P53" s="1051"/>
      <c r="Q53" s="666"/>
      <c r="R53" s="666">
        <f t="shared" si="18"/>
        <v>3472277.2187519995</v>
      </c>
      <c r="S53" s="666">
        <f t="shared" si="19"/>
        <v>23665.0164352</v>
      </c>
      <c r="T53" s="667">
        <f t="shared" si="20"/>
        <v>3495942.2351871994</v>
      </c>
      <c r="U53" s="1067">
        <v>44393</v>
      </c>
      <c r="V53" s="1068">
        <v>44469</v>
      </c>
      <c r="W53" s="1069"/>
      <c r="X53" s="1070"/>
      <c r="Y53" s="1070"/>
    </row>
    <row r="54" ht="12" customHeight="1">
      <c r="A54" s="618" t="s">
        <v>24</v>
      </c>
      <c r="B54" s="1034">
        <v>2862</v>
      </c>
      <c r="C54" s="1035" t="s">
        <v>986</v>
      </c>
      <c r="D54" s="1036" t="s">
        <v>34</v>
      </c>
      <c r="E54" s="1037" t="s">
        <v>312</v>
      </c>
      <c r="F54" s="628" t="s">
        <v>87</v>
      </c>
      <c r="G54" s="629">
        <f ref="G54:G58" t="shared" si="21">2654096/31*4</f>
        <v>342464</v>
      </c>
      <c r="H54" s="629"/>
      <c r="I54" s="649">
        <f t="shared" si="6"/>
        <v>129785.2944</v>
      </c>
      <c r="J54" s="649">
        <f t="shared" si="7"/>
        <v>106163.84</v>
      </c>
      <c r="K54" s="649">
        <f t="shared" si="8"/>
        <v>53081.92</v>
      </c>
      <c r="L54" s="649">
        <v>15000</v>
      </c>
      <c r="M54" s="295">
        <f t="shared" si="16"/>
        <v>646495.0544</v>
      </c>
      <c r="N54" s="1049">
        <f t="shared" si="17"/>
        <v>51719.604352</v>
      </c>
      <c r="O54" s="1053"/>
      <c r="P54" s="1051"/>
      <c r="Q54" s="666"/>
      <c r="R54" s="666">
        <f t="shared" si="18"/>
        <v>698214.6587520001</v>
      </c>
      <c r="S54" s="666">
        <f t="shared" si="19"/>
        <v>5171.960435200001</v>
      </c>
      <c r="T54" s="667">
        <f t="shared" si="20"/>
        <v>703386.6191872001</v>
      </c>
      <c r="U54" s="1067">
        <v>44420</v>
      </c>
      <c r="V54" s="1068">
        <v>44500</v>
      </c>
      <c r="W54" s="1069"/>
      <c r="X54" s="1070"/>
      <c r="Y54" s="1070"/>
    </row>
    <row r="55" ht="12" customHeight="1">
      <c r="A55" s="618" t="s">
        <v>24</v>
      </c>
      <c r="B55" s="1034">
        <v>2863</v>
      </c>
      <c r="C55" s="1035" t="s">
        <v>574</v>
      </c>
      <c r="D55" s="1036" t="s">
        <v>34</v>
      </c>
      <c r="E55" s="1037" t="s">
        <v>312</v>
      </c>
      <c r="F55" s="628" t="s">
        <v>87</v>
      </c>
      <c r="G55" s="629">
        <f t="shared" si="21"/>
        <v>342464</v>
      </c>
      <c r="H55" s="629"/>
      <c r="I55" s="649">
        <f t="shared" si="6"/>
        <v>129785.2944</v>
      </c>
      <c r="J55" s="649">
        <f t="shared" si="7"/>
        <v>106163.84</v>
      </c>
      <c r="K55" s="649">
        <f t="shared" si="8"/>
        <v>53081.92</v>
      </c>
      <c r="L55" s="649">
        <v>15000</v>
      </c>
      <c r="M55" s="295">
        <f t="shared" si="16"/>
        <v>646495.0544</v>
      </c>
      <c r="N55" s="1049">
        <f t="shared" si="17"/>
        <v>51719.604352</v>
      </c>
      <c r="O55" s="1053"/>
      <c r="P55" s="1051"/>
      <c r="Q55" s="666"/>
      <c r="R55" s="666">
        <f t="shared" si="18"/>
        <v>698214.6587520001</v>
      </c>
      <c r="S55" s="666">
        <f t="shared" si="19"/>
        <v>5171.960435200001</v>
      </c>
      <c r="T55" s="667">
        <f t="shared" si="20"/>
        <v>703386.6191872001</v>
      </c>
      <c r="U55" s="1067" t="s">
        <v>987</v>
      </c>
      <c r="V55" s="1068">
        <v>44500</v>
      </c>
      <c r="W55" s="1069"/>
      <c r="X55" s="1070"/>
      <c r="Y55" s="1070"/>
    </row>
    <row r="56" ht="12" customHeight="1">
      <c r="A56" s="618" t="s">
        <v>24</v>
      </c>
      <c r="B56" s="1034">
        <v>2864</v>
      </c>
      <c r="C56" s="1035" t="s">
        <v>988</v>
      </c>
      <c r="D56" s="1036" t="s">
        <v>34</v>
      </c>
      <c r="E56" s="1037" t="s">
        <v>312</v>
      </c>
      <c r="F56" s="628" t="s">
        <v>87</v>
      </c>
      <c r="G56" s="629">
        <f>2654096/31*9</f>
        <v>770544</v>
      </c>
      <c r="H56" s="629"/>
      <c r="I56" s="649">
        <f t="shared" si="6"/>
        <v>129785.2944</v>
      </c>
      <c r="J56" s="649">
        <f t="shared" si="7"/>
        <v>106163.84</v>
      </c>
      <c r="K56" s="649">
        <f t="shared" si="8"/>
        <v>53081.92</v>
      </c>
      <c r="L56" s="649">
        <v>15000</v>
      </c>
      <c r="M56" s="295">
        <f t="shared" si="16"/>
        <v>1074575.0544</v>
      </c>
      <c r="N56" s="1049">
        <f t="shared" si="17"/>
        <v>85966.004352</v>
      </c>
      <c r="O56" s="1053"/>
      <c r="P56" s="1051"/>
      <c r="Q56" s="666"/>
      <c r="R56" s="666">
        <f t="shared" si="18"/>
        <v>1160541.058752</v>
      </c>
      <c r="S56" s="666">
        <f t="shared" si="19"/>
        <v>8596.6004352</v>
      </c>
      <c r="T56" s="667">
        <f t="shared" si="20"/>
        <v>1169137.6591872</v>
      </c>
      <c r="U56" s="1067">
        <v>44415</v>
      </c>
      <c r="V56" s="1068">
        <v>44500</v>
      </c>
      <c r="W56" s="1069"/>
      <c r="X56" s="1070"/>
      <c r="Y56" s="1070"/>
    </row>
    <row r="57" ht="12" customHeight="1">
      <c r="A57" s="618" t="s">
        <v>24</v>
      </c>
      <c r="B57" s="1034">
        <v>2865</v>
      </c>
      <c r="C57" s="1035" t="s">
        <v>989</v>
      </c>
      <c r="D57" s="1036" t="s">
        <v>34</v>
      </c>
      <c r="E57" s="1037" t="s">
        <v>312</v>
      </c>
      <c r="F57" s="628" t="s">
        <v>87</v>
      </c>
      <c r="G57" s="629">
        <f t="shared" si="21"/>
        <v>342464</v>
      </c>
      <c r="H57" s="629"/>
      <c r="I57" s="649">
        <f t="shared" si="6"/>
        <v>129785.2944</v>
      </c>
      <c r="J57" s="649">
        <f t="shared" si="7"/>
        <v>106163.84</v>
      </c>
      <c r="K57" s="649">
        <f t="shared" si="8"/>
        <v>53081.92</v>
      </c>
      <c r="L57" s="649">
        <v>15000</v>
      </c>
      <c r="M57" s="295">
        <f t="shared" si="16"/>
        <v>646495.0544</v>
      </c>
      <c r="N57" s="1049">
        <f t="shared" si="17"/>
        <v>51719.604352</v>
      </c>
      <c r="O57" s="1053"/>
      <c r="P57" s="1051"/>
      <c r="Q57" s="666"/>
      <c r="R57" s="666">
        <f t="shared" si="18"/>
        <v>698214.6587520001</v>
      </c>
      <c r="S57" s="666">
        <f t="shared" si="19"/>
        <v>5171.960435200001</v>
      </c>
      <c r="T57" s="667">
        <f t="shared" si="20"/>
        <v>703386.6191872001</v>
      </c>
      <c r="U57" s="1067">
        <v>44420</v>
      </c>
      <c r="V57" s="1068">
        <v>44500</v>
      </c>
      <c r="W57" s="1069"/>
      <c r="X57" s="1070"/>
      <c r="Y57" s="1070"/>
    </row>
    <row r="58" ht="12" customHeight="1">
      <c r="A58" s="618" t="s">
        <v>24</v>
      </c>
      <c r="B58" s="1034">
        <v>2866</v>
      </c>
      <c r="C58" s="1035" t="s">
        <v>990</v>
      </c>
      <c r="D58" s="1036" t="s">
        <v>34</v>
      </c>
      <c r="E58" s="1037" t="s">
        <v>312</v>
      </c>
      <c r="F58" s="628" t="s">
        <v>87</v>
      </c>
      <c r="G58" s="629">
        <f t="shared" si="21"/>
        <v>342464</v>
      </c>
      <c r="H58" s="629"/>
      <c r="I58" s="649">
        <f t="shared" si="6"/>
        <v>129785.2944</v>
      </c>
      <c r="J58" s="649">
        <f t="shared" si="7"/>
        <v>106163.84</v>
      </c>
      <c r="K58" s="649">
        <f t="shared" si="8"/>
        <v>53081.92</v>
      </c>
      <c r="L58" s="649">
        <v>15000</v>
      </c>
      <c r="M58" s="295">
        <f t="shared" si="16"/>
        <v>646495.0544</v>
      </c>
      <c r="N58" s="1049">
        <f t="shared" si="17"/>
        <v>51719.604352</v>
      </c>
      <c r="O58" s="1053"/>
      <c r="P58" s="1051"/>
      <c r="Q58" s="666"/>
      <c r="R58" s="666">
        <f t="shared" si="18"/>
        <v>698214.6587520001</v>
      </c>
      <c r="S58" s="666">
        <f t="shared" si="19"/>
        <v>5171.960435200001</v>
      </c>
      <c r="T58" s="667">
        <f t="shared" si="20"/>
        <v>703386.6191872001</v>
      </c>
      <c r="U58" s="1067">
        <v>44420</v>
      </c>
      <c r="V58" s="1068">
        <v>44500</v>
      </c>
      <c r="W58" s="1069"/>
      <c r="X58" s="1070"/>
      <c r="Y58" s="1070"/>
    </row>
    <row r="59" ht="12" customHeight="1">
      <c r="A59" s="618" t="s">
        <v>24</v>
      </c>
      <c r="B59" s="1034">
        <v>2867</v>
      </c>
      <c r="C59" s="1035" t="s">
        <v>991</v>
      </c>
      <c r="D59" s="1036" t="s">
        <v>34</v>
      </c>
      <c r="E59" s="1037" t="s">
        <v>312</v>
      </c>
      <c r="F59" s="628" t="s">
        <v>87</v>
      </c>
      <c r="G59" s="629">
        <f>2654096/31*5</f>
        <v>428080</v>
      </c>
      <c r="H59" s="629"/>
      <c r="I59" s="649">
        <f t="shared" si="6"/>
        <v>129785.2944</v>
      </c>
      <c r="J59" s="649">
        <f t="shared" si="7"/>
        <v>106163.84</v>
      </c>
      <c r="K59" s="649">
        <f t="shared" si="8"/>
        <v>53081.92</v>
      </c>
      <c r="L59" s="649">
        <v>15000</v>
      </c>
      <c r="M59" s="295">
        <f t="shared" si="16"/>
        <v>732111.0544</v>
      </c>
      <c r="N59" s="1049">
        <f t="shared" si="17"/>
        <v>58568.884352</v>
      </c>
      <c r="O59" s="1053"/>
      <c r="P59" s="1051"/>
      <c r="Q59" s="666"/>
      <c r="R59" s="666">
        <f t="shared" si="18"/>
        <v>790679.938752</v>
      </c>
      <c r="S59" s="666">
        <f t="shared" si="19"/>
        <v>5856.8884352000005</v>
      </c>
      <c r="T59" s="667">
        <f t="shared" si="20"/>
        <v>796536.8271872</v>
      </c>
      <c r="U59" s="1067">
        <v>44419</v>
      </c>
      <c r="V59" s="1068">
        <v>44500</v>
      </c>
      <c r="W59" s="1069"/>
      <c r="X59" s="1070"/>
      <c r="Y59" s="1070"/>
    </row>
    <row r="60" ht="12" customHeight="1">
      <c r="A60" s="618" t="s">
        <v>24</v>
      </c>
      <c r="B60" s="1034">
        <v>2868</v>
      </c>
      <c r="C60" s="1035" t="s">
        <v>992</v>
      </c>
      <c r="D60" s="1036" t="s">
        <v>34</v>
      </c>
      <c r="E60" s="1037" t="s">
        <v>312</v>
      </c>
      <c r="F60" s="628" t="s">
        <v>87</v>
      </c>
      <c r="G60" s="629">
        <f ref="G60:G62" t="shared" si="22">2654096/31*4</f>
        <v>342464</v>
      </c>
      <c r="H60" s="629"/>
      <c r="I60" s="649">
        <f t="shared" si="6"/>
        <v>129785.2944</v>
      </c>
      <c r="J60" s="649">
        <f t="shared" si="7"/>
        <v>106163.84</v>
      </c>
      <c r="K60" s="649">
        <f t="shared" si="8"/>
        <v>53081.92</v>
      </c>
      <c r="L60" s="649">
        <v>15000</v>
      </c>
      <c r="M60" s="295">
        <f t="shared" si="16"/>
        <v>646495.0544</v>
      </c>
      <c r="N60" s="1049">
        <f t="shared" si="17"/>
        <v>51719.604352</v>
      </c>
      <c r="O60" s="1053"/>
      <c r="P60" s="1051"/>
      <c r="Q60" s="666"/>
      <c r="R60" s="666">
        <f t="shared" si="18"/>
        <v>698214.6587520001</v>
      </c>
      <c r="S60" s="666">
        <f t="shared" si="19"/>
        <v>5171.960435200001</v>
      </c>
      <c r="T60" s="667">
        <f t="shared" si="20"/>
        <v>703386.6191872001</v>
      </c>
      <c r="U60" s="1067">
        <v>44420</v>
      </c>
      <c r="V60" s="1068">
        <v>44500</v>
      </c>
      <c r="W60" s="1069"/>
      <c r="X60" s="1070"/>
      <c r="Y60" s="1070"/>
    </row>
    <row r="61" ht="12" customHeight="1">
      <c r="A61" s="618" t="s">
        <v>24</v>
      </c>
      <c r="B61" s="1034">
        <v>2869</v>
      </c>
      <c r="C61" s="1035" t="s">
        <v>993</v>
      </c>
      <c r="D61" s="1036" t="s">
        <v>34</v>
      </c>
      <c r="E61" s="1037" t="s">
        <v>312</v>
      </c>
      <c r="F61" s="628" t="s">
        <v>87</v>
      </c>
      <c r="G61" s="629">
        <f t="shared" si="22"/>
        <v>342464</v>
      </c>
      <c r="H61" s="629"/>
      <c r="I61" s="649">
        <f t="shared" si="6"/>
        <v>129785.2944</v>
      </c>
      <c r="J61" s="649">
        <f t="shared" si="7"/>
        <v>106163.84</v>
      </c>
      <c r="K61" s="649">
        <f t="shared" si="8"/>
        <v>53081.92</v>
      </c>
      <c r="L61" s="649">
        <v>15000</v>
      </c>
      <c r="M61" s="295">
        <f t="shared" si="16"/>
        <v>646495.0544</v>
      </c>
      <c r="N61" s="1049">
        <f t="shared" si="17"/>
        <v>51719.604352</v>
      </c>
      <c r="O61" s="1053"/>
      <c r="P61" s="1051"/>
      <c r="Q61" s="666"/>
      <c r="R61" s="666">
        <f t="shared" si="18"/>
        <v>698214.6587520001</v>
      </c>
      <c r="S61" s="666">
        <f t="shared" si="19"/>
        <v>5171.960435200001</v>
      </c>
      <c r="T61" s="667">
        <f t="shared" si="20"/>
        <v>703386.6191872001</v>
      </c>
      <c r="U61" s="1067">
        <v>44420</v>
      </c>
      <c r="V61" s="1068">
        <v>44500</v>
      </c>
      <c r="W61" s="1069"/>
      <c r="X61" s="1070"/>
      <c r="Y61" s="1070"/>
    </row>
    <row r="62" ht="12" customHeight="1">
      <c r="A62" s="618" t="s">
        <v>24</v>
      </c>
      <c r="B62" s="1034">
        <v>2870</v>
      </c>
      <c r="C62" s="1035" t="s">
        <v>994</v>
      </c>
      <c r="D62" s="1036" t="s">
        <v>34</v>
      </c>
      <c r="E62" s="1037" t="s">
        <v>312</v>
      </c>
      <c r="F62" s="628" t="s">
        <v>87</v>
      </c>
      <c r="G62" s="629">
        <f t="shared" si="22"/>
        <v>342464</v>
      </c>
      <c r="H62" s="629"/>
      <c r="I62" s="649">
        <f t="shared" si="6"/>
        <v>129785.2944</v>
      </c>
      <c r="J62" s="649">
        <f t="shared" si="7"/>
        <v>106163.84</v>
      </c>
      <c r="K62" s="649">
        <f t="shared" si="8"/>
        <v>53081.92</v>
      </c>
      <c r="L62" s="649">
        <v>15000</v>
      </c>
      <c r="M62" s="295">
        <f t="shared" si="16"/>
        <v>646495.0544</v>
      </c>
      <c r="N62" s="1049">
        <f t="shared" si="17"/>
        <v>51719.604352</v>
      </c>
      <c r="O62" s="1053"/>
      <c r="P62" s="1051"/>
      <c r="Q62" s="666"/>
      <c r="R62" s="666">
        <f t="shared" si="18"/>
        <v>698214.6587520001</v>
      </c>
      <c r="S62" s="666">
        <f t="shared" si="19"/>
        <v>5171.960435200001</v>
      </c>
      <c r="T62" s="667">
        <f t="shared" si="20"/>
        <v>703386.6191872001</v>
      </c>
      <c r="U62" s="1067">
        <v>44420</v>
      </c>
      <c r="V62" s="1068">
        <v>44500</v>
      </c>
      <c r="W62" s="1069"/>
      <c r="X62" s="1070"/>
      <c r="Y62" s="1070"/>
    </row>
    <row r="63" ht="12" customHeight="1">
      <c r="A63" s="618" t="s">
        <v>31</v>
      </c>
      <c r="B63" s="1895">
        <v>2871</v>
      </c>
      <c r="C63" s="1035" t="s">
        <v>995</v>
      </c>
      <c r="D63" s="1036" t="s">
        <v>34</v>
      </c>
      <c r="E63" s="1037" t="s">
        <v>312</v>
      </c>
      <c r="F63" s="628" t="s">
        <v>87</v>
      </c>
      <c r="G63" s="629">
        <f>2654096/31*25</f>
        <v>2140400</v>
      </c>
      <c r="H63" s="629"/>
      <c r="I63" s="649">
        <f t="shared" si="6"/>
        <v>129785.2944</v>
      </c>
      <c r="J63" s="649">
        <f t="shared" si="7"/>
        <v>106163.84</v>
      </c>
      <c r="K63" s="649">
        <f t="shared" si="8"/>
        <v>53081.92</v>
      </c>
      <c r="L63" s="649">
        <v>15000</v>
      </c>
      <c r="M63" s="295">
        <f t="shared" si="16"/>
        <v>2444431.0544</v>
      </c>
      <c r="N63" s="1049">
        <f t="shared" si="11"/>
        <v>195554.484352</v>
      </c>
      <c r="O63" s="1053">
        <v>75000</v>
      </c>
      <c r="P63" s="1051"/>
      <c r="Q63" s="666"/>
      <c r="R63" s="666">
        <f t="shared" si="12"/>
        <v>2714985.538752</v>
      </c>
      <c r="S63" s="666">
        <f t="shared" si="13"/>
        <v>19555.4484352</v>
      </c>
      <c r="T63" s="667">
        <f t="shared" si="14"/>
        <v>2734540.9871871998</v>
      </c>
      <c r="U63" s="1067">
        <v>44399</v>
      </c>
      <c r="V63" s="1068">
        <v>44500</v>
      </c>
      <c r="W63" s="1069"/>
      <c r="X63" s="1070"/>
      <c r="Y63" s="1070"/>
    </row>
    <row r="64" ht="12" customHeight="1">
      <c r="A64" s="1745" t="s">
        <v>30</v>
      </c>
      <c r="B64" s="1867"/>
      <c r="C64" s="1745"/>
      <c r="D64" s="1745"/>
      <c r="E64" s="1745"/>
      <c r="F64" s="1745"/>
      <c r="G64" s="234">
        <f ref="G64:T64" t="shared" si="23">SUM(G13:G63)</f>
        <v>114554208</v>
      </c>
      <c r="H64" s="234">
        <f t="shared" si="23"/>
        <v>0</v>
      </c>
      <c r="I64" s="234">
        <f t="shared" si="23"/>
        <v>6619050.0144</v>
      </c>
      <c r="J64" s="234">
        <f t="shared" si="23"/>
        <v>5414355.84</v>
      </c>
      <c r="K64" s="234">
        <f t="shared" si="23"/>
        <v>2707177.92</v>
      </c>
      <c r="L64" s="234">
        <f t="shared" si="23"/>
        <v>765000</v>
      </c>
      <c r="M64" s="234">
        <f t="shared" si="23"/>
        <v>130059791.77439989</v>
      </c>
      <c r="N64" s="234">
        <f t="shared" si="23"/>
        <v>10404783.341951987</v>
      </c>
      <c r="O64" s="234">
        <f t="shared" si="23"/>
        <v>21812500</v>
      </c>
      <c r="P64" s="234">
        <f t="shared" si="23"/>
        <v>0</v>
      </c>
      <c r="Q64" s="234">
        <f t="shared" si="23"/>
        <v>0</v>
      </c>
      <c r="R64" s="234">
        <f t="shared" si="23"/>
        <v>162277075.11635184</v>
      </c>
      <c r="S64" s="234">
        <f t="shared" si="23"/>
        <v>1040478.3341952001</v>
      </c>
      <c r="T64" s="234">
        <f t="shared" si="23"/>
        <v>163317553.45054734</v>
      </c>
      <c r="U64" s="1071"/>
      <c r="V64" s="1072"/>
    </row>
    <row r="65" ht="12" customHeight="1">
      <c r="A65" s="632" t="s">
        <v>30</v>
      </c>
      <c r="B65" s="1904"/>
      <c r="C65" s="632"/>
      <c r="D65" s="632"/>
      <c r="E65" s="632"/>
      <c r="F65" s="632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  <c r="R65" s="267"/>
      <c r="S65" s="267"/>
      <c r="T65" s="267"/>
      <c r="V65" s="1084"/>
    </row>
    <row r="66" ht="12" customHeight="1">
      <c r="A66" s="1757" t="s">
        <v>30</v>
      </c>
      <c r="B66" s="1905"/>
      <c r="C66" s="1757"/>
      <c r="D66" s="1757"/>
      <c r="E66" s="1757"/>
      <c r="F66" s="1757"/>
      <c r="G66" s="1081">
        <f ref="G66:T66" t="shared" si="24">SUM(G10,G64)</f>
        <v>122516496</v>
      </c>
      <c r="H66" s="1081">
        <f t="shared" si="24"/>
        <v>0</v>
      </c>
      <c r="I66" s="1081">
        <f t="shared" si="24"/>
        <v>7008405.8976</v>
      </c>
      <c r="J66" s="1081">
        <f t="shared" si="24"/>
        <v>5732847.36</v>
      </c>
      <c r="K66" s="1081">
        <f t="shared" si="24"/>
        <v>2866423.68</v>
      </c>
      <c r="L66" s="1081">
        <f t="shared" si="24"/>
        <v>770001</v>
      </c>
      <c r="M66" s="1081">
        <f t="shared" si="24"/>
        <v>138894173.9375999</v>
      </c>
      <c r="N66" s="1081">
        <f t="shared" si="24"/>
        <v>11111533.915007986</v>
      </c>
      <c r="O66" s="1081">
        <f t="shared" si="24"/>
        <v>22837500</v>
      </c>
      <c r="P66" s="1081">
        <f t="shared" si="24"/>
        <v>200000</v>
      </c>
      <c r="Q66" s="1081">
        <f t="shared" si="24"/>
        <v>468000</v>
      </c>
      <c r="R66" s="1081">
        <f t="shared" si="24"/>
        <v>173511207.85260785</v>
      </c>
      <c r="S66" s="1081">
        <f t="shared" si="24"/>
        <v>1111153.3915008001</v>
      </c>
      <c r="T66" s="1081">
        <f t="shared" si="24"/>
        <v>174622361.24410895</v>
      </c>
      <c r="U66" s="1071"/>
      <c r="V66" s="1072"/>
    </row>
    <row r="67" ht="12" customHeight="1">
      <c r="A67" s="1082" t="s">
        <v>30</v>
      </c>
      <c r="B67" s="1906"/>
      <c r="C67" s="1082"/>
      <c r="D67" s="1082"/>
      <c r="E67" s="1082"/>
      <c r="F67" s="1082"/>
      <c r="G67" s="1083"/>
      <c r="H67" s="1083"/>
      <c r="I67" s="1083"/>
      <c r="J67" s="1083"/>
      <c r="K67" s="1083"/>
      <c r="L67" s="1083"/>
      <c r="M67" s="1083"/>
      <c r="N67" s="1083"/>
      <c r="O67" s="1083"/>
      <c r="P67" s="1083"/>
      <c r="Q67" s="1083"/>
      <c r="R67" s="1083"/>
      <c r="S67" s="1083"/>
      <c r="T67" s="1083"/>
      <c r="U67" s="1085"/>
      <c r="V67" s="1086"/>
    </row>
    <row r="68" ht="12" customHeight="1">
      <c r="A68" s="387" t="s">
        <v>30</v>
      </c>
      <c r="B68" s="1869"/>
      <c r="C68" s="264" t="str">
        <f>+'MALANG BAT AGUSTUS - OK'!C26</f>
        <v>Karawang, 16 Agustus 2021</v>
      </c>
      <c r="D68" s="270"/>
      <c r="E68" s="281"/>
      <c r="F68" s="281"/>
      <c r="G68" s="271"/>
      <c r="H68" s="271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1087"/>
      <c r="V68" s="1054"/>
    </row>
    <row r="69" ht="12" customHeight="1">
      <c r="A69" s="387" t="s">
        <v>30</v>
      </c>
      <c r="B69" s="1870"/>
      <c r="C69" s="387"/>
      <c r="D69" s="263"/>
      <c r="E69" s="632"/>
      <c r="F69" s="632"/>
      <c r="G69" s="210"/>
      <c r="H69" s="210"/>
      <c r="I69" s="281"/>
      <c r="J69" s="281"/>
      <c r="K69" s="281"/>
      <c r="L69" s="281"/>
      <c r="M69" s="281"/>
      <c r="N69" s="655"/>
      <c r="O69" s="655"/>
      <c r="P69" s="655"/>
      <c r="Q69" s="655"/>
      <c r="R69" s="281"/>
      <c r="S69" s="281"/>
      <c r="T69" s="655"/>
      <c r="U69" s="1087"/>
      <c r="V69" s="1054"/>
    </row>
    <row r="70" ht="12" customHeight="1">
      <c r="A70" s="387" t="s">
        <v>30</v>
      </c>
      <c r="B70" s="1869"/>
      <c r="C70" s="264" t="s">
        <v>38</v>
      </c>
      <c r="D70" s="274"/>
      <c r="E70" s="632"/>
      <c r="F70" s="632"/>
      <c r="G70" s="275"/>
      <c r="H70" s="275"/>
      <c r="I70" s="652"/>
      <c r="J70" s="652"/>
      <c r="K70" s="652"/>
      <c r="L70" s="653"/>
      <c r="M70" s="636" t="s">
        <v>39</v>
      </c>
      <c r="N70" s="654"/>
      <c r="R70" s="673"/>
      <c r="S70" s="281"/>
      <c r="T70" s="654"/>
      <c r="U70" s="1087"/>
      <c r="V70" s="1054"/>
    </row>
    <row r="71" ht="12" customHeight="1">
      <c r="A71" s="387" t="s">
        <v>30</v>
      </c>
      <c r="B71" s="1871"/>
      <c r="C71" s="446"/>
      <c r="D71" s="209"/>
      <c r="G71" s="275"/>
      <c r="H71" s="275"/>
      <c r="I71" s="652"/>
      <c r="J71" s="314"/>
      <c r="K71" s="652"/>
      <c r="L71" s="653"/>
      <c r="M71" s="652"/>
      <c r="N71" s="281"/>
      <c r="O71" s="281"/>
      <c r="P71" s="281"/>
      <c r="Q71" s="281"/>
      <c r="R71" s="673"/>
      <c r="S71" s="281"/>
      <c r="T71" s="281"/>
      <c r="U71" s="1087"/>
      <c r="V71" s="1054"/>
    </row>
    <row r="72" ht="12" customHeight="1">
      <c r="A72" s="387" t="s">
        <v>30</v>
      </c>
      <c r="B72" s="1871"/>
      <c r="C72" s="446"/>
      <c r="D72" s="209"/>
      <c r="G72" s="210"/>
      <c r="H72" s="210"/>
      <c r="I72" s="210"/>
      <c r="J72" s="281"/>
      <c r="K72" s="281"/>
      <c r="L72" s="655"/>
      <c r="M72" s="281"/>
      <c r="N72" s="281"/>
      <c r="O72" s="281"/>
      <c r="P72" s="281"/>
      <c r="Q72" s="281"/>
      <c r="R72" s="631"/>
      <c r="S72" s="281"/>
      <c r="T72" s="281"/>
      <c r="U72" s="1087"/>
      <c r="V72" s="1054"/>
    </row>
    <row r="73" ht="12" customHeight="1">
      <c r="A73" s="387" t="s">
        <v>30</v>
      </c>
      <c r="B73" s="1869"/>
      <c r="C73" s="445"/>
      <c r="D73" s="274"/>
      <c r="E73" s="632"/>
      <c r="F73" s="632"/>
      <c r="G73" s="275"/>
      <c r="H73" s="275"/>
      <c r="I73" s="275"/>
      <c r="J73" s="652"/>
      <c r="K73" s="652"/>
      <c r="L73" s="653"/>
      <c r="M73" s="652"/>
      <c r="N73" s="652"/>
      <c r="O73" s="652"/>
      <c r="P73" s="652"/>
      <c r="Q73" s="652"/>
      <c r="R73" s="632"/>
      <c r="S73" s="281"/>
      <c r="T73" s="281"/>
      <c r="U73" s="1087"/>
      <c r="V73" s="1054"/>
    </row>
    <row r="74" ht="12" customHeight="1">
      <c r="A74" s="387" t="s">
        <v>30</v>
      </c>
      <c r="B74" s="1870"/>
      <c r="C74" s="264"/>
      <c r="D74" s="264"/>
      <c r="E74" s="632"/>
      <c r="F74" s="632"/>
      <c r="G74" s="275"/>
      <c r="H74" s="275"/>
      <c r="I74" s="275"/>
      <c r="J74" s="652"/>
      <c r="K74" s="652"/>
      <c r="L74" s="653"/>
      <c r="M74" s="652"/>
      <c r="N74" s="652"/>
      <c r="O74" s="652"/>
      <c r="P74" s="652"/>
      <c r="Q74" s="652"/>
      <c r="R74" s="632"/>
      <c r="S74" s="631"/>
      <c r="T74" s="281"/>
      <c r="U74" s="1087"/>
      <c r="V74" s="1054"/>
    </row>
    <row r="75" ht="12" customHeight="1">
      <c r="A75" s="387" t="s">
        <v>30</v>
      </c>
      <c r="B75" s="1870"/>
      <c r="C75" s="264"/>
      <c r="D75" s="264"/>
      <c r="E75" s="632"/>
      <c r="F75" s="632"/>
      <c r="G75" s="275"/>
      <c r="H75" s="275"/>
      <c r="I75" s="275"/>
      <c r="J75" s="652"/>
      <c r="K75" s="652"/>
      <c r="L75" s="653"/>
      <c r="M75" s="652"/>
      <c r="N75" s="652"/>
      <c r="O75" s="652"/>
      <c r="P75" s="652"/>
      <c r="Q75" s="652"/>
      <c r="R75" s="632"/>
      <c r="S75" s="281"/>
      <c r="U75" s="1087"/>
      <c r="V75" s="1054"/>
    </row>
    <row r="76" ht="12" customHeight="1">
      <c r="A76" s="387" t="s">
        <v>30</v>
      </c>
      <c r="B76" s="1870"/>
      <c r="C76" s="264" t="s">
        <v>40</v>
      </c>
      <c r="D76" s="568"/>
      <c r="E76" s="632"/>
      <c r="F76" s="632"/>
      <c r="G76" s="275"/>
      <c r="H76" s="275"/>
      <c r="I76" s="275"/>
      <c r="J76" s="653" t="s">
        <v>41</v>
      </c>
      <c r="K76" s="636"/>
      <c r="L76" s="636"/>
      <c r="M76" s="636" t="s">
        <v>42</v>
      </c>
      <c r="O76" s="632" t="s">
        <v>43</v>
      </c>
      <c r="P76" s="632"/>
      <c r="Q76" s="636"/>
    </row>
    <row r="77" ht="12" customHeight="1">
      <c r="A77" s="636" t="s">
        <v>30</v>
      </c>
      <c r="B77" s="1904"/>
      <c r="C77" s="633"/>
      <c r="D77" s="632"/>
      <c r="E77" s="632"/>
      <c r="F77" s="279"/>
      <c r="G77" s="275"/>
      <c r="H77" s="275"/>
      <c r="I77" s="636"/>
      <c r="J77" s="636"/>
      <c r="K77" s="636"/>
      <c r="L77" s="636"/>
      <c r="M77" s="275"/>
      <c r="N77" s="636"/>
      <c r="O77" s="636"/>
      <c r="P77" s="636"/>
      <c r="Q77" s="636"/>
      <c r="R77" s="636"/>
    </row>
    <row r="78" ht="12" customHeight="1">
      <c r="A78" s="636" t="s">
        <v>30</v>
      </c>
      <c r="B78" s="1904"/>
      <c r="C78" s="633"/>
      <c r="D78" s="632"/>
      <c r="E78" s="632"/>
      <c r="F78" s="279"/>
      <c r="G78" s="275"/>
      <c r="H78" s="275"/>
      <c r="I78" s="636"/>
      <c r="J78" s="636"/>
      <c r="K78" s="636"/>
      <c r="L78" s="636"/>
      <c r="M78" s="275"/>
      <c r="N78" s="636"/>
      <c r="O78" s="636"/>
      <c r="P78" s="636"/>
      <c r="Q78" s="636"/>
      <c r="R78" s="636"/>
    </row>
  </sheetData>
  <mergeCells>
    <mergeCell ref="A10:F10"/>
    <mergeCell ref="A64:F64"/>
    <mergeCell ref="A66:F66"/>
  </mergeCells>
  <printOptions horizontalCentered="1"/>
  <pageMargins left="0.36875000000000002" right="0.12916666666666701" top="0.75" bottom="0.75" header="0.3" footer="0.3"/>
  <pageSetup paperSize="9" scale="60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  <pageSetUpPr fitToPage="1"/>
  </sheetPr>
  <dimension ref="A1:Y33"/>
  <sheetViews>
    <sheetView zoomScale="85" zoomScaleNormal="85" workbookViewId="0">
      <pane xSplit="7" ySplit="6" topLeftCell="H7" activePane="bottomRight" state="frozen"/>
      <selection activeCell="N20" sqref="N20"/>
      <selection pane="topRight" activeCell="N20" sqref="N20"/>
      <selection pane="bottomLeft" activeCell="N20" sqref="N20"/>
      <selection pane="bottomRight" activeCell="N20" sqref="N20"/>
    </sheetView>
  </sheetViews>
  <sheetFormatPr defaultColWidth="9.140625" defaultRowHeight="15"/>
  <cols>
    <col min="1" max="2" width="4.7109375" customWidth="1"/>
    <col min="3" max="3" width="25.42578125" customWidth="1"/>
    <col min="4" max="4" width="16.42578125" customWidth="1"/>
    <col min="5" max="5" width="5.7109375" customWidth="1"/>
    <col min="6" max="6" width="8.140625" customWidth="1"/>
    <col min="7" max="8" width="11.5703125" customWidth="1"/>
    <col min="9" max="9" width="10.85546875" customWidth="1"/>
    <col min="10" max="10" width="11.42578125" customWidth="1"/>
    <col min="11" max="11" width="12" customWidth="1"/>
    <col min="12" max="12" width="13.28515625" customWidth="1"/>
    <col min="13" max="13" width="11.7109375" customWidth="1"/>
    <col min="14" max="14" width="11.5703125" customWidth="1"/>
    <col min="15" max="16" width="11.85546875" customWidth="1"/>
    <col min="17" max="17" width="12" customWidth="1"/>
    <col min="18" max="18" width="12.85546875" customWidth="1"/>
    <col min="19" max="19" width="10.28515625" customWidth="1"/>
    <col min="20" max="20" width="12.5703125" customWidth="1"/>
    <col min="21" max="21" width="8.42578125" customWidth="1"/>
    <col min="22" max="22" width="10.28515625" customWidth="1"/>
    <col min="23" max="23" width="7.28515625" customWidth="1"/>
    <col min="24" max="24" width="12.140625" customWidth="1"/>
  </cols>
  <sheetData>
    <row r="1">
      <c r="A1" s="550" t="s">
        <v>0</v>
      </c>
      <c r="B1" s="208"/>
      <c r="C1" s="209"/>
      <c r="D1" s="208"/>
      <c r="E1" s="208"/>
      <c r="F1" s="208"/>
      <c r="G1" s="210"/>
      <c r="H1" s="210"/>
      <c r="I1" s="387"/>
      <c r="J1" s="387"/>
      <c r="K1" s="387"/>
      <c r="L1" s="387"/>
      <c r="M1" s="210"/>
      <c r="N1" s="387"/>
      <c r="O1" s="387"/>
      <c r="P1" s="387"/>
      <c r="Q1" s="387"/>
      <c r="R1" s="387"/>
      <c r="S1" s="387"/>
      <c r="T1" s="387"/>
      <c r="V1" s="317"/>
    </row>
    <row r="2">
      <c r="A2" s="550" t="s">
        <v>899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550" t="str">
        <f>+'MALANG BAT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J3" s="387"/>
      <c r="K3" s="387"/>
      <c r="L3" s="387"/>
      <c r="M3" s="210"/>
      <c r="N3" s="387"/>
      <c r="O3" s="387"/>
      <c r="P3" s="387"/>
      <c r="Q3" s="387"/>
      <c r="R3" s="387"/>
      <c r="S3" s="387"/>
      <c r="T3" s="387"/>
      <c r="V3" s="317"/>
    </row>
    <row r="4">
      <c r="A4" s="207"/>
      <c r="B4" s="208"/>
      <c r="C4" s="209"/>
      <c r="D4" s="208"/>
      <c r="E4" s="208"/>
      <c r="F4" s="208"/>
      <c r="G4" s="900">
        <v>2770300</v>
      </c>
      <c r="H4" s="900"/>
      <c r="I4" s="1012">
        <v>2930093</v>
      </c>
      <c r="J4" s="387"/>
      <c r="K4" s="387"/>
      <c r="L4" s="387"/>
      <c r="M4" s="210"/>
      <c r="N4" s="387"/>
      <c r="O4" s="387"/>
      <c r="P4" s="387"/>
      <c r="Q4" s="387"/>
      <c r="R4" s="387"/>
      <c r="S4" s="387"/>
      <c r="T4" s="387"/>
      <c r="V4" s="317"/>
    </row>
    <row r="5">
      <c r="A5" s="207"/>
      <c r="B5" s="208"/>
      <c r="C5" s="209"/>
      <c r="D5" s="208"/>
      <c r="E5" s="208"/>
      <c r="F5" s="208"/>
      <c r="G5" s="900"/>
      <c r="H5" s="900"/>
      <c r="I5" s="1012"/>
      <c r="J5" s="387"/>
      <c r="K5" s="387"/>
      <c r="L5" s="387"/>
      <c r="M5" s="210"/>
      <c r="N5" s="387"/>
      <c r="O5" s="387"/>
      <c r="P5" s="387"/>
      <c r="Q5" s="387"/>
      <c r="R5" s="387"/>
      <c r="S5" s="387"/>
      <c r="T5" s="387"/>
      <c r="V5" s="317"/>
    </row>
    <row r="6" ht="27.75" customHeight="1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284" t="s">
        <v>14</v>
      </c>
      <c r="N6" s="285" t="s">
        <v>15</v>
      </c>
      <c r="O6" s="285" t="s">
        <v>32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227" t="s">
        <v>24</v>
      </c>
      <c r="B7" s="1532" t="s">
        <v>900</v>
      </c>
      <c r="C7" s="925" t="s">
        <v>901</v>
      </c>
      <c r="D7" s="998" t="s">
        <v>54</v>
      </c>
      <c r="E7" s="558" t="s">
        <v>200</v>
      </c>
      <c r="F7" s="558" t="s">
        <v>201</v>
      </c>
      <c r="G7" s="154">
        <v>2930092.64</v>
      </c>
      <c r="H7" s="311"/>
      <c r="I7" s="293">
        <f>+$G$7*4.89%</f>
        <v>143281.530096</v>
      </c>
      <c r="J7" s="293">
        <f>+$G$7*4%</f>
        <v>117203.7056</v>
      </c>
      <c r="K7" s="293">
        <f>+$G$7*2%</f>
        <v>58601.8528</v>
      </c>
      <c r="L7" s="293">
        <v>1667</v>
      </c>
      <c r="M7" s="295">
        <f>SUM(G7,I7:L7)-H7</f>
        <v>3250846.728496</v>
      </c>
      <c r="N7" s="296">
        <f ref="N7:N14" t="shared" si="1">+M7*8%</f>
        <v>260067.73827968</v>
      </c>
      <c r="O7" s="296">
        <v>500000</v>
      </c>
      <c r="P7" s="1013"/>
      <c r="Q7" s="296">
        <f>23*10000</f>
        <v>230000</v>
      </c>
      <c r="R7" s="328">
        <f ref="R7:R19" t="shared" si="2">SUM(M7:Q7)</f>
        <v>4240914.46677568</v>
      </c>
      <c r="S7" s="328">
        <f ref="S7:S19" t="shared" si="3">N7*0.1</f>
        <v>26006.773827968</v>
      </c>
      <c r="T7" s="329">
        <f ref="T7:T13" t="shared" si="4">R7+S7</f>
        <v>4266921.24060365</v>
      </c>
      <c r="U7" s="155">
        <v>44378</v>
      </c>
      <c r="V7" s="330">
        <v>44408</v>
      </c>
      <c r="W7" s="807"/>
    </row>
    <row r="8" ht="18" customHeight="1">
      <c r="A8" s="1758" t="s">
        <v>30</v>
      </c>
      <c r="B8" s="1907"/>
      <c r="C8" s="1759"/>
      <c r="D8" s="1759"/>
      <c r="E8" s="999"/>
      <c r="F8" s="1000"/>
      <c r="G8" s="386">
        <f ref="G8:T8" t="shared" si="5">SUM(G7:G7)</f>
        <v>2930092.64</v>
      </c>
      <c r="H8" s="386">
        <f t="shared" si="5"/>
        <v>0</v>
      </c>
      <c r="I8" s="386">
        <f t="shared" si="5"/>
        <v>143281.530096</v>
      </c>
      <c r="J8" s="386">
        <f t="shared" si="5"/>
        <v>117203.7056</v>
      </c>
      <c r="K8" s="386">
        <f t="shared" si="5"/>
        <v>58601.8528</v>
      </c>
      <c r="L8" s="386">
        <f t="shared" si="5"/>
        <v>1667</v>
      </c>
      <c r="M8" s="386">
        <f t="shared" si="5"/>
        <v>3250846.728496</v>
      </c>
      <c r="N8" s="386">
        <f t="shared" si="5"/>
        <v>260067.73827968</v>
      </c>
      <c r="O8" s="386">
        <f t="shared" si="5"/>
        <v>500000</v>
      </c>
      <c r="P8" s="386">
        <f t="shared" si="5"/>
        <v>0</v>
      </c>
      <c r="Q8" s="386">
        <f t="shared" si="5"/>
        <v>230000</v>
      </c>
      <c r="R8" s="386">
        <f t="shared" si="5"/>
        <v>4240914.46677568</v>
      </c>
      <c r="S8" s="386">
        <f t="shared" si="5"/>
        <v>26006.773827968</v>
      </c>
      <c r="T8" s="386">
        <f t="shared" si="5"/>
        <v>4266921.24060365</v>
      </c>
      <c r="U8" s="332"/>
      <c r="V8" s="333"/>
    </row>
    <row r="9">
      <c r="A9" s="207" t="s">
        <v>30</v>
      </c>
      <c r="B9" s="1861"/>
      <c r="C9" s="209"/>
      <c r="D9" s="208"/>
      <c r="E9" s="208"/>
      <c r="F9" s="208"/>
      <c r="G9" s="213"/>
      <c r="H9" s="213"/>
      <c r="I9" s="281"/>
      <c r="M9" s="210"/>
      <c r="V9" s="317"/>
    </row>
    <row r="10" ht="26.25" customHeight="1">
      <c r="A10" s="215" t="s">
        <v>31</v>
      </c>
      <c r="B10" s="1908" t="s">
        <v>3</v>
      </c>
      <c r="C10" s="216" t="s">
        <v>4</v>
      </c>
      <c r="D10" s="216" t="s">
        <v>5</v>
      </c>
      <c r="E10" s="216" t="s">
        <v>6</v>
      </c>
      <c r="F10" s="217" t="s">
        <v>7</v>
      </c>
      <c r="G10" s="218" t="s">
        <v>8</v>
      </c>
      <c r="H10" s="219" t="s">
        <v>9</v>
      </c>
      <c r="I10" s="282" t="s">
        <v>10</v>
      </c>
      <c r="J10" s="283" t="s">
        <v>11</v>
      </c>
      <c r="K10" s="283" t="s">
        <v>12</v>
      </c>
      <c r="L10" s="284" t="s">
        <v>13</v>
      </c>
      <c r="M10" s="284" t="s">
        <v>14</v>
      </c>
      <c r="N10" s="285" t="s">
        <v>15</v>
      </c>
      <c r="O10" s="285" t="s">
        <v>32</v>
      </c>
      <c r="P10" s="285" t="s">
        <v>17</v>
      </c>
      <c r="Q10" s="285" t="s">
        <v>18</v>
      </c>
      <c r="R10" s="319" t="s">
        <v>19</v>
      </c>
      <c r="S10" s="320" t="s">
        <v>20</v>
      </c>
      <c r="T10" s="320" t="s">
        <v>21</v>
      </c>
      <c r="U10" s="321" t="s">
        <v>22</v>
      </c>
      <c r="V10" s="322" t="s">
        <v>23</v>
      </c>
    </row>
    <row r="11" ht="18" customHeight="1">
      <c r="A11" s="238" t="s">
        <v>24</v>
      </c>
      <c r="B11" s="1533" t="s">
        <v>902</v>
      </c>
      <c r="C11" s="929" t="s">
        <v>903</v>
      </c>
      <c r="D11" s="1001" t="s">
        <v>34</v>
      </c>
      <c r="E11" s="247" t="s">
        <v>200</v>
      </c>
      <c r="F11" s="247" t="s">
        <v>201</v>
      </c>
      <c r="G11" s="243">
        <v>2770300</v>
      </c>
      <c r="H11" s="244"/>
      <c r="I11" s="298">
        <f ref="I11:I17" t="shared" si="6">+$G$4*4.89%</f>
        <v>135467.67</v>
      </c>
      <c r="J11" s="298">
        <f ref="J11:J17" t="shared" si="7">+$G$4*4%</f>
        <v>110812</v>
      </c>
      <c r="K11" s="298">
        <f ref="K11:K17" t="shared" si="8">+$G$4*2%</f>
        <v>55406</v>
      </c>
      <c r="L11" s="298">
        <v>15000</v>
      </c>
      <c r="M11" s="295">
        <f ref="M11:M19" t="shared" si="9">SUM(G11,I11:L11)-H11</f>
        <v>3086985.67</v>
      </c>
      <c r="N11" s="303">
        <f t="shared" si="1"/>
        <v>246958.8536</v>
      </c>
      <c r="O11" s="303">
        <v>1780000</v>
      </c>
      <c r="P11" s="303"/>
      <c r="Q11" s="300"/>
      <c r="R11" s="335">
        <f t="shared" si="2"/>
        <v>5113944.5236</v>
      </c>
      <c r="S11" s="335">
        <f t="shared" si="3"/>
        <v>24695.88536</v>
      </c>
      <c r="T11" s="336">
        <f t="shared" si="4"/>
        <v>5138640.40896</v>
      </c>
      <c r="U11" s="337">
        <v>44378</v>
      </c>
      <c r="V11" s="338">
        <v>44469</v>
      </c>
      <c r="X11" s="350"/>
      <c r="Y11" s="350"/>
    </row>
    <row r="12" ht="18" customHeight="1">
      <c r="A12" s="238" t="s">
        <v>24</v>
      </c>
      <c r="B12" s="1533" t="s">
        <v>904</v>
      </c>
      <c r="C12" s="929" t="s">
        <v>905</v>
      </c>
      <c r="D12" s="1001" t="s">
        <v>34</v>
      </c>
      <c r="E12" s="247" t="s">
        <v>200</v>
      </c>
      <c r="F12" s="247" t="s">
        <v>201</v>
      </c>
      <c r="G12" s="243">
        <v>2770300</v>
      </c>
      <c r="H12" s="244"/>
      <c r="I12" s="298">
        <f t="shared" si="6"/>
        <v>135467.67</v>
      </c>
      <c r="J12" s="298">
        <f t="shared" si="7"/>
        <v>110812</v>
      </c>
      <c r="K12" s="298">
        <f t="shared" si="8"/>
        <v>55406</v>
      </c>
      <c r="L12" s="298">
        <v>15000</v>
      </c>
      <c r="M12" s="295">
        <f t="shared" si="9"/>
        <v>3086985.67</v>
      </c>
      <c r="N12" s="303">
        <f t="shared" si="1"/>
        <v>246958.8536</v>
      </c>
      <c r="O12" s="303">
        <f>200000+5710000</f>
        <v>5910000</v>
      </c>
      <c r="P12" s="303"/>
      <c r="Q12" s="300"/>
      <c r="R12" s="335">
        <f t="shared" si="2"/>
        <v>9243944.5236</v>
      </c>
      <c r="S12" s="335">
        <f t="shared" si="3"/>
        <v>24695.88536</v>
      </c>
      <c r="T12" s="336">
        <f t="shared" si="4"/>
        <v>9268640.40896</v>
      </c>
      <c r="U12" s="337">
        <v>44378</v>
      </c>
      <c r="V12" s="338">
        <v>44469</v>
      </c>
      <c r="W12" s="419"/>
      <c r="X12" s="350"/>
      <c r="Y12" s="350"/>
    </row>
    <row r="13" ht="18" customHeight="1">
      <c r="A13" s="238" t="s">
        <v>24</v>
      </c>
      <c r="B13" s="1533" t="s">
        <v>906</v>
      </c>
      <c r="C13" s="929" t="s">
        <v>907</v>
      </c>
      <c r="D13" s="1001" t="s">
        <v>34</v>
      </c>
      <c r="E13" s="247" t="s">
        <v>200</v>
      </c>
      <c r="F13" s="247" t="s">
        <v>201</v>
      </c>
      <c r="G13" s="243">
        <v>2770300</v>
      </c>
      <c r="H13" s="244">
        <v>-332436</v>
      </c>
      <c r="I13" s="298">
        <f t="shared" si="6"/>
        <v>135467.67</v>
      </c>
      <c r="J13" s="298">
        <f t="shared" si="7"/>
        <v>110812</v>
      </c>
      <c r="K13" s="298">
        <f t="shared" si="8"/>
        <v>55406</v>
      </c>
      <c r="L13" s="298">
        <v>15000</v>
      </c>
      <c r="M13" s="295">
        <f t="shared" si="9"/>
        <v>3419421.67</v>
      </c>
      <c r="N13" s="303">
        <f t="shared" si="1"/>
        <v>273553.7336</v>
      </c>
      <c r="O13" s="303">
        <v>2430000</v>
      </c>
      <c r="P13" s="303"/>
      <c r="Q13" s="300"/>
      <c r="R13" s="335">
        <f t="shared" si="2"/>
        <v>6122975.4036</v>
      </c>
      <c r="S13" s="335">
        <f t="shared" si="3"/>
        <v>27355.37336</v>
      </c>
      <c r="T13" s="336">
        <f t="shared" si="4"/>
        <v>6150330.77696</v>
      </c>
      <c r="U13" s="337">
        <v>44378</v>
      </c>
      <c r="V13" s="338">
        <v>44469</v>
      </c>
      <c r="X13" s="350"/>
      <c r="Y13" s="350"/>
    </row>
    <row r="14" ht="18" customHeight="1">
      <c r="A14" s="238" t="s">
        <v>24</v>
      </c>
      <c r="B14" s="1533" t="s">
        <v>908</v>
      </c>
      <c r="C14" s="929" t="s">
        <v>379</v>
      </c>
      <c r="D14" s="1001" t="s">
        <v>34</v>
      </c>
      <c r="E14" s="247" t="s">
        <v>200</v>
      </c>
      <c r="F14" s="247" t="s">
        <v>201</v>
      </c>
      <c r="G14" s="243">
        <v>2770300</v>
      </c>
      <c r="H14" s="244">
        <v>-221624</v>
      </c>
      <c r="I14" s="298">
        <f t="shared" si="6"/>
        <v>135467.67</v>
      </c>
      <c r="J14" s="298">
        <f t="shared" si="7"/>
        <v>110812</v>
      </c>
      <c r="K14" s="298">
        <f t="shared" si="8"/>
        <v>55406</v>
      </c>
      <c r="L14" s="298">
        <v>15000</v>
      </c>
      <c r="M14" s="295">
        <f t="shared" si="9"/>
        <v>3308609.67</v>
      </c>
      <c r="N14" s="303">
        <f t="shared" si="1"/>
        <v>264688.7736</v>
      </c>
      <c r="O14" s="303">
        <v>1700000</v>
      </c>
      <c r="P14" s="303"/>
      <c r="Q14" s="300"/>
      <c r="R14" s="335">
        <f t="shared" si="2"/>
        <v>5273298.4436</v>
      </c>
      <c r="S14" s="335">
        <f t="shared" si="3"/>
        <v>26468.87736</v>
      </c>
      <c r="T14" s="336">
        <f>R14+S14</f>
        <v>5299767.32096</v>
      </c>
      <c r="U14" s="337">
        <v>44348</v>
      </c>
      <c r="V14" s="338">
        <v>44439</v>
      </c>
      <c r="X14" s="350"/>
      <c r="Y14" s="350"/>
    </row>
    <row r="15" ht="18" customHeight="1">
      <c r="A15" s="238" t="s">
        <v>24</v>
      </c>
      <c r="B15" s="239" t="s">
        <v>909</v>
      </c>
      <c r="C15" s="929" t="s">
        <v>249</v>
      </c>
      <c r="D15" s="1001" t="s">
        <v>34</v>
      </c>
      <c r="E15" s="247" t="s">
        <v>200</v>
      </c>
      <c r="F15" s="247" t="s">
        <v>201</v>
      </c>
      <c r="G15" s="243">
        <v>2770300</v>
      </c>
      <c r="H15" s="244"/>
      <c r="I15" s="298">
        <f t="shared" si="6"/>
        <v>135467.67</v>
      </c>
      <c r="J15" s="298">
        <f t="shared" si="7"/>
        <v>110812</v>
      </c>
      <c r="K15" s="298">
        <f t="shared" si="8"/>
        <v>55406</v>
      </c>
      <c r="L15" s="298">
        <v>15000</v>
      </c>
      <c r="M15" s="295">
        <f t="shared" si="9"/>
        <v>3086985.67</v>
      </c>
      <c r="N15" s="303">
        <f>+M15*8%</f>
        <v>246958.8536</v>
      </c>
      <c r="O15" s="303">
        <v>1880000</v>
      </c>
      <c r="P15" s="303"/>
      <c r="Q15" s="300"/>
      <c r="R15" s="335">
        <f t="shared" si="2"/>
        <v>5213944.5236</v>
      </c>
      <c r="S15" s="335">
        <f t="shared" si="3"/>
        <v>24695.88536</v>
      </c>
      <c r="T15" s="336">
        <f>R15+S15</f>
        <v>5238640.40896</v>
      </c>
      <c r="U15" s="337">
        <v>44378</v>
      </c>
      <c r="V15" s="338">
        <v>44469</v>
      </c>
      <c r="X15" s="350"/>
      <c r="Y15" s="350"/>
    </row>
    <row r="16" ht="18" customHeight="1">
      <c r="A16" s="238" t="s">
        <v>24</v>
      </c>
      <c r="B16" s="239" t="s">
        <v>910</v>
      </c>
      <c r="C16" s="929" t="s">
        <v>911</v>
      </c>
      <c r="D16" s="1001" t="s">
        <v>34</v>
      </c>
      <c r="E16" s="247" t="s">
        <v>200</v>
      </c>
      <c r="F16" s="247" t="s">
        <v>201</v>
      </c>
      <c r="G16" s="243">
        <v>2770300</v>
      </c>
      <c r="H16" s="244">
        <v>-110812</v>
      </c>
      <c r="I16" s="298">
        <f t="shared" si="6"/>
        <v>135467.67</v>
      </c>
      <c r="J16" s="298">
        <f t="shared" si="7"/>
        <v>110812</v>
      </c>
      <c r="K16" s="298">
        <f t="shared" si="8"/>
        <v>55406</v>
      </c>
      <c r="L16" s="298">
        <v>15000</v>
      </c>
      <c r="M16" s="295">
        <f t="shared" si="9"/>
        <v>3197797.67</v>
      </c>
      <c r="N16" s="303">
        <f ref="N16:N19" t="shared" si="14">+M16*8%</f>
        <v>255823.8136</v>
      </c>
      <c r="O16" s="303">
        <v>1990000</v>
      </c>
      <c r="P16" s="303"/>
      <c r="Q16" s="300"/>
      <c r="R16" s="335">
        <f t="shared" si="2"/>
        <v>5443621.4836</v>
      </c>
      <c r="S16" s="335">
        <f t="shared" si="3"/>
        <v>25582.38136</v>
      </c>
      <c r="T16" s="336">
        <f ref="T16:T19" t="shared" si="15">R16+S16</f>
        <v>5469203.86496</v>
      </c>
      <c r="U16" s="337">
        <v>44319</v>
      </c>
      <c r="V16" s="338">
        <v>44408</v>
      </c>
      <c r="X16" s="350"/>
      <c r="Y16" s="350"/>
    </row>
    <row r="17" ht="18" customHeight="1">
      <c r="A17" s="238" t="s">
        <v>24</v>
      </c>
      <c r="B17" s="239" t="s">
        <v>912</v>
      </c>
      <c r="C17" s="929" t="s">
        <v>913</v>
      </c>
      <c r="D17" s="1001" t="s">
        <v>34</v>
      </c>
      <c r="E17" s="247" t="s">
        <v>200</v>
      </c>
      <c r="F17" s="247" t="s">
        <v>201</v>
      </c>
      <c r="G17" s="243">
        <v>2770300</v>
      </c>
      <c r="H17" s="244"/>
      <c r="I17" s="298">
        <f t="shared" si="6"/>
        <v>135467.67</v>
      </c>
      <c r="J17" s="298">
        <f t="shared" si="7"/>
        <v>110812</v>
      </c>
      <c r="K17" s="298">
        <f t="shared" si="8"/>
        <v>55406</v>
      </c>
      <c r="L17" s="298">
        <v>15000</v>
      </c>
      <c r="M17" s="295">
        <f t="shared" si="9"/>
        <v>3086985.67</v>
      </c>
      <c r="N17" s="303">
        <f t="shared" si="14"/>
        <v>246958.8536</v>
      </c>
      <c r="O17" s="303">
        <v>1610000</v>
      </c>
      <c r="P17" s="303"/>
      <c r="Q17" s="300"/>
      <c r="R17" s="335">
        <f t="shared" si="2"/>
        <v>4943944.5236</v>
      </c>
      <c r="S17" s="335">
        <f t="shared" si="3"/>
        <v>24695.88536</v>
      </c>
      <c r="T17" s="336">
        <f t="shared" si="15"/>
        <v>4968640.40896</v>
      </c>
      <c r="U17" s="337">
        <v>44385</v>
      </c>
      <c r="V17" s="338">
        <v>44469</v>
      </c>
      <c r="X17" s="350"/>
      <c r="Y17" s="350"/>
    </row>
    <row r="18" ht="18" customHeight="1">
      <c r="A18" s="238" t="s">
        <v>24</v>
      </c>
      <c r="B18" s="1002" t="s">
        <v>914</v>
      </c>
      <c r="C18" s="1003" t="s">
        <v>232</v>
      </c>
      <c r="D18" s="1004" t="s">
        <v>34</v>
      </c>
      <c r="E18" s="1005" t="s">
        <v>200</v>
      </c>
      <c r="F18" s="1005" t="s">
        <v>201</v>
      </c>
      <c r="G18" s="1006">
        <v>2770300</v>
      </c>
      <c r="H18" s="1007"/>
      <c r="I18" s="1014">
        <f>+'BALI ANTERAJA AGUSTUS - OK'!$G$4*4.89%</f>
        <v>135467.67</v>
      </c>
      <c r="J18" s="1014">
        <f>+'BALI ANTERAJA AGUSTUS - OK'!$G$4*4%</f>
        <v>110812</v>
      </c>
      <c r="K18" s="1014">
        <f>+'BALI ANTERAJA AGUSTUS - OK'!$G$4*2%</f>
        <v>55406</v>
      </c>
      <c r="L18" s="1014">
        <v>15000</v>
      </c>
      <c r="M18" s="865">
        <f t="shared" si="9"/>
        <v>3086985.67</v>
      </c>
      <c r="N18" s="403">
        <f t="shared" si="14"/>
        <v>246958.8536</v>
      </c>
      <c r="O18" s="403">
        <v>1910000</v>
      </c>
      <c r="P18" s="403"/>
      <c r="Q18" s="403"/>
      <c r="R18" s="1015">
        <f t="shared" si="2"/>
        <v>5243944.5236</v>
      </c>
      <c r="S18" s="1015">
        <f t="shared" si="3"/>
        <v>24695.88536</v>
      </c>
      <c r="T18" s="1016">
        <f t="shared" si="15"/>
        <v>5268640.40896</v>
      </c>
      <c r="U18" s="1017">
        <v>44317</v>
      </c>
      <c r="V18" s="1018">
        <v>44408</v>
      </c>
      <c r="W18" s="715" t="s">
        <v>915</v>
      </c>
      <c r="X18" s="1019"/>
      <c r="Y18" s="1019"/>
    </row>
    <row r="19" ht="18" customHeight="1">
      <c r="A19" s="238" t="s">
        <v>24</v>
      </c>
      <c r="B19" s="1002" t="s">
        <v>709</v>
      </c>
      <c r="C19" s="1008" t="s">
        <v>248</v>
      </c>
      <c r="D19" s="1004" t="s">
        <v>34</v>
      </c>
      <c r="E19" s="1005" t="s">
        <v>200</v>
      </c>
      <c r="F19" s="1005" t="s">
        <v>201</v>
      </c>
      <c r="G19" s="1009">
        <v>2770300</v>
      </c>
      <c r="H19" s="1010"/>
      <c r="I19" s="1014">
        <f>+'BALI CK AGUSTUS - OK'!$G$4*4.89%</f>
        <v>135467.67</v>
      </c>
      <c r="J19" s="1014">
        <f>+'BALI CK AGUSTUS - OK'!$G$4*4%</f>
        <v>110812</v>
      </c>
      <c r="K19" s="1014">
        <f>+'BALI CK AGUSTUS - OK'!$G$4*2%</f>
        <v>55406</v>
      </c>
      <c r="L19" s="1014">
        <v>15000</v>
      </c>
      <c r="M19" s="865">
        <f t="shared" si="9"/>
        <v>3086985.67</v>
      </c>
      <c r="N19" s="403">
        <f t="shared" si="14"/>
        <v>246958.8536</v>
      </c>
      <c r="O19" s="403">
        <v>2040000</v>
      </c>
      <c r="P19" s="403"/>
      <c r="Q19" s="403"/>
      <c r="R19" s="1015">
        <f t="shared" si="2"/>
        <v>5373944.5236</v>
      </c>
      <c r="S19" s="1015">
        <f t="shared" si="3"/>
        <v>24695.88536</v>
      </c>
      <c r="T19" s="1016">
        <f t="shared" si="15"/>
        <v>5398640.40896</v>
      </c>
      <c r="U19" s="1017">
        <v>44378</v>
      </c>
      <c r="V19" s="1018">
        <v>44408</v>
      </c>
      <c r="W19" s="715" t="s">
        <v>915</v>
      </c>
      <c r="X19" s="1019"/>
      <c r="Y19" s="1019"/>
    </row>
    <row r="20" ht="18" customHeight="1">
      <c r="A20" s="1744" t="s">
        <v>30</v>
      </c>
      <c r="B20" s="1867"/>
      <c r="C20" s="1745"/>
      <c r="D20" s="1745"/>
      <c r="E20" s="1745"/>
      <c r="F20" s="1745"/>
      <c r="G20" s="1011">
        <f ref="G20:T20" t="shared" si="16">SUM(G11:G19)</f>
        <v>24932700</v>
      </c>
      <c r="H20" s="1011">
        <f t="shared" si="16"/>
        <v>-664872</v>
      </c>
      <c r="I20" s="1011">
        <f t="shared" si="16"/>
        <v>1219209.03</v>
      </c>
      <c r="J20" s="1011">
        <f t="shared" si="16"/>
        <v>997308</v>
      </c>
      <c r="K20" s="1011">
        <f t="shared" si="16"/>
        <v>498654</v>
      </c>
      <c r="L20" s="1011">
        <f t="shared" si="16"/>
        <v>135000</v>
      </c>
      <c r="M20" s="1011">
        <f t="shared" si="16"/>
        <v>28447743.03</v>
      </c>
      <c r="N20" s="1011">
        <f t="shared" si="16"/>
        <v>2275819.4424</v>
      </c>
      <c r="O20" s="1011">
        <f t="shared" si="16"/>
        <v>21250000</v>
      </c>
      <c r="P20" s="1011">
        <f t="shared" si="16"/>
        <v>0</v>
      </c>
      <c r="Q20" s="1011">
        <f t="shared" si="16"/>
        <v>0</v>
      </c>
      <c r="R20" s="1011">
        <f t="shared" si="16"/>
        <v>51973562.4724</v>
      </c>
      <c r="S20" s="1011">
        <f t="shared" si="16"/>
        <v>227581.94424</v>
      </c>
      <c r="T20" s="1011">
        <f t="shared" si="16"/>
        <v>52201144.41664</v>
      </c>
      <c r="U20" s="386"/>
      <c r="V20" s="333"/>
    </row>
    <row r="21" ht="18" customHeight="1">
      <c r="A21" s="0" t="s">
        <v>30</v>
      </c>
      <c r="B21" s="1861"/>
      <c r="C21" s="209"/>
      <c r="D21" s="208"/>
      <c r="E21" s="208"/>
      <c r="F21" s="208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V21" s="317"/>
    </row>
    <row r="22" ht="18" customHeight="1">
      <c r="A22" s="1760" t="s">
        <v>30</v>
      </c>
      <c r="B22" s="1890"/>
      <c r="C22" s="1749"/>
      <c r="D22" s="1749"/>
      <c r="E22" s="1749"/>
      <c r="F22" s="1749"/>
      <c r="G22" s="548">
        <f ref="G22:T22" t="shared" si="17">+G20+G8</f>
        <v>27862792.64</v>
      </c>
      <c r="H22" s="548">
        <f t="shared" si="17"/>
        <v>-664872</v>
      </c>
      <c r="I22" s="548">
        <f t="shared" si="17"/>
        <v>1362490.560096</v>
      </c>
      <c r="J22" s="548">
        <f t="shared" si="17"/>
        <v>1114511.7056</v>
      </c>
      <c r="K22" s="548">
        <f t="shared" si="17"/>
        <v>557255.8528</v>
      </c>
      <c r="L22" s="548">
        <f t="shared" si="17"/>
        <v>136667</v>
      </c>
      <c r="M22" s="548">
        <f t="shared" si="17"/>
        <v>31698589.758496</v>
      </c>
      <c r="N22" s="548">
        <f t="shared" si="17"/>
        <v>2535887.18067968</v>
      </c>
      <c r="O22" s="548">
        <f t="shared" si="17"/>
        <v>21750000</v>
      </c>
      <c r="P22" s="548">
        <f t="shared" si="17"/>
        <v>0</v>
      </c>
      <c r="Q22" s="548">
        <f t="shared" si="17"/>
        <v>230000</v>
      </c>
      <c r="R22" s="548">
        <f t="shared" si="17"/>
        <v>56214476.9391757</v>
      </c>
      <c r="S22" s="548">
        <f t="shared" si="17"/>
        <v>253588.718067968</v>
      </c>
      <c r="T22" s="548">
        <f t="shared" si="17"/>
        <v>56468065.6572436</v>
      </c>
      <c r="U22" s="548"/>
      <c r="V22" s="549"/>
    </row>
    <row r="23" ht="15.75" customHeight="1">
      <c r="A23" s="266" t="s">
        <v>30</v>
      </c>
      <c r="B23" s="1868"/>
      <c r="C23" s="266"/>
      <c r="D23" s="266"/>
      <c r="E23" s="266"/>
      <c r="F23" s="266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</row>
    <row r="24">
      <c r="A24" s="0" t="s">
        <v>30</v>
      </c>
      <c r="B24" s="1869"/>
      <c r="C24" s="264" t="str">
        <f>+'MALANG BAT 2 AGUSTUS - OK'!C11</f>
        <v>Karawang, 16 Agustus 2021</v>
      </c>
      <c r="D24" s="270"/>
      <c r="E24" s="270"/>
      <c r="F24" s="270"/>
      <c r="G24" s="271"/>
      <c r="H24" s="271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48"/>
      <c r="V24" s="317"/>
    </row>
    <row r="25">
      <c r="A25" s="0" t="s">
        <v>30</v>
      </c>
      <c r="B25" s="1870"/>
      <c r="C25" s="264" t="s">
        <v>916</v>
      </c>
      <c r="D25" s="263"/>
      <c r="E25" s="264"/>
      <c r="F25" s="264"/>
      <c r="G25" s="210"/>
      <c r="H25" s="210"/>
      <c r="I25" s="270"/>
      <c r="J25" s="270"/>
      <c r="K25" s="270"/>
      <c r="L25" s="270"/>
      <c r="M25" s="270"/>
      <c r="N25" s="310"/>
      <c r="O25" s="310"/>
      <c r="P25" s="310"/>
      <c r="Q25" s="310"/>
      <c r="R25" s="270"/>
      <c r="S25" s="270"/>
      <c r="T25" s="310"/>
      <c r="U25" s="348"/>
      <c r="V25" s="317"/>
    </row>
    <row r="26">
      <c r="A26" s="0" t="s">
        <v>30</v>
      </c>
      <c r="B26" s="1869"/>
      <c r="C26" s="445"/>
      <c r="D26" s="274"/>
      <c r="E26" s="264"/>
      <c r="F26" s="264"/>
      <c r="G26" s="275"/>
      <c r="H26" s="275"/>
      <c r="I26" s="262"/>
      <c r="J26" s="262"/>
      <c r="K26" s="262"/>
      <c r="L26" s="312"/>
      <c r="M26" s="263" t="s">
        <v>39</v>
      </c>
      <c r="N26" s="313"/>
      <c r="O26" s="387"/>
      <c r="P26" s="387"/>
      <c r="Q26" s="387"/>
      <c r="R26" s="349"/>
      <c r="S26" s="270"/>
      <c r="T26" s="313"/>
      <c r="U26" s="348"/>
      <c r="V26" s="348"/>
    </row>
    <row r="27">
      <c r="A27" s="0" t="s">
        <v>30</v>
      </c>
      <c r="B27" s="1871"/>
      <c r="C27" s="446"/>
      <c r="D27" s="209"/>
      <c r="E27" s="208"/>
      <c r="F27" s="208"/>
      <c r="G27" s="275"/>
      <c r="H27" s="275"/>
      <c r="I27" s="262"/>
      <c r="J27" s="315"/>
      <c r="K27" s="262"/>
      <c r="L27" s="312"/>
      <c r="M27" s="262"/>
      <c r="N27" s="270"/>
      <c r="O27" s="313"/>
      <c r="P27" s="270"/>
      <c r="Q27" s="270"/>
      <c r="R27" s="349"/>
      <c r="S27" s="270"/>
      <c r="T27" s="270"/>
      <c r="U27" s="348"/>
      <c r="V27" s="348"/>
    </row>
    <row r="28">
      <c r="A28" s="0" t="s">
        <v>30</v>
      </c>
      <c r="B28" s="1871"/>
      <c r="C28" s="446"/>
      <c r="D28" s="209"/>
      <c r="E28" s="208"/>
      <c r="F28" s="208"/>
      <c r="G28" s="210"/>
      <c r="H28" s="210"/>
      <c r="I28" s="210"/>
      <c r="J28" s="270"/>
      <c r="K28" s="270"/>
      <c r="L28" s="310"/>
      <c r="M28" s="270"/>
      <c r="N28" s="270"/>
      <c r="O28" s="270"/>
      <c r="P28" s="270"/>
      <c r="Q28" s="270"/>
      <c r="R28" s="208"/>
      <c r="S28" s="270"/>
      <c r="T28" s="270"/>
      <c r="U28" s="348"/>
      <c r="V28" s="348"/>
    </row>
    <row r="29">
      <c r="A29" s="0" t="s">
        <v>30</v>
      </c>
      <c r="B29" s="1869"/>
      <c r="C29" s="445"/>
      <c r="D29" s="274"/>
      <c r="E29" s="264"/>
      <c r="F29" s="264"/>
      <c r="G29" s="275"/>
      <c r="H29" s="275"/>
      <c r="I29" s="275"/>
      <c r="J29" s="262"/>
      <c r="K29" s="262"/>
      <c r="L29" s="312"/>
      <c r="M29" s="262"/>
      <c r="N29" s="262"/>
      <c r="O29" s="262"/>
      <c r="P29" s="262"/>
      <c r="Q29" s="262"/>
      <c r="R29" s="264"/>
      <c r="S29" s="270"/>
      <c r="T29" s="270"/>
      <c r="U29" s="348"/>
      <c r="V29" s="348"/>
    </row>
    <row r="30">
      <c r="A30" s="0" t="s">
        <v>30</v>
      </c>
      <c r="B30" s="1870"/>
      <c r="C30" s="264"/>
      <c r="D30" s="264"/>
      <c r="E30" s="264"/>
      <c r="F30" s="264"/>
      <c r="G30" s="275"/>
      <c r="H30" s="275"/>
      <c r="I30" s="275"/>
      <c r="J30" s="262"/>
      <c r="K30" s="262"/>
      <c r="L30" s="312"/>
      <c r="M30" s="262"/>
      <c r="N30" s="262"/>
      <c r="O30" s="262"/>
      <c r="P30" s="262"/>
      <c r="Q30" s="262"/>
      <c r="R30" s="264"/>
      <c r="S30" s="208"/>
      <c r="T30" s="270"/>
      <c r="U30" s="348"/>
      <c r="V30" s="348"/>
    </row>
    <row r="31">
      <c r="A31" s="0" t="s">
        <v>30</v>
      </c>
      <c r="B31" s="1870"/>
      <c r="C31" s="264"/>
      <c r="D31" s="264"/>
      <c r="E31" s="264"/>
      <c r="F31" s="264"/>
      <c r="G31" s="275"/>
      <c r="H31" s="275"/>
      <c r="I31" s="275"/>
      <c r="J31" s="262"/>
      <c r="K31" s="262"/>
      <c r="L31" s="312"/>
      <c r="M31" s="262"/>
      <c r="N31" s="262"/>
      <c r="O31" s="262"/>
      <c r="P31" s="262"/>
      <c r="Q31" s="262"/>
      <c r="R31" s="264"/>
      <c r="S31" s="270"/>
      <c r="T31" s="387"/>
      <c r="U31" s="348"/>
      <c r="V31" s="348"/>
    </row>
    <row r="32">
      <c r="A32" s="0" t="s">
        <v>30</v>
      </c>
      <c r="B32" s="1870"/>
      <c r="C32" s="264" t="s">
        <v>40</v>
      </c>
      <c r="D32" s="387"/>
      <c r="E32" s="264"/>
      <c r="F32" s="264"/>
      <c r="G32" s="275"/>
      <c r="H32" s="275"/>
      <c r="I32" s="275"/>
      <c r="J32" s="312" t="s">
        <v>41</v>
      </c>
      <c r="K32" s="263"/>
      <c r="L32" s="263"/>
      <c r="M32" s="263" t="s">
        <v>42</v>
      </c>
      <c r="N32" s="387"/>
      <c r="O32" s="264" t="s">
        <v>43</v>
      </c>
      <c r="P32" s="264"/>
      <c r="Q32" s="263"/>
      <c r="R32" s="387"/>
      <c r="S32" s="387"/>
      <c r="T32" s="387"/>
      <c r="U32" s="350"/>
      <c r="V32" s="350"/>
    </row>
    <row r="33">
      <c r="A33" s="263" t="s">
        <v>30</v>
      </c>
      <c r="B33" s="1868"/>
      <c r="C33" s="274"/>
      <c r="D33" s="264"/>
      <c r="E33" s="264"/>
      <c r="F33" s="279"/>
      <c r="G33" s="275"/>
      <c r="H33" s="275"/>
      <c r="I33" s="263"/>
      <c r="J33" s="263"/>
      <c r="K33" s="263"/>
      <c r="L33" s="263"/>
      <c r="M33" s="275"/>
      <c r="N33" s="263"/>
      <c r="O33" s="263"/>
      <c r="P33" s="263"/>
      <c r="Q33" s="263"/>
      <c r="R33" s="263"/>
      <c r="S33" s="387"/>
      <c r="T33" s="387"/>
      <c r="U33" s="350"/>
      <c r="V33" s="350"/>
    </row>
  </sheetData>
  <mergeCells>
    <mergeCell ref="A8:D8"/>
    <mergeCell ref="A20:F20"/>
    <mergeCell ref="A22:F22"/>
  </mergeCells>
  <printOptions horizontalCentered="1"/>
  <pageMargins left="0.33888888888888902" right="0.12916666666666701" top="0.9" bottom="0.75" header="0.67916666666666703" footer="0.3"/>
  <pageSetup paperSize="9" scale="57" fitToHeight="0" orientation="landscape"/>
  <headerFooter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Y23"/>
  <sheetViews>
    <sheetView zoomScale="85" zoomScaleNormal="85" workbookViewId="0">
      <pane xSplit="7" ySplit="6" topLeftCell="H7" activePane="bottomRight" state="frozen"/>
      <selection activeCell="N20" sqref="N20"/>
      <selection pane="topRight" activeCell="N20" sqref="N20"/>
      <selection pane="bottomLeft" activeCell="N20" sqref="N20"/>
      <selection pane="bottomRight" activeCell="N20" sqref="N20"/>
    </sheetView>
  </sheetViews>
  <sheetFormatPr defaultColWidth="9.140625" defaultRowHeight="15"/>
  <cols>
    <col min="1" max="2" width="4.85546875" customWidth="1"/>
    <col min="3" max="3" width="19.140625" customWidth="1"/>
    <col min="4" max="4" width="10.140625" customWidth="1"/>
    <col min="5" max="5" hidden="1" width="4.7109375" customWidth="1"/>
    <col min="6" max="6" hidden="1" width="7.140625" customWidth="1"/>
    <col min="7" max="7" bestFit="1" width="10.5703125" customWidth="1"/>
    <col min="8" max="8" width="9" customWidth="1"/>
    <col min="9" max="9" width="7.7109375" customWidth="1"/>
    <col min="10" max="10" width="12.42578125" customWidth="1"/>
    <col min="11" max="11" width="7.7109375" customWidth="1"/>
    <col min="12" max="12" width="9.7109375" customWidth="1"/>
    <col min="13" max="13" bestFit="1" width="11.5703125" customWidth="1"/>
    <col min="14" max="14" width="9.5703125" customWidth="1"/>
    <col min="15" max="15" width="9" customWidth="1"/>
    <col min="16" max="16" width="5.7109375" customWidth="1"/>
    <col min="17" max="17" width="8.5703125" customWidth="1"/>
    <col min="18" max="18" width="9.85546875" customWidth="1"/>
    <col min="19" max="19" width="6.85546875" customWidth="1"/>
    <col min="20" max="20" width="9.85546875" customWidth="1"/>
    <col min="21" max="21" width="7.28515625" customWidth="1"/>
    <col min="22" max="22" width="8.140625" customWidth="1"/>
    <col min="23" max="23" width="9.140625" customWidth="1"/>
  </cols>
  <sheetData>
    <row r="1">
      <c r="A1" s="550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550" t="s">
        <v>857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550" t="str">
        <f>+'MALANG BAT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M3" s="210"/>
      <c r="U3" s="316"/>
      <c r="V3" s="317"/>
    </row>
    <row r="4">
      <c r="A4" s="207"/>
      <c r="B4" s="208"/>
      <c r="C4" s="209"/>
      <c r="D4" s="208"/>
      <c r="E4" s="208"/>
      <c r="F4" s="208"/>
      <c r="G4" s="900">
        <v>2770300</v>
      </c>
      <c r="H4" s="900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08"/>
      <c r="G5" s="900"/>
      <c r="H5" s="900"/>
      <c r="I5" s="281"/>
      <c r="M5" s="210"/>
      <c r="U5" s="316"/>
      <c r="V5" s="317"/>
    </row>
    <row r="6" ht="33.75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284" t="s">
        <v>14</v>
      </c>
      <c r="N6" s="285" t="s">
        <v>15</v>
      </c>
      <c r="O6" s="285" t="s">
        <v>32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227" t="s">
        <v>30</v>
      </c>
      <c r="B7" s="1876"/>
      <c r="C7" s="925" t="s">
        <v>805</v>
      </c>
      <c r="D7" s="926" t="s">
        <v>34</v>
      </c>
      <c r="E7" s="558" t="s">
        <v>200</v>
      </c>
      <c r="F7" s="558" t="s">
        <v>261</v>
      </c>
      <c r="G7" s="232">
        <f>2770300/31*7</f>
        <v>625551.612903226</v>
      </c>
      <c r="H7" s="233"/>
      <c r="I7" s="293"/>
      <c r="J7" s="293"/>
      <c r="K7" s="293"/>
      <c r="L7" s="293"/>
      <c r="M7" s="295">
        <f>SUM(G7:L7)</f>
        <v>625551.612903226</v>
      </c>
      <c r="N7" s="296">
        <f>+M7*8%</f>
        <v>50044.12903225808</v>
      </c>
      <c r="O7" s="296"/>
      <c r="P7" s="296"/>
      <c r="Q7" s="396"/>
      <c r="R7" s="328">
        <f>SUM(M7:Q7)</f>
        <v>675595.7419354841</v>
      </c>
      <c r="S7" s="328">
        <f>N7*0.1</f>
        <v>5004.412903225809</v>
      </c>
      <c r="T7" s="329">
        <f>R7+S7</f>
        <v>680600.15483871</v>
      </c>
      <c r="U7" s="155">
        <v>44417</v>
      </c>
      <c r="V7" s="330"/>
      <c r="W7" s="996"/>
      <c r="X7" s="350"/>
      <c r="Y7" s="350"/>
    </row>
    <row r="8" ht="18" customHeight="1">
      <c r="A8" s="227" t="s">
        <v>24</v>
      </c>
      <c r="B8" s="1534" t="s">
        <v>705</v>
      </c>
      <c r="C8" s="981" t="s">
        <v>706</v>
      </c>
      <c r="D8" s="982" t="s">
        <v>34</v>
      </c>
      <c r="E8" s="692" t="s">
        <v>200</v>
      </c>
      <c r="F8" s="692" t="s">
        <v>261</v>
      </c>
      <c r="G8" s="983">
        <v>2770300</v>
      </c>
      <c r="H8" s="984"/>
      <c r="I8" s="293">
        <f>+$G$4*4.89%</f>
        <v>135467.67</v>
      </c>
      <c r="J8" s="293">
        <f>+$G$4*4%</f>
        <v>110812</v>
      </c>
      <c r="K8" s="293">
        <f>+$G$4*2%</f>
        <v>55406</v>
      </c>
      <c r="L8" s="293">
        <v>15000</v>
      </c>
      <c r="M8" s="295">
        <f ref="M8:M11" t="shared" si="0">SUM(G8:L8)</f>
        <v>3086985.67</v>
      </c>
      <c r="N8" s="296">
        <f ref="N8:N9" t="shared" si="1">+M8*8%</f>
        <v>246958.8536</v>
      </c>
      <c r="O8" s="994"/>
      <c r="P8" s="994"/>
      <c r="Q8" s="296"/>
      <c r="R8" s="328">
        <f ref="R8:R9" t="shared" si="2">SUM(M8:Q8)</f>
        <v>3333944.5236</v>
      </c>
      <c r="S8" s="328">
        <f ref="S8:S9" t="shared" si="3">N8*0.1</f>
        <v>24695.88536</v>
      </c>
      <c r="T8" s="329">
        <f ref="T8:T9" t="shared" si="4">R8+S8</f>
        <v>3358640.40896</v>
      </c>
      <c r="U8" s="155">
        <v>44378</v>
      </c>
      <c r="V8" s="330">
        <v>44408</v>
      </c>
    </row>
    <row r="9" ht="18" customHeight="1">
      <c r="A9" s="985" t="s">
        <v>24</v>
      </c>
      <c r="B9" s="250">
        <v>2787</v>
      </c>
      <c r="C9" s="986" t="s">
        <v>858</v>
      </c>
      <c r="D9" s="987" t="s">
        <v>34</v>
      </c>
      <c r="E9" s="988" t="s">
        <v>200</v>
      </c>
      <c r="F9" s="988" t="s">
        <v>261</v>
      </c>
      <c r="G9" s="989">
        <f>2770300/31*14</f>
        <v>1251103.22580645</v>
      </c>
      <c r="H9" s="256"/>
      <c r="I9" s="306">
        <f>+$G$4*4.89%</f>
        <v>135467.67</v>
      </c>
      <c r="J9" s="306">
        <f>+$G$4*4%</f>
        <v>110812</v>
      </c>
      <c r="K9" s="306">
        <f>+$G$4*2%</f>
        <v>55406</v>
      </c>
      <c r="L9" s="306">
        <v>15000</v>
      </c>
      <c r="M9" s="295">
        <f t="shared" si="0"/>
        <v>1567788.89580645</v>
      </c>
      <c r="N9" s="995">
        <f t="shared" si="1"/>
        <v>125423.111664516</v>
      </c>
      <c r="O9" s="995"/>
      <c r="P9" s="995"/>
      <c r="Q9" s="995"/>
      <c r="R9" s="342">
        <f t="shared" si="2"/>
        <v>1693212.0074709659</v>
      </c>
      <c r="S9" s="342">
        <f t="shared" si="3"/>
        <v>12542.3111664516</v>
      </c>
      <c r="T9" s="343">
        <f t="shared" si="4"/>
        <v>1705754.3186374174</v>
      </c>
      <c r="U9" s="346">
        <v>44410</v>
      </c>
      <c r="V9" s="347">
        <v>44500</v>
      </c>
      <c r="W9" s="206" t="s">
        <v>859</v>
      </c>
    </row>
    <row r="10" ht="18" customHeight="1">
      <c r="A10" s="220" t="s">
        <v>31</v>
      </c>
      <c r="B10" s="1909" t="s">
        <v>860</v>
      </c>
      <c r="C10" s="990" t="s">
        <v>861</v>
      </c>
      <c r="D10" s="991" t="s">
        <v>34</v>
      </c>
      <c r="E10" s="992" t="s">
        <v>200</v>
      </c>
      <c r="F10" s="992" t="s">
        <v>261</v>
      </c>
      <c r="G10" s="993">
        <f>2770300/31*24</f>
        <v>2144748.38709677</v>
      </c>
      <c r="H10" s="593"/>
      <c r="I10" s="287">
        <f>+$G$4*4.89%</f>
        <v>135467.67</v>
      </c>
      <c r="J10" s="287">
        <f>+$G$4*4%</f>
        <v>110812</v>
      </c>
      <c r="K10" s="287">
        <f>+$G$4*2%</f>
        <v>55406</v>
      </c>
      <c r="L10" s="287">
        <v>15000</v>
      </c>
      <c r="M10" s="295">
        <f t="shared" si="0"/>
        <v>2461434.05709677</v>
      </c>
      <c r="N10" s="290">
        <f ref="N10:N11" t="shared" si="5">+M10*8%</f>
        <v>196914.72456774162</v>
      </c>
      <c r="O10" s="290"/>
      <c r="P10" s="290"/>
      <c r="Q10" s="290"/>
      <c r="R10" s="323">
        <f ref="R10:R11" t="shared" si="6">SUM(M10:Q10)</f>
        <v>2658348.7816645117</v>
      </c>
      <c r="S10" s="323">
        <f ref="S10:S11" t="shared" si="7">N10*0.1</f>
        <v>19691.472456774165</v>
      </c>
      <c r="T10" s="324">
        <f ref="T10:T11" t="shared" si="8">R10+S10</f>
        <v>2678040.254121286</v>
      </c>
      <c r="U10" s="325">
        <v>44378</v>
      </c>
      <c r="V10" s="326">
        <v>44417</v>
      </c>
      <c r="W10" s="997" t="s">
        <v>862</v>
      </c>
    </row>
    <row r="11" ht="18" customHeight="1">
      <c r="A11" s="220" t="s">
        <v>31</v>
      </c>
      <c r="B11" s="1909" t="s">
        <v>863</v>
      </c>
      <c r="C11" s="990" t="s">
        <v>864</v>
      </c>
      <c r="D11" s="991" t="s">
        <v>34</v>
      </c>
      <c r="E11" s="992" t="s">
        <v>200</v>
      </c>
      <c r="F11" s="992" t="s">
        <v>261</v>
      </c>
      <c r="G11" s="993">
        <f>2770300/31*15</f>
        <v>1340467.74193548</v>
      </c>
      <c r="H11" s="593"/>
      <c r="I11" s="287"/>
      <c r="J11" s="287"/>
      <c r="K11" s="287"/>
      <c r="L11" s="287"/>
      <c r="M11" s="295">
        <f t="shared" si="0"/>
        <v>1340467.74193548</v>
      </c>
      <c r="N11" s="290">
        <f t="shared" si="5"/>
        <v>107237.41935483839</v>
      </c>
      <c r="O11" s="290"/>
      <c r="P11" s="290"/>
      <c r="Q11" s="290"/>
      <c r="R11" s="323">
        <f t="shared" si="6"/>
        <v>1447705.1612903182</v>
      </c>
      <c r="S11" s="323">
        <f t="shared" si="7"/>
        <v>10723.74193548384</v>
      </c>
      <c r="T11" s="324">
        <f t="shared" si="8"/>
        <v>1458428.9032258021</v>
      </c>
      <c r="U11" s="325">
        <v>44378</v>
      </c>
      <c r="V11" s="326">
        <v>44408</v>
      </c>
      <c r="W11" s="997" t="s">
        <v>865</v>
      </c>
    </row>
    <row r="12" ht="18" customHeight="1">
      <c r="A12" s="1744" t="s">
        <v>30</v>
      </c>
      <c r="B12" s="1867"/>
      <c r="C12" s="1745"/>
      <c r="D12" s="1745"/>
      <c r="E12" s="1745"/>
      <c r="F12" s="1745"/>
      <c r="G12" s="234">
        <f>SUM(G7:G11)</f>
        <v>8132170.96774193</v>
      </c>
      <c r="H12" s="234">
        <f ref="H12:T12" t="shared" si="9">SUM(H7:H11)</f>
        <v>0</v>
      </c>
      <c r="I12" s="234">
        <f t="shared" si="9"/>
        <v>406403.01</v>
      </c>
      <c r="J12" s="234">
        <f t="shared" si="9"/>
        <v>332436</v>
      </c>
      <c r="K12" s="234">
        <f t="shared" si="9"/>
        <v>166218</v>
      </c>
      <c r="L12" s="234">
        <f t="shared" si="9"/>
        <v>45000</v>
      </c>
      <c r="M12" s="234">
        <f t="shared" si="9"/>
        <v>9082227.977741927</v>
      </c>
      <c r="N12" s="234">
        <f t="shared" si="9"/>
        <v>726578.2382193542</v>
      </c>
      <c r="O12" s="234">
        <f t="shared" si="9"/>
        <v>0</v>
      </c>
      <c r="P12" s="234">
        <f t="shared" si="9"/>
        <v>0</v>
      </c>
      <c r="Q12" s="234">
        <f t="shared" si="9"/>
        <v>0</v>
      </c>
      <c r="R12" s="234">
        <f t="shared" si="9"/>
        <v>9808806.21596128</v>
      </c>
      <c r="S12" s="234">
        <f t="shared" si="9"/>
        <v>72657.82382193541</v>
      </c>
      <c r="T12" s="234">
        <f t="shared" si="9"/>
        <v>9881464.039783215</v>
      </c>
      <c r="U12" s="332"/>
      <c r="V12" s="333"/>
    </row>
    <row r="13">
      <c r="A13" s="0" t="s">
        <v>30</v>
      </c>
      <c r="B13" s="1910"/>
      <c r="C13" s="209"/>
      <c r="D13" s="208"/>
      <c r="E13" s="208"/>
      <c r="F13" s="208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316"/>
      <c r="V13" s="317"/>
    </row>
    <row r="14">
      <c r="A14" s="0" t="s">
        <v>30</v>
      </c>
      <c r="B14" s="1910"/>
      <c r="D14" s="262"/>
      <c r="E14" s="263"/>
      <c r="F14" s="264"/>
      <c r="G14" s="210"/>
      <c r="H14" s="2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48"/>
      <c r="V14" s="317"/>
    </row>
    <row r="15">
      <c r="A15" s="0" t="s">
        <v>30</v>
      </c>
      <c r="B15" s="1870"/>
      <c r="D15" s="263"/>
      <c r="E15" s="264"/>
      <c r="F15" s="264"/>
      <c r="G15" s="210"/>
      <c r="H15" s="210"/>
      <c r="I15" s="270"/>
      <c r="J15" s="270"/>
      <c r="K15" s="270"/>
      <c r="L15" s="270"/>
      <c r="M15" s="270"/>
      <c r="N15" s="310"/>
      <c r="O15" s="310"/>
      <c r="P15" s="310"/>
      <c r="Q15" s="310"/>
      <c r="R15" s="270"/>
      <c r="S15" s="270"/>
      <c r="T15" s="310"/>
      <c r="U15" s="348"/>
      <c r="V15" s="317"/>
    </row>
    <row r="16">
      <c r="A16" s="0" t="s">
        <v>30</v>
      </c>
      <c r="B16" s="1869"/>
      <c r="C16" s="264" t="str">
        <f>+'MALANG BAT AGUSTUS - OK'!C26</f>
        <v>Karawang, 16 Agustus 2021</v>
      </c>
      <c r="D16" s="274"/>
      <c r="E16" s="264"/>
      <c r="F16" s="264"/>
      <c r="G16" s="275"/>
      <c r="H16" s="275"/>
      <c r="I16" s="262"/>
      <c r="J16" s="262"/>
      <c r="K16" s="262"/>
      <c r="L16" s="312"/>
      <c r="M16" s="263" t="s">
        <v>39</v>
      </c>
      <c r="N16" s="313"/>
      <c r="R16" s="349"/>
      <c r="S16" s="270"/>
      <c r="T16" s="313"/>
      <c r="U16" s="348"/>
      <c r="V16" s="348"/>
    </row>
    <row r="17">
      <c r="A17" s="0" t="s">
        <v>30</v>
      </c>
      <c r="B17" s="1871"/>
      <c r="C17" s="264" t="s">
        <v>38</v>
      </c>
      <c r="D17" s="209"/>
      <c r="E17" s="208"/>
      <c r="F17" s="208"/>
      <c r="G17" s="275"/>
      <c r="H17" s="275"/>
      <c r="I17" s="262"/>
      <c r="J17" s="315"/>
      <c r="K17" s="262"/>
      <c r="L17" s="312"/>
      <c r="M17" s="262"/>
      <c r="N17" s="270"/>
      <c r="O17" s="270"/>
      <c r="P17" s="270"/>
      <c r="Q17" s="270"/>
      <c r="R17" s="349"/>
      <c r="S17" s="270"/>
      <c r="T17" s="270"/>
      <c r="U17" s="348"/>
      <c r="V17" s="348"/>
    </row>
    <row r="18">
      <c r="A18" s="0" t="s">
        <v>30</v>
      </c>
      <c r="B18" s="1871"/>
      <c r="C18" s="446"/>
      <c r="D18" s="209"/>
      <c r="E18" s="208"/>
      <c r="F18" s="208"/>
      <c r="G18" s="210"/>
      <c r="H18" s="210"/>
      <c r="I18" s="210"/>
      <c r="J18" s="270"/>
      <c r="K18" s="270"/>
      <c r="L18" s="310"/>
      <c r="M18" s="270"/>
      <c r="N18" s="270"/>
      <c r="O18" s="270"/>
      <c r="P18" s="270"/>
      <c r="Q18" s="270"/>
      <c r="R18" s="208"/>
      <c r="S18" s="270"/>
      <c r="T18" s="270"/>
      <c r="U18" s="348"/>
      <c r="V18" s="348"/>
    </row>
    <row r="19">
      <c r="A19" s="0" t="s">
        <v>30</v>
      </c>
      <c r="B19" s="1869"/>
      <c r="C19" s="445"/>
      <c r="D19" s="274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262"/>
      <c r="P19" s="262"/>
      <c r="Q19" s="262"/>
      <c r="R19" s="264"/>
      <c r="S19" s="270"/>
      <c r="T19" s="270"/>
      <c r="U19" s="348"/>
      <c r="V19" s="348"/>
    </row>
    <row r="20">
      <c r="A20" s="0" t="s">
        <v>30</v>
      </c>
      <c r="B20" s="1870"/>
      <c r="C20" s="264"/>
      <c r="D20" s="264"/>
      <c r="E20" s="264"/>
      <c r="F20" s="264"/>
      <c r="G20" s="275"/>
      <c r="H20" s="275"/>
      <c r="I20" s="275"/>
      <c r="J20" s="262"/>
      <c r="K20" s="262"/>
      <c r="L20" s="312"/>
      <c r="M20" s="262"/>
      <c r="N20" s="262"/>
      <c r="O20" s="262"/>
      <c r="P20" s="262"/>
      <c r="Q20" s="262"/>
      <c r="R20" s="264"/>
      <c r="S20" s="208"/>
      <c r="T20" s="270"/>
      <c r="U20" s="348"/>
      <c r="V20" s="348"/>
    </row>
    <row r="21">
      <c r="A21" s="0" t="s">
        <v>30</v>
      </c>
      <c r="B21" s="1870"/>
      <c r="C21" s="264"/>
      <c r="D21" s="264"/>
      <c r="E21" s="264"/>
      <c r="F21" s="264"/>
      <c r="G21" s="275"/>
      <c r="H21" s="275"/>
      <c r="I21" s="275"/>
      <c r="J21" s="262"/>
      <c r="K21" s="262"/>
      <c r="L21" s="312"/>
      <c r="M21" s="262"/>
      <c r="N21" s="262"/>
      <c r="O21" s="262"/>
      <c r="P21" s="262"/>
      <c r="Q21" s="262"/>
      <c r="R21" s="264"/>
      <c r="S21" s="270"/>
      <c r="U21" s="348"/>
      <c r="V21" s="348"/>
    </row>
    <row r="22">
      <c r="A22" s="0" t="s">
        <v>30</v>
      </c>
      <c r="B22" s="1870"/>
      <c r="C22" s="264" t="s">
        <v>40</v>
      </c>
      <c r="E22" s="264"/>
      <c r="F22" s="264"/>
      <c r="G22" s="275"/>
      <c r="H22" s="275"/>
      <c r="I22" s="275"/>
      <c r="J22" s="312" t="s">
        <v>41</v>
      </c>
      <c r="K22" s="263"/>
      <c r="L22" s="263"/>
      <c r="M22" s="263" t="s">
        <v>42</v>
      </c>
      <c r="N22" s="264" t="s">
        <v>43</v>
      </c>
      <c r="Q22" s="263"/>
      <c r="U22" s="350"/>
      <c r="V22" s="350"/>
    </row>
    <row r="23">
      <c r="A23" s="263" t="s">
        <v>30</v>
      </c>
      <c r="B23" s="1868"/>
      <c r="C23" s="264"/>
      <c r="D23" s="264"/>
      <c r="E23" s="264"/>
      <c r="F23" s="279"/>
      <c r="G23" s="275"/>
      <c r="H23" s="275"/>
      <c r="I23" s="263"/>
      <c r="J23" s="263"/>
      <c r="K23" s="263"/>
      <c r="L23" s="263"/>
      <c r="M23" s="275"/>
      <c r="N23" s="263"/>
      <c r="O23" s="263"/>
      <c r="P23" s="263"/>
      <c r="Q23" s="263"/>
      <c r="R23" s="263"/>
      <c r="U23" s="350"/>
      <c r="V23" s="350"/>
    </row>
  </sheetData>
  <mergeCells>
    <mergeCell ref="A12:F12"/>
  </mergeCells>
  <printOptions horizontalCentered="1"/>
  <pageMargins left="0.28888888888888897" right="0.12916666666666701" top="0.85" bottom="0.75" header="0.3" footer="0.3"/>
  <pageSetup paperSize="9" scale="75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Y37"/>
  <sheetViews>
    <sheetView zoomScale="85" zoomScaleNormal="85" workbookViewId="0">
      <pane xSplit="7" ySplit="6" topLeftCell="H7" activePane="bottomRight" state="frozen"/>
      <selection activeCell="N20" sqref="N20"/>
      <selection pane="topRight" activeCell="N20" sqref="N20"/>
      <selection pane="bottomLeft" activeCell="N20" sqref="N20"/>
      <selection pane="bottomRight" activeCell="N20" sqref="N20"/>
    </sheetView>
  </sheetViews>
  <sheetFormatPr defaultColWidth="9.140625" defaultRowHeight="15"/>
  <cols>
    <col min="1" max="2" width="4.85546875" customWidth="1"/>
    <col min="3" max="3" width="26.5703125" customWidth="1"/>
    <col min="4" max="4" width="11.5703125" customWidth="1"/>
    <col min="5" max="5" width="6.7109375" customWidth="1"/>
    <col min="6" max="6" width="9.85546875" customWidth="1"/>
    <col min="7" max="7" width="11.85546875" customWidth="1"/>
    <col min="8" max="8" width="9.5703125" customWidth="1"/>
    <col min="9" max="9" width="10.85546875" customWidth="1"/>
    <col min="10" max="10" width="14" customWidth="1"/>
    <col min="11" max="11" width="9.42578125" customWidth="1"/>
    <col min="12" max="12" width="11.140625" customWidth="1"/>
    <col min="13" max="13" width="13.28515625" customWidth="1"/>
    <col min="14" max="14" width="12.85546875" customWidth="1"/>
    <col min="15" max="15" width="11.5703125" customWidth="1"/>
    <col min="16" max="16" width="9" customWidth="1"/>
    <col min="17" max="17" width="9.42578125" customWidth="1"/>
    <col min="18" max="18" width="11.85546875" customWidth="1"/>
    <col min="19" max="19" width="9" customWidth="1"/>
    <col min="20" max="20" width="12.140625" customWidth="1"/>
    <col min="21" max="21" width="7.7109375" customWidth="1"/>
    <col min="22" max="22" width="8" customWidth="1"/>
    <col min="23" max="24" width="9.140625" customWidth="1"/>
  </cols>
  <sheetData>
    <row r="1">
      <c r="A1" s="550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550" t="s">
        <v>786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550" t="str">
        <f>+'MALANG BAT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M3" s="210"/>
      <c r="U3" s="316"/>
      <c r="V3" s="317"/>
    </row>
    <row r="4">
      <c r="A4" s="207"/>
      <c r="B4" s="208"/>
      <c r="C4" s="209"/>
      <c r="D4" s="208"/>
      <c r="E4" s="208"/>
      <c r="F4" s="208"/>
      <c r="G4" s="900">
        <v>2770300</v>
      </c>
      <c r="H4" s="900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08"/>
      <c r="G5" s="900"/>
      <c r="H5" s="900"/>
      <c r="I5" s="281"/>
      <c r="M5" s="210"/>
      <c r="U5" s="316"/>
      <c r="V5" s="317"/>
    </row>
    <row r="6" ht="22.5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284" t="s">
        <v>14</v>
      </c>
      <c r="N6" s="285" t="s">
        <v>15</v>
      </c>
      <c r="O6" s="285" t="s">
        <v>32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227" t="s">
        <v>24</v>
      </c>
      <c r="B7" s="228" t="s">
        <v>787</v>
      </c>
      <c r="C7" s="925" t="s">
        <v>788</v>
      </c>
      <c r="D7" s="926" t="s">
        <v>26</v>
      </c>
      <c r="E7" s="558" t="s">
        <v>200</v>
      </c>
      <c r="F7" s="558" t="s">
        <v>87</v>
      </c>
      <c r="G7" s="154">
        <v>2770300</v>
      </c>
      <c r="H7" s="311"/>
      <c r="I7" s="293">
        <f>+'BALI CK AGUSTUS - OK'!$G$4*4.89%</f>
        <v>135467.67</v>
      </c>
      <c r="J7" s="293">
        <f>+'BALI CK AGUSTUS - OK'!$G$4*4%</f>
        <v>110812</v>
      </c>
      <c r="K7" s="293">
        <f>+'BALI CK AGUSTUS - OK'!$G$4*2%</f>
        <v>55406</v>
      </c>
      <c r="L7" s="293">
        <v>1667</v>
      </c>
      <c r="M7" s="295">
        <f>SUM(G7:L7)</f>
        <v>3073652.67</v>
      </c>
      <c r="N7" s="296">
        <f>+M7*8%</f>
        <v>245892.2136</v>
      </c>
      <c r="O7" s="296">
        <v>500000</v>
      </c>
      <c r="P7" s="296">
        <v>100000</v>
      </c>
      <c r="Q7" s="296">
        <f>27*12000</f>
        <v>324000</v>
      </c>
      <c r="R7" s="328">
        <f ref="R7:R14" t="shared" si="2">SUM(M7:Q7)</f>
        <v>4243544.8836</v>
      </c>
      <c r="S7" s="328">
        <f>N7*0.1</f>
        <v>24589.22136</v>
      </c>
      <c r="T7" s="329">
        <f>R7+S7</f>
        <v>4268134.10496</v>
      </c>
      <c r="U7" s="155">
        <v>44378</v>
      </c>
      <c r="V7" s="330">
        <v>44469</v>
      </c>
      <c r="X7" s="350"/>
      <c r="Y7" s="350"/>
    </row>
    <row r="8" ht="17.25" customHeight="1">
      <c r="A8" s="1761" t="s">
        <v>30</v>
      </c>
      <c r="B8" s="1911"/>
      <c r="C8" s="1762"/>
      <c r="D8" s="1762"/>
      <c r="E8" s="1762"/>
      <c r="F8" s="1763"/>
      <c r="G8" s="234">
        <f>SUM(G7:G7)</f>
        <v>2770300</v>
      </c>
      <c r="H8" s="234">
        <f>SUM(H7:H7)</f>
        <v>0</v>
      </c>
      <c r="I8" s="234">
        <f ref="I8:T8" t="shared" si="5">SUM(I7:I7)</f>
        <v>135467.67</v>
      </c>
      <c r="J8" s="234">
        <f t="shared" si="5"/>
        <v>110812</v>
      </c>
      <c r="K8" s="234">
        <f t="shared" si="5"/>
        <v>55406</v>
      </c>
      <c r="L8" s="234">
        <f t="shared" si="5"/>
        <v>1667</v>
      </c>
      <c r="M8" s="234">
        <f t="shared" si="5"/>
        <v>3073652.67</v>
      </c>
      <c r="N8" s="234">
        <f t="shared" si="5"/>
        <v>245892.2136</v>
      </c>
      <c r="O8" s="234">
        <f t="shared" si="5"/>
        <v>500000</v>
      </c>
      <c r="P8" s="234">
        <f t="shared" si="5"/>
        <v>100000</v>
      </c>
      <c r="Q8" s="234">
        <f t="shared" si="5"/>
        <v>324000</v>
      </c>
      <c r="R8" s="234">
        <f t="shared" si="5"/>
        <v>4243544.8836</v>
      </c>
      <c r="S8" s="234">
        <f t="shared" si="5"/>
        <v>24589.22136</v>
      </c>
      <c r="T8" s="234">
        <f t="shared" si="5"/>
        <v>4268134.10496</v>
      </c>
      <c r="U8" s="332"/>
      <c r="V8" s="333"/>
      <c r="W8" s="268"/>
    </row>
    <row r="9">
      <c r="A9" s="0" t="s">
        <v>30</v>
      </c>
      <c r="B9" s="1910"/>
      <c r="C9" s="209"/>
      <c r="D9" s="208"/>
      <c r="E9" s="208"/>
      <c r="F9" s="208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316"/>
      <c r="V9" s="317"/>
    </row>
    <row r="10" ht="22.5">
      <c r="A10" s="215" t="s">
        <v>31</v>
      </c>
      <c r="B10" s="1908" t="s">
        <v>3</v>
      </c>
      <c r="C10" s="216" t="s">
        <v>4</v>
      </c>
      <c r="D10" s="216" t="s">
        <v>5</v>
      </c>
      <c r="E10" s="216" t="s">
        <v>6</v>
      </c>
      <c r="F10" s="217" t="s">
        <v>7</v>
      </c>
      <c r="G10" s="218" t="s">
        <v>8</v>
      </c>
      <c r="H10" s="219" t="s">
        <v>9</v>
      </c>
      <c r="I10" s="282" t="s">
        <v>10</v>
      </c>
      <c r="J10" s="283" t="s">
        <v>11</v>
      </c>
      <c r="K10" s="283" t="s">
        <v>12</v>
      </c>
      <c r="L10" s="284" t="s">
        <v>13</v>
      </c>
      <c r="M10" s="284" t="s">
        <v>14</v>
      </c>
      <c r="N10" s="285" t="s">
        <v>15</v>
      </c>
      <c r="O10" s="285" t="s">
        <v>32</v>
      </c>
      <c r="P10" s="285"/>
      <c r="Q10" s="285" t="s">
        <v>18</v>
      </c>
      <c r="R10" s="319" t="s">
        <v>19</v>
      </c>
      <c r="S10" s="320" t="s">
        <v>20</v>
      </c>
      <c r="T10" s="320" t="s">
        <v>21</v>
      </c>
      <c r="U10" s="321" t="s">
        <v>22</v>
      </c>
      <c r="V10" s="322" t="s">
        <v>23</v>
      </c>
    </row>
    <row r="11" ht="18" customHeight="1">
      <c r="A11" s="927" t="s">
        <v>24</v>
      </c>
      <c r="B11" s="928" t="s">
        <v>789</v>
      </c>
      <c r="C11" s="929" t="s">
        <v>275</v>
      </c>
      <c r="D11" s="930" t="s">
        <v>34</v>
      </c>
      <c r="E11" s="931" t="s">
        <v>200</v>
      </c>
      <c r="F11" s="931" t="s">
        <v>87</v>
      </c>
      <c r="G11" s="932">
        <v>2770300</v>
      </c>
      <c r="H11" s="933"/>
      <c r="I11" s="954">
        <f>+$G$4*4.89%</f>
        <v>135467.67</v>
      </c>
      <c r="J11" s="954">
        <f>+$G$4*4%</f>
        <v>110812</v>
      </c>
      <c r="K11" s="954">
        <f>+$G$4*2%</f>
        <v>55406</v>
      </c>
      <c r="L11" s="954">
        <v>15000</v>
      </c>
      <c r="M11" s="295">
        <f>SUM(G11:L11)</f>
        <v>3086985.67</v>
      </c>
      <c r="N11" s="916">
        <f ref="N11:N14" t="shared" si="6">+M11*8%</f>
        <v>246958.8536</v>
      </c>
      <c r="O11" s="916">
        <v>1461000</v>
      </c>
      <c r="P11" s="916"/>
      <c r="Q11" s="916"/>
      <c r="R11" s="959">
        <f t="shared" si="2"/>
        <v>4794944.5236</v>
      </c>
      <c r="S11" s="959">
        <f ref="S11:S14" t="shared" si="7">N11*0.1</f>
        <v>24695.88536</v>
      </c>
      <c r="T11" s="960">
        <f ref="T11:T14" t="shared" si="8">R11+S11</f>
        <v>4819640.40896</v>
      </c>
      <c r="U11" s="961">
        <v>44317</v>
      </c>
      <c r="V11" s="962">
        <v>44408</v>
      </c>
      <c r="X11" s="963"/>
      <c r="Y11" s="963"/>
    </row>
    <row r="12" ht="18" customHeight="1">
      <c r="A12" s="927" t="s">
        <v>24</v>
      </c>
      <c r="B12" s="928" t="s">
        <v>467</v>
      </c>
      <c r="C12" s="929" t="s">
        <v>235</v>
      </c>
      <c r="D12" s="930" t="s">
        <v>34</v>
      </c>
      <c r="E12" s="931" t="s">
        <v>200</v>
      </c>
      <c r="F12" s="931" t="s">
        <v>87</v>
      </c>
      <c r="G12" s="932">
        <v>2770300</v>
      </c>
      <c r="H12" s="933"/>
      <c r="I12" s="954">
        <f>+'BALI CK AGUSTUS - OK'!$G$4*4.89%</f>
        <v>135467.67</v>
      </c>
      <c r="J12" s="954">
        <f>+'BALI CK AGUSTUS - OK'!$G$4*4%</f>
        <v>110812</v>
      </c>
      <c r="K12" s="954">
        <f>+'BALI CK AGUSTUS - OK'!$G$4*2%</f>
        <v>55406</v>
      </c>
      <c r="L12" s="954">
        <v>15000</v>
      </c>
      <c r="M12" s="295">
        <f ref="M12:M22" t="shared" si="9">SUM(G12:L12)</f>
        <v>3086985.67</v>
      </c>
      <c r="N12" s="916">
        <f t="shared" si="6"/>
        <v>246958.8536</v>
      </c>
      <c r="O12" s="916">
        <v>1197500</v>
      </c>
      <c r="P12" s="916"/>
      <c r="Q12" s="916"/>
      <c r="R12" s="959">
        <f t="shared" si="2"/>
        <v>4531444.5236</v>
      </c>
      <c r="S12" s="959">
        <f t="shared" si="7"/>
        <v>24695.88536</v>
      </c>
      <c r="T12" s="960">
        <f t="shared" si="8"/>
        <v>4556140.40896</v>
      </c>
      <c r="U12" s="961">
        <v>44348</v>
      </c>
      <c r="V12" s="962">
        <v>44439</v>
      </c>
      <c r="X12" s="963"/>
      <c r="Y12" s="963"/>
    </row>
    <row r="13" ht="18" customHeight="1">
      <c r="A13" s="927" t="s">
        <v>24</v>
      </c>
      <c r="B13" s="928" t="s">
        <v>790</v>
      </c>
      <c r="C13" s="929" t="s">
        <v>791</v>
      </c>
      <c r="D13" s="930" t="s">
        <v>34</v>
      </c>
      <c r="E13" s="931" t="s">
        <v>200</v>
      </c>
      <c r="F13" s="931" t="s">
        <v>87</v>
      </c>
      <c r="G13" s="932">
        <v>2770300</v>
      </c>
      <c r="H13" s="933"/>
      <c r="I13" s="954">
        <f>+'BALI CK AGUSTUS - OK'!$G$4*4.89%</f>
        <v>135467.67</v>
      </c>
      <c r="J13" s="954">
        <f>+'BALI CK AGUSTUS - OK'!$G$4*4%</f>
        <v>110812</v>
      </c>
      <c r="K13" s="954">
        <f>+'BALI CK AGUSTUS - OK'!$G$4*2%</f>
        <v>55406</v>
      </c>
      <c r="L13" s="954">
        <v>15000</v>
      </c>
      <c r="M13" s="295">
        <f t="shared" si="9"/>
        <v>3086985.67</v>
      </c>
      <c r="N13" s="916">
        <f t="shared" si="6"/>
        <v>246958.8536</v>
      </c>
      <c r="O13" s="916">
        <v>1231000</v>
      </c>
      <c r="P13" s="916"/>
      <c r="Q13" s="916"/>
      <c r="R13" s="959">
        <f t="shared" si="2"/>
        <v>4564944.5236</v>
      </c>
      <c r="S13" s="959">
        <f t="shared" si="7"/>
        <v>24695.88536</v>
      </c>
      <c r="T13" s="960">
        <f t="shared" si="8"/>
        <v>4589640.40896</v>
      </c>
      <c r="U13" s="961">
        <v>44317</v>
      </c>
      <c r="V13" s="962">
        <v>44408</v>
      </c>
      <c r="X13" s="963"/>
      <c r="Y13" s="963"/>
    </row>
    <row r="14" ht="18" customHeight="1">
      <c r="A14" s="927" t="s">
        <v>24</v>
      </c>
      <c r="B14" s="928" t="s">
        <v>792</v>
      </c>
      <c r="C14" s="929" t="s">
        <v>793</v>
      </c>
      <c r="D14" s="930" t="s">
        <v>34</v>
      </c>
      <c r="E14" s="931" t="s">
        <v>200</v>
      </c>
      <c r="F14" s="931" t="s">
        <v>87</v>
      </c>
      <c r="G14" s="932">
        <v>2770300</v>
      </c>
      <c r="H14" s="933"/>
      <c r="I14" s="954">
        <f>+'BALI CK AGUSTUS - OK'!$G$4*4.89%</f>
        <v>135467.67</v>
      </c>
      <c r="J14" s="954">
        <f>+'BALI CK AGUSTUS - OK'!$G$4*4%</f>
        <v>110812</v>
      </c>
      <c r="K14" s="954">
        <f>+'BALI CK AGUSTUS - OK'!$G$4*2%</f>
        <v>55406</v>
      </c>
      <c r="L14" s="954">
        <v>15000</v>
      </c>
      <c r="M14" s="295">
        <f t="shared" si="9"/>
        <v>3086985.67</v>
      </c>
      <c r="N14" s="916">
        <f t="shared" si="6"/>
        <v>246958.8536</v>
      </c>
      <c r="O14" s="916">
        <v>1354000</v>
      </c>
      <c r="P14" s="916"/>
      <c r="Q14" s="916"/>
      <c r="R14" s="959">
        <f t="shared" si="2"/>
        <v>4687944.5236</v>
      </c>
      <c r="S14" s="959">
        <f t="shared" si="7"/>
        <v>24695.88536</v>
      </c>
      <c r="T14" s="960">
        <f t="shared" si="8"/>
        <v>4712640.40896</v>
      </c>
      <c r="U14" s="961">
        <v>44378</v>
      </c>
      <c r="V14" s="962">
        <v>44469</v>
      </c>
      <c r="X14" s="963"/>
      <c r="Y14" s="963"/>
    </row>
    <row r="15" ht="18" customHeight="1">
      <c r="A15" s="927" t="s">
        <v>24</v>
      </c>
      <c r="B15" s="928" t="s">
        <v>794</v>
      </c>
      <c r="C15" s="929" t="s">
        <v>795</v>
      </c>
      <c r="D15" s="930" t="s">
        <v>34</v>
      </c>
      <c r="E15" s="931" t="s">
        <v>200</v>
      </c>
      <c r="F15" s="931" t="s">
        <v>87</v>
      </c>
      <c r="G15" s="932">
        <v>2770300</v>
      </c>
      <c r="H15" s="933"/>
      <c r="I15" s="954">
        <f>+'BALI CK AGUSTUS - OK'!$G$4*4.89%</f>
        <v>135467.67</v>
      </c>
      <c r="J15" s="954">
        <f>+'BALI CK AGUSTUS - OK'!$G$4*4%</f>
        <v>110812</v>
      </c>
      <c r="K15" s="954">
        <f>+'BALI CK AGUSTUS - OK'!$G$4*2%</f>
        <v>55406</v>
      </c>
      <c r="L15" s="954">
        <v>15000</v>
      </c>
      <c r="M15" s="295">
        <f t="shared" si="9"/>
        <v>3086985.67</v>
      </c>
      <c r="N15" s="916">
        <f>+M15*8%</f>
        <v>246958.8536</v>
      </c>
      <c r="O15" s="916">
        <v>1307000</v>
      </c>
      <c r="P15" s="916"/>
      <c r="Q15" s="916"/>
      <c r="R15" s="959">
        <f>SUM(M15:Q15)</f>
        <v>4640944.5236</v>
      </c>
      <c r="S15" s="959">
        <f>N15*0.1</f>
        <v>24695.88536</v>
      </c>
      <c r="T15" s="960">
        <f>R15+S15</f>
        <v>4665640.40896</v>
      </c>
      <c r="U15" s="961">
        <v>44350</v>
      </c>
      <c r="V15" s="962">
        <v>44439</v>
      </c>
      <c r="X15" s="963"/>
      <c r="Y15" s="963"/>
    </row>
    <row r="16" ht="18" customHeight="1">
      <c r="A16" s="927" t="s">
        <v>24</v>
      </c>
      <c r="B16" s="928" t="s">
        <v>796</v>
      </c>
      <c r="C16" s="929" t="s">
        <v>797</v>
      </c>
      <c r="D16" s="930" t="s">
        <v>34</v>
      </c>
      <c r="E16" s="931" t="s">
        <v>200</v>
      </c>
      <c r="F16" s="931" t="s">
        <v>87</v>
      </c>
      <c r="G16" s="932">
        <v>2770300</v>
      </c>
      <c r="H16" s="933"/>
      <c r="I16" s="954">
        <f>+'BALI CK AGUSTUS - OK'!$G$4*4.89%</f>
        <v>135467.67</v>
      </c>
      <c r="J16" s="954">
        <f>+'BALI CK AGUSTUS - OK'!$G$4*4%</f>
        <v>110812</v>
      </c>
      <c r="K16" s="954">
        <f>+'BALI CK AGUSTUS - OK'!$G$4*2%</f>
        <v>55406</v>
      </c>
      <c r="L16" s="954">
        <v>15000</v>
      </c>
      <c r="M16" s="295">
        <f t="shared" si="9"/>
        <v>3086985.67</v>
      </c>
      <c r="N16" s="916">
        <f ref="N16:N17" t="shared" si="15">+M16*8%</f>
        <v>246958.8536</v>
      </c>
      <c r="O16" s="916">
        <v>1181500</v>
      </c>
      <c r="P16" s="916"/>
      <c r="Q16" s="916"/>
      <c r="R16" s="959">
        <f ref="R16:R17" t="shared" si="16">SUM(M16:Q16)</f>
        <v>4515444.5236</v>
      </c>
      <c r="S16" s="959">
        <f ref="S16:S17" t="shared" si="17">N16*0.1</f>
        <v>24695.88536</v>
      </c>
      <c r="T16" s="960">
        <f ref="T16:T17" t="shared" si="18">R16+S16</f>
        <v>4540140.40896</v>
      </c>
      <c r="U16" s="961">
        <v>44372</v>
      </c>
      <c r="V16" s="962">
        <v>44469</v>
      </c>
      <c r="X16" s="964"/>
    </row>
    <row r="17" ht="18" customHeight="1">
      <c r="A17" s="927" t="s">
        <v>24</v>
      </c>
      <c r="B17" s="928" t="s">
        <v>798</v>
      </c>
      <c r="C17" s="929" t="s">
        <v>799</v>
      </c>
      <c r="D17" s="930" t="s">
        <v>34</v>
      </c>
      <c r="E17" s="931" t="s">
        <v>200</v>
      </c>
      <c r="F17" s="931" t="s">
        <v>87</v>
      </c>
      <c r="G17" s="932">
        <v>2770300</v>
      </c>
      <c r="H17" s="933"/>
      <c r="I17" s="954">
        <f>+'BALI CK AGUSTUS - OK'!$G$4*4.89%</f>
        <v>135467.67</v>
      </c>
      <c r="J17" s="954">
        <f>+'BALI CK AGUSTUS - OK'!$G$4*4%</f>
        <v>110812</v>
      </c>
      <c r="K17" s="954">
        <f>+'BALI CK AGUSTUS - OK'!$G$4*2%</f>
        <v>55406</v>
      </c>
      <c r="L17" s="954">
        <v>15000</v>
      </c>
      <c r="M17" s="295">
        <f t="shared" si="9"/>
        <v>3086985.67</v>
      </c>
      <c r="N17" s="916">
        <f t="shared" si="15"/>
        <v>246958.8536</v>
      </c>
      <c r="O17" s="916">
        <v>1223000</v>
      </c>
      <c r="P17" s="916"/>
      <c r="Q17" s="916"/>
      <c r="R17" s="959">
        <f t="shared" si="16"/>
        <v>4556944.5236</v>
      </c>
      <c r="S17" s="959">
        <f t="shared" si="17"/>
        <v>24695.88536</v>
      </c>
      <c r="T17" s="960">
        <f t="shared" si="18"/>
        <v>4581640.40896</v>
      </c>
      <c r="U17" s="961">
        <v>44372</v>
      </c>
      <c r="V17" s="962">
        <v>44469</v>
      </c>
      <c r="X17" s="964"/>
    </row>
    <row r="18" ht="18" customHeight="1">
      <c r="A18" s="934" t="s">
        <v>24</v>
      </c>
      <c r="B18" s="935">
        <v>2790</v>
      </c>
      <c r="C18" s="936" t="s">
        <v>800</v>
      </c>
      <c r="D18" s="937" t="s">
        <v>34</v>
      </c>
      <c r="E18" s="938" t="s">
        <v>200</v>
      </c>
      <c r="F18" s="938" t="s">
        <v>87</v>
      </c>
      <c r="G18" s="939">
        <f>2770300/30*14</f>
        <v>1292806.66666667</v>
      </c>
      <c r="H18" s="940"/>
      <c r="I18" s="955">
        <f>+'BALI CK AGUSTUS - OK'!$G$4*4.89%</f>
        <v>135467.67</v>
      </c>
      <c r="J18" s="955">
        <f>+'BALI CK AGUSTUS - OK'!$G$4*4%</f>
        <v>110812</v>
      </c>
      <c r="K18" s="955">
        <f>+'BALI CK AGUSTUS - OK'!$G$4*2%</f>
        <v>55406</v>
      </c>
      <c r="L18" s="955">
        <v>15000</v>
      </c>
      <c r="M18" s="295">
        <f t="shared" si="9"/>
        <v>1609492.33666667</v>
      </c>
      <c r="N18" s="956">
        <f ref="N18:N22" t="shared" si="19">+M18*8%</f>
        <v>128759.3869333336</v>
      </c>
      <c r="O18" s="956"/>
      <c r="P18" s="956"/>
      <c r="Q18" s="956"/>
      <c r="R18" s="965">
        <f ref="R18:R22" t="shared" si="20">SUM(M18:Q18)</f>
        <v>1738251.7236000036</v>
      </c>
      <c r="S18" s="965">
        <f ref="S18:S22" t="shared" si="21">N18*0.1</f>
        <v>12875.93869333336</v>
      </c>
      <c r="T18" s="966">
        <f ref="T18:T22" t="shared" si="22">R18+S18</f>
        <v>1751127.662293337</v>
      </c>
      <c r="U18" s="967">
        <v>44410</v>
      </c>
      <c r="V18" s="968">
        <v>44500</v>
      </c>
      <c r="X18" s="969"/>
    </row>
    <row r="19" ht="18" customHeight="1">
      <c r="A19" s="927" t="s">
        <v>31</v>
      </c>
      <c r="B19" s="1912" t="s">
        <v>801</v>
      </c>
      <c r="C19" s="941" t="s">
        <v>802</v>
      </c>
      <c r="D19" s="942" t="s">
        <v>34</v>
      </c>
      <c r="E19" s="943" t="s">
        <v>200</v>
      </c>
      <c r="F19" s="943" t="s">
        <v>87</v>
      </c>
      <c r="G19" s="944">
        <f>2770300/31*13</f>
        <v>1161738.70967742</v>
      </c>
      <c r="H19" s="945"/>
      <c r="I19" s="957"/>
      <c r="J19" s="957"/>
      <c r="K19" s="957"/>
      <c r="L19" s="957"/>
      <c r="M19" s="295">
        <f t="shared" si="9"/>
        <v>1161738.70967742</v>
      </c>
      <c r="N19" s="289">
        <f t="shared" si="19"/>
        <v>92939.0967741936</v>
      </c>
      <c r="O19" s="289">
        <v>1438000</v>
      </c>
      <c r="P19" s="289"/>
      <c r="Q19" s="289"/>
      <c r="R19" s="970">
        <f t="shared" si="20"/>
        <v>2692677.806451614</v>
      </c>
      <c r="S19" s="970">
        <f t="shared" si="21"/>
        <v>9293.90967741936</v>
      </c>
      <c r="T19" s="971">
        <f t="shared" si="22"/>
        <v>2701971.7161290334</v>
      </c>
      <c r="U19" s="972">
        <v>44317</v>
      </c>
      <c r="V19" s="973">
        <v>44406</v>
      </c>
      <c r="W19" s="923" t="s">
        <v>803</v>
      </c>
      <c r="X19" s="974"/>
      <c r="Y19" s="974"/>
    </row>
    <row r="20" ht="18" customHeight="1">
      <c r="A20" s="927" t="s">
        <v>24</v>
      </c>
      <c r="B20" s="946" t="s">
        <v>804</v>
      </c>
      <c r="C20" s="925" t="s">
        <v>805</v>
      </c>
      <c r="D20" s="947" t="s">
        <v>34</v>
      </c>
      <c r="E20" s="948" t="s">
        <v>200</v>
      </c>
      <c r="F20" s="948" t="s">
        <v>87</v>
      </c>
      <c r="G20" s="949">
        <f>2770300/31*24</f>
        <v>2144748.38709677</v>
      </c>
      <c r="H20" s="950"/>
      <c r="I20" s="958">
        <f>+'BALI CK AGUSTUS - OK'!$G$4*4.89%</f>
        <v>135467.67</v>
      </c>
      <c r="J20" s="958">
        <f>+'BALI CK AGUSTUS - OK'!$G$4*4%</f>
        <v>110812</v>
      </c>
      <c r="K20" s="958">
        <f>+'BALI CK AGUSTUS - OK'!$G$4*2%</f>
        <v>55406</v>
      </c>
      <c r="L20" s="958">
        <v>15000</v>
      </c>
      <c r="M20" s="295">
        <f t="shared" si="9"/>
        <v>2461434.05709677</v>
      </c>
      <c r="N20" s="295">
        <f t="shared" si="19"/>
        <v>196914.72456774162</v>
      </c>
      <c r="O20" s="295">
        <v>1375000</v>
      </c>
      <c r="P20" s="295"/>
      <c r="Q20" s="975"/>
      <c r="R20" s="976">
        <f t="shared" si="20"/>
        <v>4033348.7816645117</v>
      </c>
      <c r="S20" s="976">
        <f t="shared" si="21"/>
        <v>19691.472456774165</v>
      </c>
      <c r="T20" s="977">
        <f t="shared" si="22"/>
        <v>4053040.254121286</v>
      </c>
      <c r="U20" s="978"/>
      <c r="V20" s="979">
        <v>44417</v>
      </c>
      <c r="W20" s="980" t="s">
        <v>806</v>
      </c>
      <c r="X20" s="963"/>
      <c r="Y20" s="963"/>
    </row>
    <row r="21" ht="18" customHeight="1">
      <c r="A21" s="927" t="s">
        <v>24</v>
      </c>
      <c r="B21" s="946" t="s">
        <v>807</v>
      </c>
      <c r="C21" s="925" t="s">
        <v>808</v>
      </c>
      <c r="D21" s="947" t="s">
        <v>34</v>
      </c>
      <c r="E21" s="948" t="s">
        <v>200</v>
      </c>
      <c r="F21" s="948" t="s">
        <v>87</v>
      </c>
      <c r="G21" s="949">
        <v>2770300</v>
      </c>
      <c r="H21" s="950"/>
      <c r="I21" s="958">
        <f>+'BALI CK AGUSTUS - OK'!$G$4*4.89%</f>
        <v>135467.67</v>
      </c>
      <c r="J21" s="958">
        <f>+'BALI CK AGUSTUS - OK'!$G$4*4%</f>
        <v>110812</v>
      </c>
      <c r="K21" s="958">
        <f>+'BALI CK AGUSTUS - OK'!$G$4*2%</f>
        <v>55406</v>
      </c>
      <c r="L21" s="958">
        <v>15000</v>
      </c>
      <c r="M21" s="295">
        <f t="shared" si="9"/>
        <v>3086985.67</v>
      </c>
      <c r="N21" s="295">
        <f t="shared" si="19"/>
        <v>246958.8536</v>
      </c>
      <c r="O21" s="295">
        <v>1106500</v>
      </c>
      <c r="P21" s="295"/>
      <c r="Q21" s="975"/>
      <c r="R21" s="976">
        <f t="shared" si="20"/>
        <v>4440444.5236</v>
      </c>
      <c r="S21" s="976">
        <f t="shared" si="21"/>
        <v>24695.88536</v>
      </c>
      <c r="T21" s="977">
        <f t="shared" si="22"/>
        <v>4465140.40896</v>
      </c>
      <c r="U21" s="978">
        <v>44378</v>
      </c>
      <c r="V21" s="979">
        <v>44469</v>
      </c>
      <c r="W21" s="980" t="s">
        <v>809</v>
      </c>
      <c r="X21" s="963" t="s">
        <v>810</v>
      </c>
      <c r="Y21" s="963"/>
    </row>
    <row r="22" ht="18" customHeight="1">
      <c r="A22" s="927" t="s">
        <v>24</v>
      </c>
      <c r="B22" s="946">
        <v>2820</v>
      </c>
      <c r="C22" s="925" t="s">
        <v>811</v>
      </c>
      <c r="D22" s="947" t="s">
        <v>34</v>
      </c>
      <c r="E22" s="948" t="s">
        <v>200</v>
      </c>
      <c r="F22" s="948" t="s">
        <v>87</v>
      </c>
      <c r="G22" s="949">
        <f>2770300/31*7</f>
        <v>625551.612903226</v>
      </c>
      <c r="H22" s="950"/>
      <c r="I22" s="958">
        <f>+'BALI AOP AGUSTUS - OK'!$G$4*4.89%</f>
        <v>135467.67</v>
      </c>
      <c r="J22" s="958">
        <f>+'BALI AOP AGUSTUS - OK'!$G$4*4%</f>
        <v>110812</v>
      </c>
      <c r="K22" s="958">
        <f>+'BALI AOP AGUSTUS - OK'!$G$4*2%</f>
        <v>55406</v>
      </c>
      <c r="L22" s="958">
        <v>15000</v>
      </c>
      <c r="M22" s="295">
        <f t="shared" si="9"/>
        <v>942237.2829032261</v>
      </c>
      <c r="N22" s="295">
        <f t="shared" si="19"/>
        <v>75378.98263225809</v>
      </c>
      <c r="O22" s="295"/>
      <c r="P22" s="295"/>
      <c r="Q22" s="295"/>
      <c r="R22" s="976">
        <f t="shared" si="20"/>
        <v>1017616.2655354842</v>
      </c>
      <c r="S22" s="976">
        <f t="shared" si="21"/>
        <v>7537.898263225809</v>
      </c>
      <c r="T22" s="977">
        <f t="shared" si="22"/>
        <v>1025154.16379871</v>
      </c>
      <c r="U22" s="978">
        <v>44417</v>
      </c>
      <c r="V22" s="979">
        <v>44500</v>
      </c>
      <c r="W22" s="924" t="s">
        <v>812</v>
      </c>
    </row>
    <row r="23" ht="17.25" customHeight="1">
      <c r="A23" s="1761" t="s">
        <v>30</v>
      </c>
      <c r="B23" s="1911"/>
      <c r="C23" s="1762"/>
      <c r="D23" s="1762"/>
      <c r="E23" s="1762"/>
      <c r="F23" s="1763"/>
      <c r="G23" s="234">
        <f>SUM(G11:G22)</f>
        <v>27387245.3763441</v>
      </c>
      <c r="H23" s="234">
        <f ref="H23:T23" t="shared" si="23">SUM(H11:H22)</f>
        <v>0</v>
      </c>
      <c r="I23" s="234">
        <f t="shared" si="23"/>
        <v>1490144.37</v>
      </c>
      <c r="J23" s="234">
        <f t="shared" si="23"/>
        <v>1218932</v>
      </c>
      <c r="K23" s="234">
        <f t="shared" si="23"/>
        <v>609466</v>
      </c>
      <c r="L23" s="234">
        <f t="shared" si="23"/>
        <v>165000</v>
      </c>
      <c r="M23" s="234">
        <f t="shared" si="23"/>
        <v>30870787.746344082</v>
      </c>
      <c r="N23" s="234">
        <f t="shared" si="23"/>
        <v>2469663.019707527</v>
      </c>
      <c r="O23" s="234">
        <f t="shared" si="23"/>
        <v>12874500</v>
      </c>
      <c r="P23" s="234">
        <f t="shared" si="23"/>
        <v>0</v>
      </c>
      <c r="Q23" s="234">
        <f t="shared" si="23"/>
        <v>0</v>
      </c>
      <c r="R23" s="234">
        <f t="shared" si="23"/>
        <v>46214950.766051605</v>
      </c>
      <c r="S23" s="234">
        <f t="shared" si="23"/>
        <v>246966.30197075265</v>
      </c>
      <c r="T23" s="234">
        <f t="shared" si="23"/>
        <v>46461917.06802237</v>
      </c>
      <c r="U23" s="332"/>
      <c r="V23" s="333"/>
      <c r="W23" s="268"/>
    </row>
    <row r="24">
      <c r="A24" s="0" t="s">
        <v>30</v>
      </c>
      <c r="B24" s="1910"/>
      <c r="D24" s="262"/>
      <c r="E24" s="263"/>
      <c r="F24" s="264"/>
      <c r="G24" s="210"/>
      <c r="H24" s="2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48"/>
      <c r="V24" s="317"/>
    </row>
    <row r="25" ht="17.25" customHeight="1">
      <c r="A25" s="1761" t="s">
        <v>30</v>
      </c>
      <c r="B25" s="1911"/>
      <c r="C25" s="1762"/>
      <c r="D25" s="1762"/>
      <c r="E25" s="1762"/>
      <c r="F25" s="1763"/>
      <c r="G25" s="234">
        <f ref="G25:T25" t="shared" si="24">+G8+G23</f>
        <v>30157545.3763441</v>
      </c>
      <c r="H25" s="234">
        <f t="shared" si="24"/>
        <v>0</v>
      </c>
      <c r="I25" s="234">
        <f t="shared" si="24"/>
        <v>1625612.04</v>
      </c>
      <c r="J25" s="234">
        <f t="shared" si="24"/>
        <v>1329744</v>
      </c>
      <c r="K25" s="234">
        <f t="shared" si="24"/>
        <v>664872</v>
      </c>
      <c r="L25" s="234">
        <f t="shared" si="24"/>
        <v>166667</v>
      </c>
      <c r="M25" s="234">
        <f t="shared" si="24"/>
        <v>33944440.416344084</v>
      </c>
      <c r="N25" s="234">
        <f t="shared" si="24"/>
        <v>2715555.233307527</v>
      </c>
      <c r="O25" s="234">
        <f t="shared" si="24"/>
        <v>13374500</v>
      </c>
      <c r="P25" s="234">
        <f t="shared" si="24"/>
        <v>100000</v>
      </c>
      <c r="Q25" s="234">
        <f t="shared" si="24"/>
        <v>324000</v>
      </c>
      <c r="R25" s="234">
        <f t="shared" si="24"/>
        <v>50458495.6496516</v>
      </c>
      <c r="S25" s="234">
        <f t="shared" si="24"/>
        <v>271555.5233307527</v>
      </c>
      <c r="T25" s="234">
        <f t="shared" si="24"/>
        <v>50730051.17298237</v>
      </c>
      <c r="U25" s="332"/>
      <c r="V25" s="333"/>
      <c r="W25" s="268"/>
    </row>
    <row r="26">
      <c r="A26" s="0" t="s">
        <v>30</v>
      </c>
      <c r="B26" s="1910"/>
      <c r="D26" s="262"/>
      <c r="E26" s="263"/>
      <c r="F26" s="264"/>
      <c r="G26" s="210"/>
      <c r="H26" s="2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48"/>
      <c r="V26" s="317"/>
    </row>
    <row r="27">
      <c r="A27" s="0" t="s">
        <v>30</v>
      </c>
      <c r="B27" s="1869"/>
      <c r="C27" s="951" t="str">
        <f>+'BALI AOP AGUSTUS - OK'!C16</f>
        <v>Karawang, 16 Agustus 2021</v>
      </c>
      <c r="D27" s="270"/>
      <c r="E27" s="270"/>
      <c r="F27" s="270"/>
      <c r="G27" s="271"/>
      <c r="H27" s="271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48"/>
      <c r="V27" s="317"/>
    </row>
    <row r="28">
      <c r="A28" s="0" t="s">
        <v>30</v>
      </c>
      <c r="B28" s="1870"/>
      <c r="D28" s="263"/>
      <c r="E28" s="264"/>
      <c r="F28" s="264"/>
      <c r="G28" s="210"/>
      <c r="H28" s="210"/>
      <c r="I28" s="270"/>
      <c r="J28" s="270"/>
      <c r="K28" s="270"/>
      <c r="L28" s="270"/>
      <c r="M28" s="270"/>
      <c r="N28" s="310"/>
      <c r="O28" s="310"/>
      <c r="P28" s="310"/>
      <c r="Q28" s="310"/>
      <c r="R28" s="270"/>
      <c r="S28" s="270"/>
      <c r="T28" s="310"/>
      <c r="U28" s="348"/>
      <c r="V28" s="317"/>
    </row>
    <row r="29">
      <c r="A29" s="0" t="s">
        <v>30</v>
      </c>
      <c r="B29" s="1869"/>
      <c r="C29" s="951" t="s">
        <v>38</v>
      </c>
      <c r="D29" s="274"/>
      <c r="E29" s="264"/>
      <c r="F29" s="264"/>
      <c r="G29" s="275"/>
      <c r="H29" s="275"/>
      <c r="I29" s="262"/>
      <c r="J29" s="262"/>
      <c r="K29" s="262"/>
      <c r="L29" s="312"/>
      <c r="M29" s="263" t="s">
        <v>39</v>
      </c>
      <c r="N29" s="313"/>
      <c r="R29" s="349"/>
      <c r="S29" s="270"/>
      <c r="T29" s="313"/>
      <c r="U29" s="348"/>
      <c r="V29" s="348"/>
    </row>
    <row r="30">
      <c r="A30" s="0" t="s">
        <v>30</v>
      </c>
      <c r="B30" s="1871"/>
      <c r="C30" s="952"/>
      <c r="D30" s="209"/>
      <c r="E30" s="208"/>
      <c r="F30" s="208"/>
      <c r="G30" s="275"/>
      <c r="H30" s="275"/>
      <c r="I30" s="262"/>
      <c r="J30" s="315"/>
      <c r="K30" s="262"/>
      <c r="L30" s="312"/>
      <c r="M30" s="262"/>
      <c r="N30" s="270"/>
      <c r="O30" s="270"/>
      <c r="P30" s="270"/>
      <c r="Q30" s="270"/>
      <c r="R30" s="349"/>
      <c r="S30" s="270"/>
      <c r="T30" s="270"/>
      <c r="U30" s="348"/>
      <c r="V30" s="348"/>
    </row>
    <row r="31">
      <c r="A31" s="0" t="s">
        <v>30</v>
      </c>
      <c r="B31" s="1871"/>
      <c r="C31" s="952"/>
      <c r="D31" s="209"/>
      <c r="E31" s="208"/>
      <c r="F31" s="208"/>
      <c r="G31" s="210"/>
      <c r="H31" s="210"/>
      <c r="I31" s="210"/>
      <c r="J31" s="270"/>
      <c r="K31" s="270"/>
      <c r="L31" s="310"/>
      <c r="M31" s="270"/>
      <c r="N31" s="270"/>
      <c r="O31" s="270"/>
      <c r="P31" s="270"/>
      <c r="Q31" s="270"/>
      <c r="R31" s="208"/>
      <c r="S31" s="270"/>
      <c r="T31" s="270"/>
      <c r="U31" s="348"/>
      <c r="V31" s="348"/>
    </row>
    <row r="32">
      <c r="A32" s="0" t="s">
        <v>30</v>
      </c>
      <c r="B32" s="1869"/>
      <c r="C32" s="953"/>
      <c r="D32" s="274"/>
      <c r="E32" s="264"/>
      <c r="F32" s="264"/>
      <c r="G32" s="275"/>
      <c r="H32" s="275"/>
      <c r="I32" s="275"/>
      <c r="J32" s="262"/>
      <c r="K32" s="262"/>
      <c r="L32" s="312"/>
      <c r="M32" s="262"/>
      <c r="N32" s="262"/>
      <c r="O32" s="262"/>
      <c r="P32" s="262"/>
      <c r="Q32" s="262"/>
      <c r="R32" s="264"/>
      <c r="S32" s="270"/>
      <c r="T32" s="270"/>
      <c r="U32" s="348"/>
      <c r="V32" s="348"/>
    </row>
    <row r="33">
      <c r="A33" s="0" t="s">
        <v>30</v>
      </c>
      <c r="B33" s="1870"/>
      <c r="C33" s="951"/>
      <c r="D33" s="264"/>
      <c r="E33" s="264"/>
      <c r="F33" s="264"/>
      <c r="G33" s="275"/>
      <c r="H33" s="275"/>
      <c r="I33" s="275"/>
      <c r="J33" s="262"/>
      <c r="K33" s="262"/>
      <c r="L33" s="312"/>
      <c r="M33" s="262"/>
      <c r="N33" s="262"/>
      <c r="O33" s="262"/>
      <c r="P33" s="262"/>
      <c r="Q33" s="262"/>
      <c r="R33" s="264"/>
      <c r="S33" s="208"/>
      <c r="T33" s="270"/>
      <c r="U33" s="348"/>
      <c r="V33" s="348"/>
    </row>
    <row r="34">
      <c r="A34" s="0" t="s">
        <v>30</v>
      </c>
      <c r="B34" s="1870"/>
      <c r="C34" s="951"/>
      <c r="D34" s="264"/>
      <c r="E34" s="264"/>
      <c r="F34" s="264"/>
      <c r="G34" s="275"/>
      <c r="H34" s="275"/>
      <c r="I34" s="275"/>
      <c r="J34" s="262"/>
      <c r="K34" s="262"/>
      <c r="L34" s="312"/>
      <c r="M34" s="262"/>
      <c r="N34" s="262"/>
      <c r="O34" s="262"/>
      <c r="P34" s="262"/>
      <c r="Q34" s="262"/>
      <c r="R34" s="264"/>
      <c r="S34" s="270"/>
      <c r="U34" s="348"/>
      <c r="V34" s="348"/>
    </row>
    <row r="35">
      <c r="A35" s="0" t="s">
        <v>30</v>
      </c>
      <c r="B35" s="1870"/>
      <c r="C35" s="951" t="s">
        <v>40</v>
      </c>
      <c r="E35" s="264"/>
      <c r="F35" s="264"/>
      <c r="G35" s="275"/>
      <c r="H35" s="275"/>
      <c r="I35" s="275"/>
      <c r="J35" s="312" t="s">
        <v>41</v>
      </c>
      <c r="K35" s="263"/>
      <c r="L35" s="263"/>
      <c r="M35" s="263" t="s">
        <v>42</v>
      </c>
      <c r="N35" s="264" t="s">
        <v>43</v>
      </c>
      <c r="Q35" s="263"/>
      <c r="U35" s="350"/>
      <c r="V35" s="350"/>
    </row>
    <row r="36">
      <c r="A36" s="263" t="s">
        <v>30</v>
      </c>
      <c r="B36" s="1868"/>
      <c r="C36" s="274"/>
      <c r="D36" s="264"/>
      <c r="E36" s="264"/>
      <c r="F36" s="279"/>
      <c r="G36" s="275"/>
      <c r="H36" s="275"/>
      <c r="I36" s="263"/>
      <c r="J36" s="263"/>
      <c r="K36" s="263"/>
      <c r="L36" s="263"/>
      <c r="M36" s="275"/>
      <c r="N36" s="263"/>
      <c r="O36" s="263"/>
      <c r="P36" s="263"/>
      <c r="Q36" s="263"/>
      <c r="R36" s="263"/>
      <c r="U36" s="350"/>
      <c r="V36" s="350"/>
    </row>
    <row r="37">
      <c r="A37" s="263" t="s">
        <v>30</v>
      </c>
      <c r="B37" s="1868"/>
      <c r="C37" s="274"/>
      <c r="D37" s="264"/>
      <c r="E37" s="264"/>
      <c r="F37" s="279"/>
      <c r="G37" s="275"/>
      <c r="H37" s="275"/>
      <c r="I37" s="263"/>
      <c r="J37" s="263"/>
      <c r="K37" s="263"/>
      <c r="L37" s="263"/>
      <c r="M37" s="275"/>
      <c r="N37" s="263"/>
      <c r="O37" s="263"/>
      <c r="P37" s="263"/>
      <c r="Q37" s="263"/>
      <c r="R37" s="263"/>
      <c r="U37" s="350"/>
      <c r="V37" s="350"/>
    </row>
  </sheetData>
  <mergeCells>
    <mergeCell ref="A8:F8"/>
    <mergeCell ref="A23:F23"/>
    <mergeCell ref="A25:F25"/>
  </mergeCells>
  <printOptions horizontalCentered="1"/>
  <pageMargins left="0" right="0" top="0.75" bottom="0.75" header="0.3" footer="0.3"/>
  <pageSetup paperSize="9" scale="65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  <pageSetUpPr fitToPage="1"/>
  </sheetPr>
  <dimension ref="A1:W26"/>
  <sheetViews>
    <sheetView zoomScale="85" zoomScaleNormal="85" workbookViewId="0">
      <pane xSplit="7" ySplit="6" topLeftCell="H7" activePane="bottomRight" state="frozen"/>
      <selection activeCell="N20" sqref="N20"/>
      <selection pane="topRight" activeCell="N20" sqref="N20"/>
      <selection pane="bottomLeft" activeCell="N20" sqref="N20"/>
      <selection pane="bottomRight" activeCell="N20" sqref="N20"/>
    </sheetView>
  </sheetViews>
  <sheetFormatPr defaultColWidth="9.140625" defaultRowHeight="15"/>
  <cols>
    <col min="1" max="2" width="4.85546875" customWidth="1"/>
    <col min="3" max="3" width="23.28515625" customWidth="1"/>
    <col min="4" max="4" width="9.85546875" customWidth="1"/>
    <col min="5" max="5" width="12" customWidth="1"/>
    <col min="6" max="6" width="9.85546875" customWidth="1"/>
    <col min="7" max="7" width="10.85546875" customWidth="1"/>
    <col min="8" max="8" width="9.5703125" customWidth="1"/>
    <col min="9" max="9" width="10.85546875" customWidth="1"/>
    <col min="10" max="10" width="15.85546875" customWidth="1"/>
    <col min="11" max="11" width="9" customWidth="1"/>
    <col min="12" max="12" width="13.140625" customWidth="1"/>
    <col min="13" max="13" width="13.28515625" customWidth="1"/>
    <col min="14" max="14" width="12.42578125" customWidth="1"/>
    <col min="15" max="15" width="12.85546875" customWidth="1"/>
    <col min="16" max="16" width="11" customWidth="1"/>
    <col min="17" max="18" width="11.5703125" customWidth="1"/>
    <col min="19" max="19" width="8.7109375" customWidth="1"/>
    <col min="20" max="20" width="12.140625" customWidth="1"/>
    <col min="21" max="21" width="8.42578125" customWidth="1"/>
    <col min="22" max="22" width="10.28515625" customWidth="1"/>
    <col min="23" max="23" width="9.140625" customWidth="1"/>
  </cols>
  <sheetData>
    <row r="1">
      <c r="A1" s="550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550" t="s">
        <v>1035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550" t="str">
        <f>+'BALI ANTERAJA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M3" s="210"/>
      <c r="U3" s="316"/>
      <c r="V3" s="317"/>
    </row>
    <row r="4">
      <c r="A4" s="207"/>
      <c r="B4" s="208"/>
      <c r="C4" s="209"/>
      <c r="D4" s="208"/>
      <c r="E4" s="208"/>
      <c r="F4" s="208"/>
      <c r="G4" s="900">
        <v>2184485</v>
      </c>
      <c r="H4" s="900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08"/>
      <c r="G5" s="900"/>
      <c r="H5" s="900"/>
      <c r="I5" s="281"/>
      <c r="M5" s="210"/>
      <c r="U5" s="316"/>
      <c r="V5" s="317"/>
    </row>
    <row r="6" ht="22.5">
      <c r="A6" s="463" t="s">
        <v>2</v>
      </c>
      <c r="B6" s="464" t="s">
        <v>3</v>
      </c>
      <c r="C6" s="464" t="s">
        <v>4</v>
      </c>
      <c r="D6" s="464" t="s">
        <v>5</v>
      </c>
      <c r="E6" s="464" t="s">
        <v>6</v>
      </c>
      <c r="F6" s="465" t="s">
        <v>7</v>
      </c>
      <c r="G6" s="466" t="s">
        <v>8</v>
      </c>
      <c r="H6" s="219" t="s">
        <v>9</v>
      </c>
      <c r="I6" s="467" t="s">
        <v>10</v>
      </c>
      <c r="J6" s="477" t="s">
        <v>11</v>
      </c>
      <c r="K6" s="477" t="s">
        <v>12</v>
      </c>
      <c r="L6" s="478" t="s">
        <v>13</v>
      </c>
      <c r="M6" s="478" t="s">
        <v>14</v>
      </c>
      <c r="N6" s="286" t="s">
        <v>15</v>
      </c>
      <c r="O6" s="286" t="s">
        <v>32</v>
      </c>
      <c r="P6" s="286" t="s">
        <v>17</v>
      </c>
      <c r="Q6" s="286" t="s">
        <v>18</v>
      </c>
      <c r="R6" s="483" t="s">
        <v>19</v>
      </c>
      <c r="S6" s="484" t="s">
        <v>20</v>
      </c>
      <c r="T6" s="484" t="s">
        <v>21</v>
      </c>
      <c r="U6" s="485" t="s">
        <v>22</v>
      </c>
      <c r="V6" s="486" t="s">
        <v>23</v>
      </c>
    </row>
    <row r="7" ht="18" customHeight="1">
      <c r="A7" s="238" t="s">
        <v>24</v>
      </c>
      <c r="B7" s="239" t="s">
        <v>1036</v>
      </c>
      <c r="C7" s="554" t="s">
        <v>382</v>
      </c>
      <c r="D7" s="913" t="s">
        <v>34</v>
      </c>
      <c r="E7" s="914" t="s">
        <v>381</v>
      </c>
      <c r="F7" s="915" t="s">
        <v>87</v>
      </c>
      <c r="G7" s="244">
        <v>2184485</v>
      </c>
      <c r="H7" s="244"/>
      <c r="I7" s="298">
        <f>+$G$4*4.89%</f>
        <v>106821.3165</v>
      </c>
      <c r="J7" s="298">
        <f>+$G$4*4%</f>
        <v>87379.4</v>
      </c>
      <c r="K7" s="298">
        <f>+$G$4*2%</f>
        <v>43689.7</v>
      </c>
      <c r="L7" s="298">
        <v>15000</v>
      </c>
      <c r="M7" s="916">
        <f>SUM(G7:L7)</f>
        <v>2437375.4165000003</v>
      </c>
      <c r="N7" s="303">
        <f ref="N7:N9" t="shared" si="0">+M7*8%</f>
        <v>194990.03332000002</v>
      </c>
      <c r="O7" s="917">
        <f>453000+200000</f>
        <v>653000</v>
      </c>
      <c r="P7" s="918"/>
      <c r="Q7" s="921"/>
      <c r="R7" s="335">
        <f ref="R7:R9" t="shared" si="1">SUM(M7:Q7)</f>
        <v>3285365.44982</v>
      </c>
      <c r="S7" s="335">
        <f ref="S7:S9" t="shared" si="2">N7*0.1</f>
        <v>19499.003332000004</v>
      </c>
      <c r="T7" s="336">
        <f ref="T7:T9" t="shared" si="3">R7+S7</f>
        <v>3304864.4531520004</v>
      </c>
      <c r="U7" s="922">
        <v>44348</v>
      </c>
      <c r="V7" s="340">
        <v>44439</v>
      </c>
      <c r="W7" s="586" t="s">
        <v>1037</v>
      </c>
    </row>
    <row r="8" ht="18" customHeight="1">
      <c r="A8" s="238" t="s">
        <v>24</v>
      </c>
      <c r="B8" s="239" t="s">
        <v>1038</v>
      </c>
      <c r="C8" s="554" t="s">
        <v>383</v>
      </c>
      <c r="D8" s="913" t="s">
        <v>34</v>
      </c>
      <c r="E8" s="914" t="s">
        <v>381</v>
      </c>
      <c r="F8" s="915" t="s">
        <v>87</v>
      </c>
      <c r="G8" s="244">
        <v>2184485</v>
      </c>
      <c r="H8" s="244"/>
      <c r="I8" s="298">
        <f>+$G$4*4.89%</f>
        <v>106821.3165</v>
      </c>
      <c r="J8" s="298">
        <f>+$G$4*4%</f>
        <v>87379.4</v>
      </c>
      <c r="K8" s="298">
        <f>+$G$4*2%</f>
        <v>43689.7</v>
      </c>
      <c r="L8" s="298">
        <v>15000</v>
      </c>
      <c r="M8" s="916">
        <f ref="M8:M12" t="shared" si="4">SUM(G8:L8)</f>
        <v>2437375.4165000003</v>
      </c>
      <c r="N8" s="303">
        <f t="shared" si="0"/>
        <v>194990.03332000002</v>
      </c>
      <c r="O8" s="919">
        <v>405000</v>
      </c>
      <c r="P8" s="918"/>
      <c r="Q8" s="921"/>
      <c r="R8" s="335">
        <f t="shared" si="1"/>
        <v>3037365.44982</v>
      </c>
      <c r="S8" s="335">
        <f t="shared" si="2"/>
        <v>19499.003332000004</v>
      </c>
      <c r="T8" s="336">
        <f t="shared" si="3"/>
        <v>3056864.4531520004</v>
      </c>
      <c r="U8" s="922">
        <v>44348</v>
      </c>
      <c r="V8" s="340">
        <v>44439</v>
      </c>
    </row>
    <row r="9" ht="18" customHeight="1">
      <c r="A9" s="238" t="s">
        <v>24</v>
      </c>
      <c r="B9" s="239" t="s">
        <v>1039</v>
      </c>
      <c r="C9" s="554" t="s">
        <v>294</v>
      </c>
      <c r="D9" s="913" t="s">
        <v>34</v>
      </c>
      <c r="E9" s="914" t="s">
        <v>381</v>
      </c>
      <c r="F9" s="914" t="s">
        <v>87</v>
      </c>
      <c r="G9" s="244">
        <v>2184485</v>
      </c>
      <c r="H9" s="244"/>
      <c r="I9" s="298">
        <f>+$G$4*4.89%</f>
        <v>106821.3165</v>
      </c>
      <c r="J9" s="298">
        <f>+$G$4*4%</f>
        <v>87379.4</v>
      </c>
      <c r="K9" s="298">
        <f>+$G$4*2%</f>
        <v>43689.7</v>
      </c>
      <c r="L9" s="298">
        <v>15000</v>
      </c>
      <c r="M9" s="916">
        <f t="shared" si="4"/>
        <v>2437375.4165000003</v>
      </c>
      <c r="N9" s="303">
        <f t="shared" si="0"/>
        <v>194990.03332000002</v>
      </c>
      <c r="O9" s="920">
        <v>467000</v>
      </c>
      <c r="P9" s="303"/>
      <c r="Q9" s="303"/>
      <c r="R9" s="335">
        <f t="shared" si="1"/>
        <v>3099365.44982</v>
      </c>
      <c r="S9" s="335">
        <f t="shared" si="2"/>
        <v>19499.003332000004</v>
      </c>
      <c r="T9" s="336">
        <f t="shared" si="3"/>
        <v>3118864.4531520004</v>
      </c>
      <c r="U9" s="339">
        <v>44317</v>
      </c>
      <c r="V9" s="340">
        <v>44408</v>
      </c>
    </row>
    <row r="10" ht="18" customHeight="1">
      <c r="A10" s="238" t="s">
        <v>24</v>
      </c>
      <c r="B10" s="239" t="s">
        <v>1040</v>
      </c>
      <c r="C10" s="554" t="s">
        <v>1041</v>
      </c>
      <c r="D10" s="913" t="s">
        <v>34</v>
      </c>
      <c r="E10" s="914" t="s">
        <v>381</v>
      </c>
      <c r="F10" s="914" t="s">
        <v>87</v>
      </c>
      <c r="G10" s="244">
        <v>2184485</v>
      </c>
      <c r="H10" s="244"/>
      <c r="I10" s="298">
        <f ref="I10:I12" t="shared" si="6">+$G$4*4.89%</f>
        <v>106821.3165</v>
      </c>
      <c r="J10" s="298">
        <f ref="J10:J12" t="shared" si="7">+$G$4*4%</f>
        <v>87379.4</v>
      </c>
      <c r="K10" s="298">
        <f ref="K10:K12" t="shared" si="8">+$G$4*2%</f>
        <v>43689.7</v>
      </c>
      <c r="L10" s="298">
        <v>15000</v>
      </c>
      <c r="M10" s="916">
        <f t="shared" si="4"/>
        <v>2437375.4165000003</v>
      </c>
      <c r="N10" s="303">
        <f ref="N10:N12" t="shared" si="9">+M10*8%</f>
        <v>194990.03332000002</v>
      </c>
      <c r="O10" s="920">
        <v>493000</v>
      </c>
      <c r="P10" s="303"/>
      <c r="Q10" s="303"/>
      <c r="R10" s="335">
        <f ref="R10:R12" t="shared" si="10">SUM(M10:Q10)</f>
        <v>3125365.44982</v>
      </c>
      <c r="S10" s="335">
        <f ref="S10:S12" t="shared" si="11">N10*0.1</f>
        <v>19499.003332000004</v>
      </c>
      <c r="T10" s="336">
        <f ref="T10:T12" t="shared" si="12">R10+S10</f>
        <v>3144864.4531520004</v>
      </c>
      <c r="U10" s="339">
        <v>44372</v>
      </c>
      <c r="V10" s="340">
        <v>44469</v>
      </c>
    </row>
    <row r="11" ht="18" customHeight="1">
      <c r="A11" s="238" t="s">
        <v>24</v>
      </c>
      <c r="B11" s="239" t="s">
        <v>1042</v>
      </c>
      <c r="C11" s="554" t="s">
        <v>1043</v>
      </c>
      <c r="D11" s="913" t="s">
        <v>34</v>
      </c>
      <c r="E11" s="914" t="s">
        <v>381</v>
      </c>
      <c r="F11" s="914" t="s">
        <v>87</v>
      </c>
      <c r="G11" s="244">
        <v>2184485</v>
      </c>
      <c r="H11" s="244"/>
      <c r="I11" s="298">
        <f t="shared" si="6"/>
        <v>106821.3165</v>
      </c>
      <c r="J11" s="298">
        <f t="shared" si="7"/>
        <v>87379.4</v>
      </c>
      <c r="K11" s="298">
        <f t="shared" si="8"/>
        <v>43689.7</v>
      </c>
      <c r="L11" s="298">
        <v>15000</v>
      </c>
      <c r="M11" s="916">
        <f t="shared" si="4"/>
        <v>2437375.4165000003</v>
      </c>
      <c r="N11" s="303">
        <f t="shared" si="9"/>
        <v>194990.03332000002</v>
      </c>
      <c r="O11" s="920">
        <v>408000</v>
      </c>
      <c r="P11" s="303"/>
      <c r="Q11" s="303"/>
      <c r="R11" s="335">
        <f t="shared" si="10"/>
        <v>3040365.44982</v>
      </c>
      <c r="S11" s="335">
        <f t="shared" si="11"/>
        <v>19499.003332000004</v>
      </c>
      <c r="T11" s="336">
        <f t="shared" si="12"/>
        <v>3059864.4531520004</v>
      </c>
      <c r="U11" s="339">
        <v>44372</v>
      </c>
      <c r="V11" s="340">
        <v>44469</v>
      </c>
    </row>
    <row r="12" ht="18" customHeight="1">
      <c r="A12" s="238" t="s">
        <v>24</v>
      </c>
      <c r="B12" s="239" t="s">
        <v>1044</v>
      </c>
      <c r="C12" s="554" t="s">
        <v>114</v>
      </c>
      <c r="D12" s="913" t="s">
        <v>34</v>
      </c>
      <c r="E12" s="914" t="s">
        <v>381</v>
      </c>
      <c r="F12" s="914" t="s">
        <v>87</v>
      </c>
      <c r="G12" s="244">
        <v>2184485</v>
      </c>
      <c r="H12" s="244"/>
      <c r="I12" s="298">
        <f t="shared" si="6"/>
        <v>106821.3165</v>
      </c>
      <c r="J12" s="298">
        <f t="shared" si="7"/>
        <v>87379.4</v>
      </c>
      <c r="K12" s="298">
        <f t="shared" si="8"/>
        <v>43689.7</v>
      </c>
      <c r="L12" s="298">
        <v>15000</v>
      </c>
      <c r="M12" s="916">
        <f t="shared" si="4"/>
        <v>2437375.4165000003</v>
      </c>
      <c r="N12" s="303">
        <f t="shared" si="9"/>
        <v>194990.03332000002</v>
      </c>
      <c r="O12" s="920">
        <v>456000</v>
      </c>
      <c r="P12" s="303"/>
      <c r="Q12" s="303"/>
      <c r="R12" s="335">
        <f t="shared" si="10"/>
        <v>3088365.44982</v>
      </c>
      <c r="S12" s="335">
        <f t="shared" si="11"/>
        <v>19499.003332000004</v>
      </c>
      <c r="T12" s="336">
        <f t="shared" si="12"/>
        <v>3107864.4531520004</v>
      </c>
      <c r="U12" s="339">
        <v>44372</v>
      </c>
      <c r="V12" s="340">
        <v>44469</v>
      </c>
    </row>
    <row r="13" ht="18" customHeight="1">
      <c r="A13" s="1744" t="s">
        <v>30</v>
      </c>
      <c r="B13" s="1867"/>
      <c r="C13" s="1745"/>
      <c r="D13" s="1745"/>
      <c r="E13" s="1745"/>
      <c r="F13" s="1745"/>
      <c r="G13" s="906">
        <f>SUM(G7:G12)</f>
        <v>13106910</v>
      </c>
      <c r="H13" s="906">
        <f ref="H13:T13" t="shared" si="13">SUM(H7:H12)</f>
        <v>0</v>
      </c>
      <c r="I13" s="906">
        <f t="shared" si="13"/>
        <v>640927.899</v>
      </c>
      <c r="J13" s="906">
        <f t="shared" si="13"/>
        <v>524276.4</v>
      </c>
      <c r="K13" s="906">
        <f t="shared" si="13"/>
        <v>262138.2</v>
      </c>
      <c r="L13" s="906">
        <f t="shared" si="13"/>
        <v>90000</v>
      </c>
      <c r="M13" s="906">
        <f t="shared" si="13"/>
        <v>14624252.499000002</v>
      </c>
      <c r="N13" s="906">
        <f t="shared" si="13"/>
        <v>1169940.19992</v>
      </c>
      <c r="O13" s="906">
        <f t="shared" si="13"/>
        <v>2882000</v>
      </c>
      <c r="P13" s="906">
        <f t="shared" si="13"/>
        <v>0</v>
      </c>
      <c r="Q13" s="906">
        <f t="shared" si="13"/>
        <v>0</v>
      </c>
      <c r="R13" s="906">
        <f t="shared" si="13"/>
        <v>18676192.69892</v>
      </c>
      <c r="S13" s="906">
        <f t="shared" si="13"/>
        <v>116994.01999200003</v>
      </c>
      <c r="T13" s="906">
        <f t="shared" si="13"/>
        <v>18793186.718912</v>
      </c>
      <c r="U13" s="906"/>
      <c r="V13" s="906"/>
    </row>
    <row r="14">
      <c r="A14" s="0" t="s">
        <v>30</v>
      </c>
      <c r="B14" s="1910"/>
      <c r="C14" s="209"/>
      <c r="D14" s="208"/>
      <c r="E14" s="208"/>
      <c r="F14" s="208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316"/>
      <c r="V14" s="317"/>
    </row>
    <row r="15">
      <c r="A15" s="0" t="s">
        <v>30</v>
      </c>
      <c r="B15" s="1910"/>
      <c r="D15" s="262"/>
      <c r="E15" s="263"/>
      <c r="F15" s="264"/>
      <c r="G15" s="210"/>
      <c r="H15" s="2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48"/>
      <c r="V15" s="317"/>
    </row>
    <row r="16">
      <c r="A16" s="0" t="s">
        <v>30</v>
      </c>
      <c r="B16" s="1869"/>
      <c r="C16" s="264" t="str">
        <f>+'BALI ANTERAJA AGUSTUS - OK'!C27</f>
        <v>Karawang, 16 Agustus 2021</v>
      </c>
      <c r="D16" s="270"/>
      <c r="E16" s="270"/>
      <c r="F16" s="270"/>
      <c r="G16" s="271"/>
      <c r="H16" s="271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48"/>
      <c r="V16" s="317"/>
    </row>
    <row r="17">
      <c r="A17" s="0" t="s">
        <v>30</v>
      </c>
      <c r="B17" s="1870"/>
      <c r="C17" s="264" t="s">
        <v>38</v>
      </c>
      <c r="D17" s="263"/>
      <c r="E17" s="264"/>
      <c r="F17" s="264"/>
      <c r="G17" s="210"/>
      <c r="H17" s="210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48"/>
      <c r="V17" s="317"/>
    </row>
    <row r="18">
      <c r="A18" s="0" t="s">
        <v>30</v>
      </c>
      <c r="B18" s="1869"/>
      <c r="C18" s="445"/>
      <c r="D18" s="274"/>
      <c r="E18" s="264"/>
      <c r="F18" s="264"/>
      <c r="G18" s="275"/>
      <c r="H18" s="275"/>
      <c r="I18" s="262"/>
      <c r="J18" s="262"/>
      <c r="K18" s="262"/>
      <c r="L18" s="312"/>
      <c r="M18" s="263" t="s">
        <v>39</v>
      </c>
      <c r="N18" s="313"/>
      <c r="R18" s="349"/>
      <c r="S18" s="270"/>
      <c r="T18" s="313"/>
      <c r="U18" s="348"/>
      <c r="V18" s="348"/>
    </row>
    <row r="19">
      <c r="A19" s="0" t="s">
        <v>30</v>
      </c>
      <c r="B19" s="1871"/>
      <c r="C19" s="446"/>
      <c r="D19" s="209"/>
      <c r="E19" s="208"/>
      <c r="F19" s="208"/>
      <c r="G19" s="275"/>
      <c r="H19" s="275"/>
      <c r="I19" s="262"/>
      <c r="J19" s="315"/>
      <c r="K19" s="262"/>
      <c r="L19" s="312"/>
      <c r="M19" s="262"/>
      <c r="N19" s="270"/>
      <c r="O19" s="270"/>
      <c r="P19" s="270"/>
      <c r="Q19" s="270"/>
      <c r="R19" s="349"/>
      <c r="S19" s="270"/>
      <c r="T19" s="270"/>
      <c r="U19" s="348"/>
      <c r="V19" s="348"/>
    </row>
    <row r="20">
      <c r="A20" s="0" t="s">
        <v>30</v>
      </c>
      <c r="B20" s="1871"/>
      <c r="C20" s="446"/>
      <c r="D20" s="209"/>
      <c r="E20" s="208"/>
      <c r="F20" s="208"/>
      <c r="G20" s="210"/>
      <c r="H20" s="210"/>
      <c r="I20" s="210"/>
      <c r="J20" s="270"/>
      <c r="K20" s="270"/>
      <c r="L20" s="310"/>
      <c r="M20" s="270"/>
      <c r="N20" s="270"/>
      <c r="O20" s="270"/>
      <c r="P20" s="270"/>
      <c r="Q20" s="270"/>
      <c r="R20" s="208"/>
      <c r="S20" s="270"/>
      <c r="T20" s="270"/>
      <c r="U20" s="348"/>
      <c r="V20" s="348"/>
    </row>
    <row r="21">
      <c r="A21" s="0" t="s">
        <v>30</v>
      </c>
      <c r="B21" s="1869"/>
      <c r="C21" s="445"/>
      <c r="D21" s="274"/>
      <c r="E21" s="264"/>
      <c r="F21" s="264"/>
      <c r="G21" s="275"/>
      <c r="H21" s="275"/>
      <c r="I21" s="275"/>
      <c r="J21" s="262"/>
      <c r="K21" s="262"/>
      <c r="L21" s="312"/>
      <c r="M21" s="262"/>
      <c r="N21" s="262"/>
      <c r="O21" s="262"/>
      <c r="P21" s="262"/>
      <c r="Q21" s="262"/>
      <c r="R21" s="264"/>
      <c r="S21" s="270"/>
      <c r="T21" s="270"/>
      <c r="U21" s="348"/>
      <c r="V21" s="348"/>
    </row>
    <row r="22">
      <c r="A22" s="0" t="s">
        <v>30</v>
      </c>
      <c r="B22" s="1870"/>
      <c r="C22" s="264"/>
      <c r="D22" s="264"/>
      <c r="E22" s="264"/>
      <c r="F22" s="264"/>
      <c r="G22" s="275"/>
      <c r="H22" s="275"/>
      <c r="I22" s="275"/>
      <c r="J22" s="262"/>
      <c r="K22" s="262"/>
      <c r="L22" s="312"/>
      <c r="M22" s="262"/>
      <c r="N22" s="262"/>
      <c r="O22" s="262"/>
      <c r="P22" s="262"/>
      <c r="Q22" s="262"/>
      <c r="R22" s="264"/>
      <c r="S22" s="208"/>
      <c r="T22" s="270"/>
      <c r="U22" s="348"/>
      <c r="V22" s="348"/>
    </row>
    <row r="23">
      <c r="A23" s="0" t="s">
        <v>30</v>
      </c>
      <c r="B23" s="1870"/>
      <c r="C23" s="264"/>
      <c r="D23" s="264"/>
      <c r="E23" s="264"/>
      <c r="F23" s="264"/>
      <c r="G23" s="275"/>
      <c r="H23" s="275"/>
      <c r="I23" s="275"/>
      <c r="J23" s="262"/>
      <c r="K23" s="262"/>
      <c r="L23" s="312"/>
      <c r="M23" s="262"/>
      <c r="N23" s="262"/>
      <c r="O23" s="262"/>
      <c r="P23" s="262"/>
      <c r="Q23" s="262"/>
      <c r="R23" s="264"/>
      <c r="S23" s="270"/>
      <c r="U23" s="348"/>
      <c r="V23" s="348"/>
    </row>
    <row r="24">
      <c r="A24" s="0" t="s">
        <v>30</v>
      </c>
      <c r="B24" s="1870"/>
      <c r="C24" s="264" t="s">
        <v>40</v>
      </c>
      <c r="E24" s="264"/>
      <c r="F24" s="264"/>
      <c r="G24" s="275"/>
      <c r="H24" s="275"/>
      <c r="I24" s="275"/>
      <c r="J24" s="312" t="s">
        <v>41</v>
      </c>
      <c r="K24" s="263"/>
      <c r="L24" s="263"/>
      <c r="M24" s="263" t="s">
        <v>42</v>
      </c>
      <c r="N24" s="264"/>
      <c r="O24" s="264" t="s">
        <v>43</v>
      </c>
      <c r="P24" s="264"/>
      <c r="Q24" s="263"/>
      <c r="U24" s="350"/>
      <c r="V24" s="350"/>
    </row>
    <row r="25">
      <c r="A25" s="263" t="s">
        <v>30</v>
      </c>
      <c r="B25" s="1868"/>
      <c r="C25" s="274"/>
      <c r="D25" s="264"/>
      <c r="E25" s="264"/>
      <c r="F25" s="279"/>
      <c r="G25" s="275"/>
      <c r="H25" s="275"/>
      <c r="I25" s="263"/>
      <c r="J25" s="263"/>
      <c r="K25" s="263"/>
      <c r="L25" s="263"/>
      <c r="M25" s="275"/>
      <c r="N25" s="263"/>
      <c r="O25" s="263"/>
      <c r="P25" s="263"/>
      <c r="Q25" s="263"/>
      <c r="R25" s="263"/>
      <c r="U25" s="350"/>
      <c r="V25" s="350"/>
    </row>
    <row r="26">
      <c r="A26" s="263" t="s">
        <v>30</v>
      </c>
      <c r="B26" s="1868"/>
      <c r="C26" s="274"/>
      <c r="D26" s="264"/>
      <c r="E26" s="264"/>
      <c r="F26" s="279"/>
      <c r="G26" s="275"/>
      <c r="H26" s="275"/>
      <c r="I26" s="263"/>
      <c r="J26" s="263"/>
      <c r="K26" s="263"/>
      <c r="L26" s="263"/>
      <c r="M26" s="275"/>
      <c r="N26" s="263"/>
      <c r="O26" s="263"/>
      <c r="P26" s="263"/>
      <c r="Q26" s="263"/>
      <c r="R26" s="263"/>
      <c r="U26" s="350"/>
      <c r="V26" s="350"/>
    </row>
  </sheetData>
  <mergeCells>
    <mergeCell ref="A13:F13"/>
  </mergeCells>
  <pageMargins left="0" right="0" top="0.80902777777777801" bottom="0.75" header="0.3" footer="0.3"/>
  <pageSetup scale="56" fitToHeight="0" orientation="landscape"/>
  <headerFooter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  <pageSetUpPr fitToPage="1"/>
  </sheetPr>
  <dimension ref="A1:V22"/>
  <sheetViews>
    <sheetView zoomScale="85" zoomScaleNormal="85" workbookViewId="0">
      <pane xSplit="7" ySplit="6" topLeftCell="H7" activePane="bottomRight" state="frozen"/>
      <selection pane="topRight"/>
      <selection pane="bottomLeft"/>
      <selection pane="bottomRight" activeCell="M8" sqref="M8"/>
    </sheetView>
  </sheetViews>
  <sheetFormatPr defaultColWidth="9.140625" defaultRowHeight="15"/>
  <cols>
    <col min="1" max="2" width="4.85546875" customWidth="1"/>
    <col min="3" max="3" width="23.28515625" customWidth="1"/>
    <col min="4" max="4" width="9.85546875" customWidth="1"/>
    <col min="5" max="5" width="12" customWidth="1"/>
    <col min="6" max="6" width="9.85546875" customWidth="1"/>
    <col min="7" max="7" width="10.85546875" customWidth="1"/>
    <col min="8" max="8" width="9.5703125" customWidth="1"/>
    <col min="9" max="9" width="10.85546875" customWidth="1"/>
    <col min="10" max="10" width="15.85546875" customWidth="1"/>
    <col min="11" max="11" width="9" customWidth="1"/>
    <col min="12" max="12" width="13.140625" customWidth="1"/>
    <col min="13" max="13" width="13.28515625" customWidth="1"/>
    <col min="14" max="14" width="12.42578125" customWidth="1"/>
    <col min="15" max="15" width="12.85546875" customWidth="1"/>
    <col min="16" max="16" width="11" customWidth="1"/>
    <col min="17" max="18" width="11.5703125" customWidth="1"/>
    <col min="19" max="19" width="8.7109375" customWidth="1"/>
    <col min="20" max="20" width="12.140625" customWidth="1"/>
    <col min="21" max="21" width="8.42578125" customWidth="1"/>
    <col min="22" max="22" width="10.28515625" customWidth="1"/>
    <col min="23" max="23" width="9.140625" customWidth="1"/>
  </cols>
  <sheetData>
    <row r="1">
      <c r="A1" s="550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550" t="s">
        <v>1513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550" t="str">
        <f>+'BALI ANTERAJA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M3" s="210"/>
      <c r="U3" s="316"/>
      <c r="V3" s="317"/>
    </row>
    <row r="4">
      <c r="A4" s="207"/>
      <c r="B4" s="208"/>
      <c r="C4" s="209"/>
      <c r="D4" s="208"/>
      <c r="E4" s="208"/>
      <c r="F4" s="208"/>
      <c r="G4" s="900">
        <v>2201613</v>
      </c>
      <c r="H4" s="900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08"/>
      <c r="G5" s="900"/>
      <c r="H5" s="900"/>
      <c r="I5" s="281"/>
      <c r="M5" s="210"/>
      <c r="U5" s="316"/>
      <c r="V5" s="317"/>
    </row>
    <row r="6" ht="22.5">
      <c r="A6" s="463" t="s">
        <v>2</v>
      </c>
      <c r="B6" s="464" t="s">
        <v>3</v>
      </c>
      <c r="C6" s="464" t="s">
        <v>4</v>
      </c>
      <c r="D6" s="464" t="s">
        <v>5</v>
      </c>
      <c r="E6" s="464" t="s">
        <v>6</v>
      </c>
      <c r="F6" s="465" t="s">
        <v>7</v>
      </c>
      <c r="G6" s="466" t="s">
        <v>8</v>
      </c>
      <c r="H6" s="219" t="s">
        <v>9</v>
      </c>
      <c r="I6" s="467" t="s">
        <v>10</v>
      </c>
      <c r="J6" s="477" t="s">
        <v>11</v>
      </c>
      <c r="K6" s="477" t="s">
        <v>12</v>
      </c>
      <c r="L6" s="478" t="s">
        <v>13</v>
      </c>
      <c r="M6" s="478" t="s">
        <v>14</v>
      </c>
      <c r="N6" s="286" t="s">
        <v>15</v>
      </c>
      <c r="O6" s="286" t="s">
        <v>32</v>
      </c>
      <c r="P6" s="286" t="s">
        <v>17</v>
      </c>
      <c r="Q6" s="286" t="s">
        <v>18</v>
      </c>
      <c r="R6" s="483" t="s">
        <v>19</v>
      </c>
      <c r="S6" s="484" t="s">
        <v>20</v>
      </c>
      <c r="T6" s="484" t="s">
        <v>21</v>
      </c>
      <c r="U6" s="485" t="s">
        <v>22</v>
      </c>
      <c r="V6" s="486" t="s">
        <v>23</v>
      </c>
    </row>
    <row r="7" ht="18" customHeight="1">
      <c r="A7" s="901" t="s">
        <v>24</v>
      </c>
      <c r="B7" s="624">
        <v>2788</v>
      </c>
      <c r="C7" s="902" t="s">
        <v>1514</v>
      </c>
      <c r="D7" s="903" t="s">
        <v>34</v>
      </c>
      <c r="E7" s="904" t="s">
        <v>782</v>
      </c>
      <c r="F7" s="905" t="s">
        <v>87</v>
      </c>
      <c r="G7" s="629">
        <f>2201613/31*14</f>
        <v>994276.838709678</v>
      </c>
      <c r="H7" s="629"/>
      <c r="I7" s="650">
        <f>+$G$4*4.89%</f>
        <v>107658.8757</v>
      </c>
      <c r="J7" s="650">
        <f>+$G$4*4%</f>
        <v>88064.52</v>
      </c>
      <c r="K7" s="650">
        <f>+$G$4*2%</f>
        <v>44032.26</v>
      </c>
      <c r="L7" s="650">
        <v>15000</v>
      </c>
      <c r="M7" s="308">
        <f>SUM(G7:L7)</f>
        <v>1249032.494409678</v>
      </c>
      <c r="N7" s="651">
        <f ref="N7:N8" t="shared" si="0">+M7*8%</f>
        <v>99922.59955277425</v>
      </c>
      <c r="O7" s="907"/>
      <c r="P7" s="908"/>
      <c r="Q7" s="909"/>
      <c r="R7" s="910">
        <f ref="R7:R8" t="shared" si="1">SUM(M7:Q7)</f>
        <v>1348955.0939624524</v>
      </c>
      <c r="S7" s="910">
        <f ref="S7:S8" t="shared" si="2">N7*0.1</f>
        <v>9992.259955277426</v>
      </c>
      <c r="T7" s="911">
        <f ref="T7:T8" t="shared" si="3">R7+S7</f>
        <v>1358947.3539177298</v>
      </c>
      <c r="U7" s="912">
        <v>44410</v>
      </c>
      <c r="V7" s="669">
        <v>44500</v>
      </c>
    </row>
    <row r="8" ht="18" customHeight="1">
      <c r="A8" s="901" t="s">
        <v>24</v>
      </c>
      <c r="B8" s="624">
        <v>2789</v>
      </c>
      <c r="C8" s="902" t="s">
        <v>1515</v>
      </c>
      <c r="D8" s="903" t="s">
        <v>34</v>
      </c>
      <c r="E8" s="904" t="s">
        <v>782</v>
      </c>
      <c r="F8" s="905" t="s">
        <v>87</v>
      </c>
      <c r="G8" s="629">
        <f>2201613/31*14</f>
        <v>994276.838709678</v>
      </c>
      <c r="H8" s="629"/>
      <c r="I8" s="650">
        <f>+$G$4*4.89%</f>
        <v>107658.8757</v>
      </c>
      <c r="J8" s="650">
        <f>+$G$4*4%</f>
        <v>88064.52</v>
      </c>
      <c r="K8" s="650">
        <f>+$G$4*2%</f>
        <v>44032.26</v>
      </c>
      <c r="L8" s="650">
        <v>15000</v>
      </c>
      <c r="M8" s="308">
        <f>SUM(G8:L8)</f>
        <v>1249032.494409678</v>
      </c>
      <c r="N8" s="651">
        <f t="shared" si="0"/>
        <v>99922.59955277425</v>
      </c>
      <c r="O8" s="907"/>
      <c r="P8" s="908"/>
      <c r="Q8" s="909"/>
      <c r="R8" s="910">
        <f t="shared" si="1"/>
        <v>1348955.0939624524</v>
      </c>
      <c r="S8" s="910">
        <f t="shared" si="2"/>
        <v>9992.259955277426</v>
      </c>
      <c r="T8" s="911">
        <f t="shared" si="3"/>
        <v>1358947.3539177298</v>
      </c>
      <c r="U8" s="912">
        <v>44410</v>
      </c>
      <c r="V8" s="669">
        <v>44500</v>
      </c>
    </row>
    <row r="9" ht="18" customHeight="1">
      <c r="A9" s="1744" t="s">
        <v>30</v>
      </c>
      <c r="B9" s="1867"/>
      <c r="C9" s="1745"/>
      <c r="D9" s="1745"/>
      <c r="E9" s="1745"/>
      <c r="F9" s="1745"/>
      <c r="G9" s="906">
        <f ref="G9:T9" t="shared" si="4">SUM(G7:G8)</f>
        <v>1988553.67741936</v>
      </c>
      <c r="H9" s="906">
        <f t="shared" si="4"/>
        <v>0</v>
      </c>
      <c r="I9" s="906">
        <f t="shared" si="4"/>
        <v>215317.7514</v>
      </c>
      <c r="J9" s="906">
        <f t="shared" si="4"/>
        <v>176129.04</v>
      </c>
      <c r="K9" s="906">
        <f t="shared" si="4"/>
        <v>88064.52</v>
      </c>
      <c r="L9" s="906">
        <f t="shared" si="4"/>
        <v>30000</v>
      </c>
      <c r="M9" s="906">
        <f t="shared" si="4"/>
        <v>2498064.988819356</v>
      </c>
      <c r="N9" s="906">
        <f t="shared" si="4"/>
        <v>199845.1991055485</v>
      </c>
      <c r="O9" s="906">
        <f t="shared" si="4"/>
        <v>0</v>
      </c>
      <c r="P9" s="906">
        <f t="shared" si="4"/>
        <v>0</v>
      </c>
      <c r="Q9" s="906">
        <f t="shared" si="4"/>
        <v>0</v>
      </c>
      <c r="R9" s="906">
        <f t="shared" si="4"/>
        <v>2697910.1879249047</v>
      </c>
      <c r="S9" s="906">
        <f t="shared" si="4"/>
        <v>19984.519910554853</v>
      </c>
      <c r="T9" s="906">
        <f t="shared" si="4"/>
        <v>2717894.7078354596</v>
      </c>
      <c r="U9" s="906"/>
      <c r="V9" s="906"/>
    </row>
    <row r="10">
      <c r="A10" s="0" t="s">
        <v>30</v>
      </c>
      <c r="B10" s="1910"/>
      <c r="C10" s="209"/>
      <c r="D10" s="208"/>
      <c r="E10" s="208"/>
      <c r="F10" s="208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316"/>
      <c r="V10" s="317"/>
    </row>
    <row r="11">
      <c r="A11" s="0" t="s">
        <v>30</v>
      </c>
      <c r="B11" s="1910"/>
      <c r="D11" s="262"/>
      <c r="E11" s="263"/>
      <c r="F11" s="264"/>
      <c r="G11" s="210"/>
      <c r="H11" s="2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48"/>
      <c r="V11" s="317"/>
    </row>
    <row r="12">
      <c r="A12" s="0" t="s">
        <v>30</v>
      </c>
      <c r="B12" s="1869"/>
      <c r="C12" s="264" t="str">
        <f>+'BALI ANTERAJA AGUSTUS - OK'!C27</f>
        <v>Karawang, 16 Agustus 2021</v>
      </c>
      <c r="D12" s="270"/>
      <c r="E12" s="270"/>
      <c r="F12" s="270"/>
      <c r="G12" s="271"/>
      <c r="H12" s="271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48"/>
      <c r="V12" s="317"/>
    </row>
    <row r="13">
      <c r="A13" s="0" t="s">
        <v>30</v>
      </c>
      <c r="B13" s="1870"/>
      <c r="C13" s="264" t="s">
        <v>38</v>
      </c>
      <c r="D13" s="263"/>
      <c r="E13" s="264"/>
      <c r="F13" s="264"/>
      <c r="G13" s="210"/>
      <c r="H13" s="210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48"/>
      <c r="V13" s="317"/>
    </row>
    <row r="14">
      <c r="A14" s="0" t="s">
        <v>30</v>
      </c>
      <c r="B14" s="1869"/>
      <c r="C14" s="445"/>
      <c r="D14" s="274"/>
      <c r="E14" s="264"/>
      <c r="F14" s="264"/>
      <c r="G14" s="275"/>
      <c r="H14" s="275"/>
      <c r="I14" s="262"/>
      <c r="J14" s="262"/>
      <c r="K14" s="262"/>
      <c r="L14" s="312"/>
      <c r="M14" s="263" t="s">
        <v>39</v>
      </c>
      <c r="N14" s="313"/>
      <c r="R14" s="349"/>
      <c r="S14" s="270"/>
      <c r="T14" s="313"/>
      <c r="U14" s="348"/>
      <c r="V14" s="348"/>
    </row>
    <row r="15">
      <c r="A15" s="0" t="s">
        <v>30</v>
      </c>
      <c r="B15" s="1871"/>
      <c r="C15" s="446"/>
      <c r="D15" s="209"/>
      <c r="E15" s="208"/>
      <c r="F15" s="208"/>
      <c r="G15" s="275"/>
      <c r="H15" s="275"/>
      <c r="I15" s="262"/>
      <c r="J15" s="315"/>
      <c r="K15" s="262"/>
      <c r="L15" s="312"/>
      <c r="M15" s="262"/>
      <c r="N15" s="270"/>
      <c r="O15" s="270"/>
      <c r="P15" s="270"/>
      <c r="Q15" s="270"/>
      <c r="R15" s="349"/>
      <c r="S15" s="270"/>
      <c r="T15" s="270"/>
      <c r="U15" s="348"/>
      <c r="V15" s="348"/>
    </row>
    <row r="16">
      <c r="A16" s="0" t="s">
        <v>30</v>
      </c>
      <c r="B16" s="1871"/>
      <c r="C16" s="446"/>
      <c r="D16" s="209"/>
      <c r="E16" s="208"/>
      <c r="F16" s="208"/>
      <c r="G16" s="210"/>
      <c r="H16" s="210"/>
      <c r="I16" s="210"/>
      <c r="J16" s="270"/>
      <c r="K16" s="270"/>
      <c r="L16" s="310"/>
      <c r="M16" s="270"/>
      <c r="N16" s="270"/>
      <c r="O16" s="270"/>
      <c r="P16" s="270"/>
      <c r="Q16" s="270"/>
      <c r="R16" s="208"/>
      <c r="S16" s="270"/>
      <c r="T16" s="270"/>
      <c r="U16" s="348"/>
      <c r="V16" s="348"/>
    </row>
    <row r="17">
      <c r="A17" s="0" t="s">
        <v>30</v>
      </c>
      <c r="B17" s="1869"/>
      <c r="C17" s="445"/>
      <c r="D17" s="27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264"/>
      <c r="S17" s="270"/>
      <c r="T17" s="270"/>
      <c r="U17" s="348"/>
      <c r="V17" s="348"/>
    </row>
    <row r="18">
      <c r="A18" s="0" t="s">
        <v>30</v>
      </c>
      <c r="B18" s="1870"/>
      <c r="C18" s="264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4"/>
      <c r="S18" s="208"/>
      <c r="T18" s="270"/>
      <c r="U18" s="348"/>
      <c r="V18" s="348"/>
    </row>
    <row r="19">
      <c r="A19" s="0" t="s">
        <v>30</v>
      </c>
      <c r="B19" s="1870"/>
      <c r="C19" s="264"/>
      <c r="D19" s="264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262"/>
      <c r="P19" s="262"/>
      <c r="Q19" s="262"/>
      <c r="R19" s="264"/>
      <c r="S19" s="270"/>
      <c r="U19" s="348"/>
      <c r="V19" s="348"/>
    </row>
    <row r="20">
      <c r="A20" s="0" t="s">
        <v>30</v>
      </c>
      <c r="B20" s="1870"/>
      <c r="C20" s="264" t="s">
        <v>40</v>
      </c>
      <c r="E20" s="264"/>
      <c r="F20" s="264"/>
      <c r="G20" s="275"/>
      <c r="H20" s="275"/>
      <c r="I20" s="275"/>
      <c r="J20" s="312" t="s">
        <v>41</v>
      </c>
      <c r="K20" s="263"/>
      <c r="L20" s="263"/>
      <c r="M20" s="263" t="s">
        <v>42</v>
      </c>
      <c r="N20" s="264"/>
      <c r="O20" s="264" t="s">
        <v>43</v>
      </c>
      <c r="P20" s="264"/>
      <c r="Q20" s="263"/>
      <c r="U20" s="350"/>
      <c r="V20" s="350"/>
    </row>
    <row r="21">
      <c r="A21" s="263" t="s">
        <v>30</v>
      </c>
      <c r="B21" s="1868"/>
      <c r="C21" s="274"/>
      <c r="D21" s="264"/>
      <c r="E21" s="264"/>
      <c r="F21" s="279"/>
      <c r="G21" s="275"/>
      <c r="H21" s="275"/>
      <c r="I21" s="263"/>
      <c r="J21" s="263"/>
      <c r="K21" s="263"/>
      <c r="L21" s="263"/>
      <c r="M21" s="275"/>
      <c r="N21" s="263"/>
      <c r="O21" s="263"/>
      <c r="P21" s="263"/>
      <c r="Q21" s="263"/>
      <c r="R21" s="263"/>
      <c r="U21" s="350"/>
      <c r="V21" s="350"/>
    </row>
    <row r="22">
      <c r="A22" s="263" t="s">
        <v>30</v>
      </c>
      <c r="B22" s="1868"/>
      <c r="C22" s="274"/>
      <c r="D22" s="264"/>
      <c r="E22" s="264"/>
      <c r="F22" s="279"/>
      <c r="G22" s="275"/>
      <c r="H22" s="275"/>
      <c r="I22" s="263"/>
      <c r="J22" s="263"/>
      <c r="K22" s="263"/>
      <c r="L22" s="263"/>
      <c r="M22" s="275"/>
      <c r="N22" s="263"/>
      <c r="O22" s="263"/>
      <c r="P22" s="263"/>
      <c r="Q22" s="263"/>
      <c r="R22" s="263"/>
      <c r="U22" s="350"/>
      <c r="V22" s="350"/>
    </row>
  </sheetData>
  <mergeCells>
    <mergeCell ref="A9:F9"/>
  </mergeCells>
  <pageMargins left="0" right="0" top="0.80902777777777801" bottom="0.75" header="0.3" footer="0.3"/>
  <pageSetup scale="56" fitToHeight="0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  <pageSetUpPr fitToPage="1"/>
  </sheetPr>
  <dimension ref="A1:V22"/>
  <sheetViews>
    <sheetView zoomScale="85" zoomScaleNormal="85" workbookViewId="0">
      <pane xSplit="7" ySplit="6" topLeftCell="H7" activePane="bottomRight" state="frozen"/>
      <selection activeCell="N20" sqref="N20"/>
      <selection pane="topRight" activeCell="N20" sqref="N20"/>
      <selection pane="bottomLeft" activeCell="N20" sqref="N20"/>
      <selection pane="bottomRight" activeCell="N20" sqref="N20"/>
    </sheetView>
  </sheetViews>
  <sheetFormatPr defaultColWidth="9.140625" defaultRowHeight="15"/>
  <cols>
    <col min="1" max="2" width="4.85546875" customWidth="1"/>
    <col min="3" max="3" width="23.28515625" customWidth="1"/>
    <col min="4" max="4" width="9.85546875" customWidth="1"/>
    <col min="5" max="5" width="12" customWidth="1"/>
    <col min="6" max="6" width="9.85546875" customWidth="1"/>
    <col min="7" max="7" width="10.85546875" customWidth="1"/>
    <col min="8" max="8" width="9.5703125" customWidth="1"/>
    <col min="9" max="9" width="10.85546875" customWidth="1"/>
    <col min="10" max="10" width="15.85546875" customWidth="1"/>
    <col min="11" max="11" width="9" customWidth="1"/>
    <col min="12" max="12" width="13.140625" customWidth="1"/>
    <col min="13" max="13" width="13.28515625" customWidth="1"/>
    <col min="14" max="14" width="12.42578125" customWidth="1"/>
    <col min="15" max="15" width="12.85546875" customWidth="1"/>
    <col min="16" max="16" width="11" customWidth="1"/>
    <col min="17" max="18" width="11.5703125" customWidth="1"/>
    <col min="19" max="19" width="8.7109375" customWidth="1"/>
    <col min="20" max="20" width="12.140625" customWidth="1"/>
    <col min="21" max="21" width="8.42578125" customWidth="1"/>
    <col min="22" max="22" width="10.28515625" customWidth="1"/>
    <col min="23" max="23" width="9.140625" customWidth="1"/>
  </cols>
  <sheetData>
    <row r="1">
      <c r="A1" s="550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550" t="s">
        <v>1477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550" t="str">
        <f>+'BALI ANTERAJA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M3" s="210"/>
      <c r="U3" s="316"/>
      <c r="V3" s="317"/>
    </row>
    <row r="4">
      <c r="A4" s="207"/>
      <c r="B4" s="208"/>
      <c r="C4" s="209"/>
      <c r="D4" s="208"/>
      <c r="E4" s="208"/>
      <c r="F4" s="208"/>
      <c r="G4" s="900">
        <v>2225000</v>
      </c>
      <c r="H4" s="900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08"/>
      <c r="G5" s="900"/>
      <c r="H5" s="900"/>
      <c r="I5" s="281"/>
      <c r="M5" s="210"/>
      <c r="U5" s="316"/>
      <c r="V5" s="317"/>
    </row>
    <row r="6" ht="22.5">
      <c r="A6" s="463" t="s">
        <v>2</v>
      </c>
      <c r="B6" s="464" t="s">
        <v>3</v>
      </c>
      <c r="C6" s="464" t="s">
        <v>4</v>
      </c>
      <c r="D6" s="464" t="s">
        <v>5</v>
      </c>
      <c r="E6" s="464" t="s">
        <v>6</v>
      </c>
      <c r="F6" s="465" t="s">
        <v>7</v>
      </c>
      <c r="G6" s="466" t="s">
        <v>8</v>
      </c>
      <c r="H6" s="219" t="s">
        <v>9</v>
      </c>
      <c r="I6" s="467" t="s">
        <v>10</v>
      </c>
      <c r="J6" s="477" t="s">
        <v>11</v>
      </c>
      <c r="K6" s="477" t="s">
        <v>12</v>
      </c>
      <c r="L6" s="478" t="s">
        <v>13</v>
      </c>
      <c r="M6" s="478" t="s">
        <v>14</v>
      </c>
      <c r="N6" s="286" t="s">
        <v>15</v>
      </c>
      <c r="O6" s="286" t="s">
        <v>32</v>
      </c>
      <c r="P6" s="286" t="s">
        <v>17</v>
      </c>
      <c r="Q6" s="286" t="s">
        <v>18</v>
      </c>
      <c r="R6" s="483" t="s">
        <v>19</v>
      </c>
      <c r="S6" s="484" t="s">
        <v>20</v>
      </c>
      <c r="T6" s="484" t="s">
        <v>21</v>
      </c>
      <c r="U6" s="485" t="s">
        <v>22</v>
      </c>
      <c r="V6" s="486" t="s">
        <v>23</v>
      </c>
    </row>
    <row r="7" ht="18" customHeight="1">
      <c r="A7" s="901" t="s">
        <v>24</v>
      </c>
      <c r="B7" s="624">
        <v>2793</v>
      </c>
      <c r="C7" s="902" t="s">
        <v>1478</v>
      </c>
      <c r="D7" s="903" t="s">
        <v>34</v>
      </c>
      <c r="E7" s="904" t="s">
        <v>783</v>
      </c>
      <c r="F7" s="905" t="s">
        <v>87</v>
      </c>
      <c r="G7" s="629">
        <f>2225000/31*14</f>
        <v>1004838.70967742</v>
      </c>
      <c r="H7" s="629"/>
      <c r="I7" s="650">
        <f>+$G$4*4.89%</f>
        <v>108802.5</v>
      </c>
      <c r="J7" s="650">
        <f>+$G$4*4%</f>
        <v>89000</v>
      </c>
      <c r="K7" s="650">
        <f>+$G$4*2%</f>
        <v>44500</v>
      </c>
      <c r="L7" s="650">
        <v>15000</v>
      </c>
      <c r="M7" s="308">
        <f>SUM(G7:L7)</f>
        <v>1262141.20967742</v>
      </c>
      <c r="N7" s="651">
        <f ref="N7:N8" t="shared" si="0">+M7*8%</f>
        <v>100971.29677419362</v>
      </c>
      <c r="O7" s="907"/>
      <c r="P7" s="908"/>
      <c r="Q7" s="909"/>
      <c r="R7" s="910">
        <f ref="R7:R8" t="shared" si="1">SUM(M7:Q7)</f>
        <v>1363112.5064516137</v>
      </c>
      <c r="S7" s="910">
        <f ref="S7:S8" t="shared" si="2">N7*0.1</f>
        <v>10097.129677419362</v>
      </c>
      <c r="T7" s="911">
        <f ref="T7:T8" t="shared" si="3">R7+S7</f>
        <v>1373209.636129033</v>
      </c>
      <c r="U7" s="912">
        <v>44410</v>
      </c>
      <c r="V7" s="669">
        <v>44500</v>
      </c>
    </row>
    <row r="8" ht="18" customHeight="1">
      <c r="A8" s="901" t="s">
        <v>24</v>
      </c>
      <c r="B8" s="624">
        <v>1662</v>
      </c>
      <c r="C8" s="902" t="s">
        <v>1479</v>
      </c>
      <c r="D8" s="903" t="s">
        <v>34</v>
      </c>
      <c r="E8" s="904" t="s">
        <v>783</v>
      </c>
      <c r="F8" s="905" t="s">
        <v>87</v>
      </c>
      <c r="G8" s="629">
        <f>2225000/31*14</f>
        <v>1004838.70967742</v>
      </c>
      <c r="H8" s="629"/>
      <c r="I8" s="650">
        <f>+$G$4*4.89%</f>
        <v>108802.5</v>
      </c>
      <c r="J8" s="650">
        <f>+$G$4*4%</f>
        <v>89000</v>
      </c>
      <c r="K8" s="650">
        <f>+$G$4*2%</f>
        <v>44500</v>
      </c>
      <c r="L8" s="650">
        <v>15000</v>
      </c>
      <c r="M8" s="308">
        <f>SUM(G8:L8)</f>
        <v>1262141.20967742</v>
      </c>
      <c r="N8" s="651">
        <f t="shared" si="0"/>
        <v>100971.29677419362</v>
      </c>
      <c r="O8" s="907"/>
      <c r="P8" s="908"/>
      <c r="Q8" s="909"/>
      <c r="R8" s="910">
        <f t="shared" si="1"/>
        <v>1363112.5064516137</v>
      </c>
      <c r="S8" s="910">
        <f t="shared" si="2"/>
        <v>10097.129677419362</v>
      </c>
      <c r="T8" s="911">
        <f t="shared" si="3"/>
        <v>1373209.636129033</v>
      </c>
      <c r="U8" s="912">
        <v>44410</v>
      </c>
      <c r="V8" s="669">
        <v>44500</v>
      </c>
    </row>
    <row r="9" ht="18" customHeight="1">
      <c r="A9" s="1744" t="s">
        <v>30</v>
      </c>
      <c r="B9" s="1867"/>
      <c r="C9" s="1745"/>
      <c r="D9" s="1745"/>
      <c r="E9" s="1745"/>
      <c r="F9" s="1745"/>
      <c r="G9" s="906">
        <f ref="G9:T9" t="shared" si="4">SUM(G7:G8)</f>
        <v>2009677.41935484</v>
      </c>
      <c r="H9" s="906">
        <f t="shared" si="4"/>
        <v>0</v>
      </c>
      <c r="I9" s="906">
        <f t="shared" si="4"/>
        <v>217605</v>
      </c>
      <c r="J9" s="906">
        <f t="shared" si="4"/>
        <v>178000</v>
      </c>
      <c r="K9" s="906">
        <f t="shared" si="4"/>
        <v>89000</v>
      </c>
      <c r="L9" s="906">
        <f t="shared" si="4"/>
        <v>30000</v>
      </c>
      <c r="M9" s="906">
        <f t="shared" si="4"/>
        <v>2524282.41935484</v>
      </c>
      <c r="N9" s="906">
        <f t="shared" si="4"/>
        <v>201942.59354838723</v>
      </c>
      <c r="O9" s="906">
        <f t="shared" si="4"/>
        <v>0</v>
      </c>
      <c r="P9" s="906">
        <f t="shared" si="4"/>
        <v>0</v>
      </c>
      <c r="Q9" s="906">
        <f t="shared" si="4"/>
        <v>0</v>
      </c>
      <c r="R9" s="906">
        <f t="shared" si="4"/>
        <v>2726225.0129032275</v>
      </c>
      <c r="S9" s="906">
        <f t="shared" si="4"/>
        <v>20194.259354838723</v>
      </c>
      <c r="T9" s="906">
        <f t="shared" si="4"/>
        <v>2746419.272258066</v>
      </c>
      <c r="U9" s="906"/>
      <c r="V9" s="906"/>
    </row>
    <row r="10">
      <c r="A10" s="0" t="s">
        <v>30</v>
      </c>
      <c r="B10" s="1910"/>
      <c r="C10" s="209"/>
      <c r="D10" s="208"/>
      <c r="E10" s="208"/>
      <c r="F10" s="208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316"/>
      <c r="V10" s="317"/>
    </row>
    <row r="11">
      <c r="A11" s="0" t="s">
        <v>30</v>
      </c>
      <c r="B11" s="1910"/>
      <c r="D11" s="262"/>
      <c r="E11" s="263"/>
      <c r="F11" s="264"/>
      <c r="G11" s="210"/>
      <c r="H11" s="2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48"/>
      <c r="V11" s="317"/>
    </row>
    <row r="12">
      <c r="A12" s="0" t="s">
        <v>30</v>
      </c>
      <c r="B12" s="1869"/>
      <c r="C12" s="264" t="str">
        <f>+'BALI ANTERAJA AGUSTUS - OK'!C27</f>
        <v>Karawang, 16 Agustus 2021</v>
      </c>
      <c r="D12" s="270"/>
      <c r="E12" s="270"/>
      <c r="F12" s="270"/>
      <c r="G12" s="271"/>
      <c r="H12" s="271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48"/>
      <c r="V12" s="317"/>
    </row>
    <row r="13">
      <c r="A13" s="0" t="s">
        <v>30</v>
      </c>
      <c r="B13" s="1870"/>
      <c r="C13" s="264" t="s">
        <v>38</v>
      </c>
      <c r="D13" s="263"/>
      <c r="E13" s="264"/>
      <c r="F13" s="264"/>
      <c r="G13" s="210"/>
      <c r="H13" s="210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48"/>
      <c r="V13" s="317"/>
    </row>
    <row r="14">
      <c r="A14" s="0" t="s">
        <v>30</v>
      </c>
      <c r="B14" s="1869"/>
      <c r="C14" s="445"/>
      <c r="D14" s="274"/>
      <c r="E14" s="264"/>
      <c r="F14" s="264"/>
      <c r="G14" s="275"/>
      <c r="H14" s="275"/>
      <c r="I14" s="262"/>
      <c r="J14" s="262"/>
      <c r="K14" s="262"/>
      <c r="L14" s="312"/>
      <c r="M14" s="263" t="s">
        <v>39</v>
      </c>
      <c r="N14" s="313"/>
      <c r="R14" s="349"/>
      <c r="S14" s="270"/>
      <c r="T14" s="313"/>
      <c r="U14" s="348"/>
      <c r="V14" s="348"/>
    </row>
    <row r="15">
      <c r="A15" s="0" t="s">
        <v>30</v>
      </c>
      <c r="B15" s="1871"/>
      <c r="C15" s="446"/>
      <c r="D15" s="209"/>
      <c r="E15" s="208"/>
      <c r="F15" s="208"/>
      <c r="G15" s="275"/>
      <c r="H15" s="275"/>
      <c r="I15" s="262"/>
      <c r="J15" s="315"/>
      <c r="K15" s="262"/>
      <c r="L15" s="312"/>
      <c r="M15" s="262"/>
      <c r="N15" s="270"/>
      <c r="O15" s="270"/>
      <c r="P15" s="270"/>
      <c r="Q15" s="270"/>
      <c r="R15" s="349"/>
      <c r="S15" s="270"/>
      <c r="T15" s="270"/>
      <c r="U15" s="348"/>
      <c r="V15" s="348"/>
    </row>
    <row r="16">
      <c r="A16" s="0" t="s">
        <v>30</v>
      </c>
      <c r="B16" s="1871"/>
      <c r="C16" s="446"/>
      <c r="D16" s="209"/>
      <c r="E16" s="208"/>
      <c r="F16" s="208"/>
      <c r="G16" s="210"/>
      <c r="H16" s="210"/>
      <c r="I16" s="210"/>
      <c r="J16" s="270"/>
      <c r="K16" s="270"/>
      <c r="L16" s="310"/>
      <c r="M16" s="270"/>
      <c r="N16" s="270"/>
      <c r="O16" s="270"/>
      <c r="P16" s="270"/>
      <c r="Q16" s="270"/>
      <c r="R16" s="208"/>
      <c r="S16" s="270"/>
      <c r="T16" s="270"/>
      <c r="U16" s="348"/>
      <c r="V16" s="348"/>
    </row>
    <row r="17">
      <c r="A17" s="0" t="s">
        <v>30</v>
      </c>
      <c r="B17" s="1869"/>
      <c r="C17" s="445"/>
      <c r="D17" s="27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264"/>
      <c r="S17" s="270"/>
      <c r="T17" s="270"/>
      <c r="U17" s="348"/>
      <c r="V17" s="348"/>
    </row>
    <row r="18">
      <c r="A18" s="0" t="s">
        <v>30</v>
      </c>
      <c r="B18" s="1870"/>
      <c r="C18" s="264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4"/>
      <c r="S18" s="208"/>
      <c r="T18" s="270"/>
      <c r="U18" s="348"/>
      <c r="V18" s="348"/>
    </row>
    <row r="19">
      <c r="A19" s="0" t="s">
        <v>30</v>
      </c>
      <c r="B19" s="1870"/>
      <c r="C19" s="264"/>
      <c r="D19" s="264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262"/>
      <c r="P19" s="262"/>
      <c r="Q19" s="262"/>
      <c r="R19" s="264"/>
      <c r="S19" s="270"/>
      <c r="U19" s="348"/>
      <c r="V19" s="348"/>
    </row>
    <row r="20">
      <c r="A20" s="0" t="s">
        <v>30</v>
      </c>
      <c r="B20" s="1870"/>
      <c r="C20" s="264" t="s">
        <v>40</v>
      </c>
      <c r="E20" s="264"/>
      <c r="F20" s="264"/>
      <c r="G20" s="275"/>
      <c r="H20" s="275"/>
      <c r="I20" s="275"/>
      <c r="J20" s="312" t="s">
        <v>41</v>
      </c>
      <c r="K20" s="263"/>
      <c r="L20" s="263"/>
      <c r="M20" s="263" t="s">
        <v>42</v>
      </c>
      <c r="N20" s="264"/>
      <c r="O20" s="264" t="s">
        <v>43</v>
      </c>
      <c r="P20" s="264"/>
      <c r="Q20" s="263"/>
      <c r="U20" s="350"/>
      <c r="V20" s="350"/>
    </row>
    <row r="21">
      <c r="A21" s="263" t="s">
        <v>30</v>
      </c>
      <c r="B21" s="1868"/>
      <c r="C21" s="274"/>
      <c r="D21" s="264"/>
      <c r="E21" s="264"/>
      <c r="F21" s="279"/>
      <c r="G21" s="275"/>
      <c r="H21" s="275"/>
      <c r="I21" s="263"/>
      <c r="J21" s="263"/>
      <c r="K21" s="263"/>
      <c r="L21" s="263"/>
      <c r="M21" s="275"/>
      <c r="N21" s="263"/>
      <c r="O21" s="263"/>
      <c r="P21" s="263"/>
      <c r="Q21" s="263"/>
      <c r="R21" s="263"/>
      <c r="U21" s="350"/>
      <c r="V21" s="350"/>
    </row>
    <row r="22">
      <c r="A22" s="263" t="s">
        <v>30</v>
      </c>
      <c r="B22" s="1868"/>
      <c r="C22" s="274"/>
      <c r="D22" s="264"/>
      <c r="E22" s="264"/>
      <c r="F22" s="279"/>
      <c r="G22" s="275"/>
      <c r="H22" s="275"/>
      <c r="I22" s="263"/>
      <c r="J22" s="263"/>
      <c r="K22" s="263"/>
      <c r="L22" s="263"/>
      <c r="M22" s="275"/>
      <c r="N22" s="263"/>
      <c r="O22" s="263"/>
      <c r="P22" s="263"/>
      <c r="Q22" s="263"/>
      <c r="R22" s="263"/>
      <c r="U22" s="350"/>
      <c r="V22" s="350"/>
    </row>
  </sheetData>
  <mergeCells>
    <mergeCell ref="A9:F9"/>
  </mergeCells>
  <pageMargins left="0" right="0" top="0.80902777777777801" bottom="0.75" header="0.3" footer="0.3"/>
  <pageSetup scale="56" fitToHeight="0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  <pageSetUpPr fitToPage="1"/>
  </sheetPr>
  <dimension ref="A1:Y141"/>
  <sheetViews>
    <sheetView zoomScale="85" zoomScaleNormal="85" workbookViewId="0">
      <pane xSplit="7" ySplit="6" topLeftCell="H22" activePane="bottomRight" state="frozen"/>
      <selection activeCell="M59" sqref="M59"/>
      <selection pane="topRight" activeCell="M59" sqref="M59"/>
      <selection pane="bottomLeft" activeCell="M59" sqref="M59"/>
      <selection pane="bottomRight" activeCell="M59" sqref="M59"/>
    </sheetView>
  </sheetViews>
  <sheetFormatPr defaultColWidth="9" defaultRowHeight="15"/>
  <cols>
    <col min="1" max="1" width="5.5703125" customWidth="1"/>
    <col min="2" max="2" width="7" customWidth="1"/>
    <col min="3" max="3" width="23.85546875" customWidth="1"/>
    <col min="4" max="4" width="12.85546875" customWidth="1"/>
    <col min="5" max="5" hidden="1" width="9.5703125" customWidth="1"/>
    <col min="6" max="6" hidden="1" width="10.42578125" customWidth="1"/>
    <col min="7" max="7" width="11.28515625" customWidth="1"/>
    <col min="8" max="8" width="10" customWidth="1"/>
    <col min="9" max="9" width="9.5703125" customWidth="1"/>
    <col min="10" max="11" width="9" customWidth="1"/>
    <col min="12" max="12" width="10.42578125" customWidth="1"/>
    <col min="13" max="13" width="10.85546875" customWidth="1"/>
    <col min="14" max="14" width="9.85546875" customWidth="1"/>
    <col min="15" max="15" width="13.28515625" customWidth="1"/>
    <col min="16" max="16" width="9.7109375" customWidth="1"/>
    <col min="17" max="17" width="9.85546875" customWidth="1"/>
    <col min="18" max="18" width="10.85546875" customWidth="1"/>
    <col min="19" max="19" width="9" customWidth="1"/>
    <col min="20" max="20" width="10.85546875" customWidth="1"/>
    <col min="21" max="22" width="9" customWidth="1"/>
    <col min="23" max="23" width="5" customWidth="1"/>
    <col min="24" max="24" width="9" customWidth="1"/>
  </cols>
  <sheetData>
    <row r="1">
      <c r="A1" s="716" t="s">
        <v>0</v>
      </c>
      <c r="B1" s="717"/>
      <c r="C1" s="718"/>
      <c r="D1" s="719"/>
      <c r="E1" s="719"/>
      <c r="F1" s="719"/>
      <c r="G1" s="720"/>
      <c r="H1" s="720"/>
      <c r="I1" s="768"/>
      <c r="J1" s="768"/>
      <c r="K1" s="768"/>
      <c r="L1" s="768"/>
      <c r="M1" s="720"/>
      <c r="N1" s="768"/>
      <c r="O1" s="768"/>
      <c r="P1" s="768"/>
      <c r="Q1" s="768"/>
      <c r="R1" s="768"/>
      <c r="S1" s="768"/>
      <c r="T1" s="768"/>
      <c r="V1" s="795"/>
    </row>
    <row r="2">
      <c r="A2" s="716" t="s">
        <v>1171</v>
      </c>
      <c r="B2" s="721"/>
      <c r="C2" s="722"/>
      <c r="D2" s="721"/>
      <c r="E2" s="721"/>
      <c r="F2" s="721"/>
      <c r="G2" s="723"/>
      <c r="H2" s="723"/>
      <c r="I2" s="769"/>
      <c r="J2" s="769"/>
      <c r="K2" s="769"/>
      <c r="L2" s="769"/>
      <c r="M2" s="723"/>
      <c r="N2" s="723"/>
      <c r="O2" s="723"/>
      <c r="P2" s="723"/>
      <c r="Q2" s="723"/>
      <c r="R2" s="769"/>
      <c r="S2" s="769"/>
      <c r="T2" s="769"/>
      <c r="U2" s="796"/>
      <c r="V2" s="796"/>
    </row>
    <row r="3">
      <c r="A3" s="716" t="str">
        <f>+'MATARAM ANTERAJA AGUSTUS - OK'!A3</f>
        <v>Periode Bulan Agustus  2021</v>
      </c>
      <c r="B3" s="717"/>
      <c r="C3" s="718"/>
      <c r="D3" s="719"/>
      <c r="E3" s="719"/>
      <c r="F3" s="721"/>
      <c r="G3" s="723"/>
      <c r="H3" s="723"/>
      <c r="I3" s="770"/>
      <c r="J3" s="768"/>
      <c r="K3" s="768"/>
      <c r="L3" s="768"/>
      <c r="M3" s="720"/>
      <c r="N3" s="768"/>
      <c r="O3" s="768"/>
      <c r="P3" s="768"/>
      <c r="Q3" s="768"/>
      <c r="R3" s="797"/>
      <c r="S3" s="797"/>
      <c r="T3" s="768"/>
      <c r="V3" s="795"/>
    </row>
    <row r="4">
      <c r="A4" s="716"/>
      <c r="B4" s="717"/>
      <c r="C4" s="718"/>
      <c r="D4" s="719"/>
      <c r="E4" s="719"/>
      <c r="F4" s="721"/>
      <c r="G4" s="723"/>
      <c r="H4" s="723"/>
      <c r="I4" s="770"/>
      <c r="J4" s="768"/>
      <c r="K4" s="768"/>
      <c r="L4" s="768"/>
      <c r="M4" s="720"/>
      <c r="N4" s="768"/>
      <c r="O4" s="768"/>
      <c r="P4" s="768"/>
      <c r="Q4" s="768"/>
      <c r="R4" s="797"/>
      <c r="S4" s="797"/>
      <c r="T4" s="768"/>
      <c r="V4" s="795"/>
    </row>
    <row r="5">
      <c r="A5" s="716"/>
      <c r="B5" s="717"/>
      <c r="C5" s="718"/>
      <c r="D5" s="719"/>
      <c r="E5" s="719"/>
      <c r="F5" s="721"/>
      <c r="G5" s="724">
        <v>1861000</v>
      </c>
      <c r="H5" s="724"/>
      <c r="I5" s="770"/>
      <c r="J5" s="768"/>
      <c r="K5" s="768"/>
      <c r="L5" s="768"/>
      <c r="M5" s="720"/>
      <c r="N5" s="768"/>
      <c r="O5" s="768"/>
      <c r="P5" s="768"/>
      <c r="Q5" s="768"/>
      <c r="R5" s="768"/>
      <c r="S5" s="768"/>
      <c r="T5" s="768"/>
      <c r="V5" s="795"/>
    </row>
    <row r="6" ht="22.5">
      <c r="A6" s="725" t="s">
        <v>2</v>
      </c>
      <c r="B6" s="726" t="s">
        <v>3</v>
      </c>
      <c r="C6" s="726" t="s">
        <v>4</v>
      </c>
      <c r="D6" s="726" t="s">
        <v>5</v>
      </c>
      <c r="E6" s="727" t="s">
        <v>6</v>
      </c>
      <c r="F6" s="728" t="s">
        <v>7</v>
      </c>
      <c r="G6" s="729" t="s">
        <v>8</v>
      </c>
      <c r="H6" s="730" t="s">
        <v>9</v>
      </c>
      <c r="I6" s="771" t="s">
        <v>10</v>
      </c>
      <c r="J6" s="772" t="s">
        <v>11</v>
      </c>
      <c r="K6" s="772" t="s">
        <v>12</v>
      </c>
      <c r="L6" s="773" t="s">
        <v>13</v>
      </c>
      <c r="M6" s="773" t="s">
        <v>14</v>
      </c>
      <c r="N6" s="774" t="s">
        <v>15</v>
      </c>
      <c r="O6" s="774" t="s">
        <v>32</v>
      </c>
      <c r="P6" s="774" t="s">
        <v>17</v>
      </c>
      <c r="Q6" s="798" t="s">
        <v>1172</v>
      </c>
      <c r="R6" s="799" t="s">
        <v>19</v>
      </c>
      <c r="S6" s="800" t="s">
        <v>20</v>
      </c>
      <c r="T6" s="800" t="s">
        <v>21</v>
      </c>
      <c r="U6" s="801" t="s">
        <v>22</v>
      </c>
      <c r="V6" s="802" t="s">
        <v>23</v>
      </c>
    </row>
    <row r="7">
      <c r="A7" s="731" t="s">
        <v>24</v>
      </c>
      <c r="B7" s="732" t="s">
        <v>1173</v>
      </c>
      <c r="C7" s="733" t="s">
        <v>333</v>
      </c>
      <c r="D7" s="731" t="s">
        <v>54</v>
      </c>
      <c r="E7" s="734" t="s">
        <v>139</v>
      </c>
      <c r="F7" s="735" t="s">
        <v>140</v>
      </c>
      <c r="G7" s="736">
        <v>1861000</v>
      </c>
      <c r="H7" s="736"/>
      <c r="I7" s="775">
        <f ref="I7:I25" t="shared" si="0">+$G$5*4.89%</f>
        <v>91002.9</v>
      </c>
      <c r="J7" s="775">
        <f ref="J7:J25" t="shared" si="1">+$G$5*4%</f>
        <v>74440</v>
      </c>
      <c r="K7" s="775">
        <f ref="K7:K25" t="shared" si="2">+$G$5*2%</f>
        <v>37220</v>
      </c>
      <c r="L7" s="775">
        <v>1666.66666666667</v>
      </c>
      <c r="M7" s="295">
        <f>SUM(G7:L7)</f>
        <v>2065329.56666667</v>
      </c>
      <c r="N7" s="776">
        <f ref="N7:N25" t="shared" si="3">+M7*8%</f>
        <v>165226.365333333</v>
      </c>
      <c r="O7" s="776">
        <f>700000</f>
        <v>700000</v>
      </c>
      <c r="P7" s="777"/>
      <c r="Q7" s="776">
        <f>26*10000</f>
        <v>260000</v>
      </c>
      <c r="R7" s="803">
        <f ref="R7:R25" t="shared" si="4">SUM(M7:Q7)</f>
        <v>3190555.932</v>
      </c>
      <c r="S7" s="803">
        <f ref="S7:S25" t="shared" si="5">N7*0.1</f>
        <v>16522.6365333333</v>
      </c>
      <c r="T7" s="804">
        <f ref="T7:T25" t="shared" si="6">R7+S7</f>
        <v>3207078.56853333</v>
      </c>
      <c r="U7" s="805">
        <v>44348</v>
      </c>
      <c r="V7" s="806">
        <v>44439</v>
      </c>
      <c r="W7" s="807"/>
      <c r="X7" s="808"/>
      <c r="Y7" s="808"/>
    </row>
    <row r="8">
      <c r="A8" s="737" t="s">
        <v>24</v>
      </c>
      <c r="B8" s="1535" t="s">
        <v>1174</v>
      </c>
      <c r="C8" s="738" t="s">
        <v>1175</v>
      </c>
      <c r="D8" s="739" t="s">
        <v>1176</v>
      </c>
      <c r="E8" s="731" t="s">
        <v>139</v>
      </c>
      <c r="F8" s="731" t="s">
        <v>140</v>
      </c>
      <c r="G8" s="740">
        <v>1861000</v>
      </c>
      <c r="H8" s="740"/>
      <c r="I8" s="778">
        <f t="shared" si="0"/>
        <v>91002.9</v>
      </c>
      <c r="J8" s="778">
        <f t="shared" si="1"/>
        <v>74440</v>
      </c>
      <c r="K8" s="778">
        <f t="shared" si="2"/>
        <v>37220</v>
      </c>
      <c r="L8" s="778">
        <v>1666.66666666667</v>
      </c>
      <c r="M8" s="779">
        <f ref="M8:M25" t="shared" si="8">SUM(G8:L8)</f>
        <v>2065329.56666667</v>
      </c>
      <c r="N8" s="780">
        <f t="shared" si="3"/>
        <v>165226.365333333</v>
      </c>
      <c r="O8" s="780">
        <v>500000</v>
      </c>
      <c r="P8" s="781"/>
      <c r="Q8" s="809">
        <f>22*10000</f>
        <v>220000</v>
      </c>
      <c r="R8" s="810">
        <f t="shared" si="4"/>
        <v>2950555.932</v>
      </c>
      <c r="S8" s="810">
        <f t="shared" si="5"/>
        <v>16522.6365333333</v>
      </c>
      <c r="T8" s="811">
        <f t="shared" si="6"/>
        <v>2967078.56853333</v>
      </c>
      <c r="U8" s="812">
        <v>44348</v>
      </c>
      <c r="V8" s="813">
        <v>44439</v>
      </c>
      <c r="W8" s="808"/>
      <c r="X8" s="808"/>
      <c r="Y8" s="808"/>
    </row>
    <row r="9">
      <c r="A9" s="741" t="s">
        <v>24</v>
      </c>
      <c r="B9" s="1536" t="s">
        <v>1177</v>
      </c>
      <c r="C9" s="742" t="s">
        <v>1178</v>
      </c>
      <c r="D9" s="731" t="s">
        <v>1176</v>
      </c>
      <c r="E9" s="731" t="s">
        <v>139</v>
      </c>
      <c r="F9" s="731" t="s">
        <v>140</v>
      </c>
      <c r="G9" s="743">
        <v>1861000</v>
      </c>
      <c r="H9" s="743"/>
      <c r="I9" s="782">
        <f t="shared" si="0"/>
        <v>91002.9</v>
      </c>
      <c r="J9" s="782">
        <f t="shared" si="1"/>
        <v>74440</v>
      </c>
      <c r="K9" s="782">
        <f t="shared" si="2"/>
        <v>37220</v>
      </c>
      <c r="L9" s="782">
        <v>1666.66666666667</v>
      </c>
      <c r="M9" s="295">
        <f t="shared" si="8"/>
        <v>2065329.56666667</v>
      </c>
      <c r="N9" s="783">
        <f t="shared" si="3"/>
        <v>165226.365333333</v>
      </c>
      <c r="O9" s="783">
        <v>500000</v>
      </c>
      <c r="P9" s="781"/>
      <c r="Q9" s="809">
        <f>26*10000</f>
        <v>260000</v>
      </c>
      <c r="R9" s="803">
        <f t="shared" si="4"/>
        <v>2990555.932</v>
      </c>
      <c r="S9" s="803">
        <f t="shared" si="5"/>
        <v>16522.6365333333</v>
      </c>
      <c r="T9" s="804">
        <f t="shared" si="6"/>
        <v>3007078.56853333</v>
      </c>
      <c r="U9" s="814">
        <v>44348</v>
      </c>
      <c r="V9" s="806">
        <v>44439</v>
      </c>
      <c r="W9" s="808"/>
      <c r="X9" s="808"/>
      <c r="Y9" s="808"/>
    </row>
    <row r="10">
      <c r="A10" s="741" t="s">
        <v>24</v>
      </c>
      <c r="B10" s="1536" t="s">
        <v>1179</v>
      </c>
      <c r="C10" s="744" t="s">
        <v>1180</v>
      </c>
      <c r="D10" s="731" t="s">
        <v>1176</v>
      </c>
      <c r="E10" s="731" t="s">
        <v>139</v>
      </c>
      <c r="F10" s="731" t="s">
        <v>140</v>
      </c>
      <c r="G10" s="743">
        <v>1861000</v>
      </c>
      <c r="H10" s="743"/>
      <c r="I10" s="782">
        <f t="shared" si="0"/>
        <v>91002.9</v>
      </c>
      <c r="J10" s="782">
        <f t="shared" si="1"/>
        <v>74440</v>
      </c>
      <c r="K10" s="782">
        <f t="shared" si="2"/>
        <v>37220</v>
      </c>
      <c r="L10" s="782">
        <v>1666.66666666667</v>
      </c>
      <c r="M10" s="295">
        <f t="shared" si="8"/>
        <v>2065329.56666667</v>
      </c>
      <c r="N10" s="783">
        <f t="shared" si="3"/>
        <v>165226.365333333</v>
      </c>
      <c r="O10" s="783">
        <v>500000</v>
      </c>
      <c r="P10" s="781"/>
      <c r="Q10" s="809">
        <f>24*10000</f>
        <v>240000</v>
      </c>
      <c r="R10" s="803">
        <f t="shared" si="4"/>
        <v>2970555.932</v>
      </c>
      <c r="S10" s="803">
        <f t="shared" si="5"/>
        <v>16522.6365333333</v>
      </c>
      <c r="T10" s="804">
        <f t="shared" si="6"/>
        <v>2987078.56853333</v>
      </c>
      <c r="U10" s="814">
        <v>44348</v>
      </c>
      <c r="V10" s="806">
        <v>44439</v>
      </c>
      <c r="W10" s="808"/>
      <c r="X10" s="808"/>
      <c r="Y10" s="808"/>
    </row>
    <row r="11">
      <c r="A11" s="741" t="s">
        <v>24</v>
      </c>
      <c r="B11" s="1536" t="s">
        <v>1181</v>
      </c>
      <c r="C11" s="744" t="s">
        <v>1182</v>
      </c>
      <c r="D11" s="731" t="s">
        <v>1176</v>
      </c>
      <c r="E11" s="731" t="s">
        <v>139</v>
      </c>
      <c r="F11" s="731" t="s">
        <v>140</v>
      </c>
      <c r="G11" s="743">
        <v>1861000</v>
      </c>
      <c r="H11" s="743"/>
      <c r="I11" s="782">
        <f t="shared" si="0"/>
        <v>91002.9</v>
      </c>
      <c r="J11" s="782">
        <f t="shared" si="1"/>
        <v>74440</v>
      </c>
      <c r="K11" s="782">
        <f t="shared" si="2"/>
        <v>37220</v>
      </c>
      <c r="L11" s="782">
        <v>1666.66666666667</v>
      </c>
      <c r="M11" s="295">
        <f t="shared" si="8"/>
        <v>2065329.56666667</v>
      </c>
      <c r="N11" s="783">
        <f t="shared" si="3"/>
        <v>165226.365333333</v>
      </c>
      <c r="O11" s="783">
        <v>500000</v>
      </c>
      <c r="P11" s="781"/>
      <c r="Q11" s="809">
        <f>24*10000</f>
        <v>240000</v>
      </c>
      <c r="R11" s="803">
        <f t="shared" si="4"/>
        <v>2970555.932</v>
      </c>
      <c r="S11" s="803">
        <f t="shared" si="5"/>
        <v>16522.6365333333</v>
      </c>
      <c r="T11" s="804">
        <f t="shared" si="6"/>
        <v>2987078.56853333</v>
      </c>
      <c r="U11" s="814">
        <v>44348</v>
      </c>
      <c r="V11" s="806">
        <v>44439</v>
      </c>
      <c r="W11" s="808"/>
      <c r="X11" s="808"/>
      <c r="Y11" s="808"/>
    </row>
    <row r="12">
      <c r="A12" s="741" t="s">
        <v>24</v>
      </c>
      <c r="B12" s="1536" t="s">
        <v>1183</v>
      </c>
      <c r="C12" s="744" t="s">
        <v>1184</v>
      </c>
      <c r="D12" s="731" t="s">
        <v>1176</v>
      </c>
      <c r="E12" s="731" t="s">
        <v>139</v>
      </c>
      <c r="F12" s="731" t="s">
        <v>140</v>
      </c>
      <c r="G12" s="743">
        <v>1861000</v>
      </c>
      <c r="H12" s="743"/>
      <c r="I12" s="782">
        <f t="shared" si="0"/>
        <v>91002.9</v>
      </c>
      <c r="J12" s="782">
        <f t="shared" si="1"/>
        <v>74440</v>
      </c>
      <c r="K12" s="782">
        <f t="shared" si="2"/>
        <v>37220</v>
      </c>
      <c r="L12" s="782">
        <v>1666.66666666667</v>
      </c>
      <c r="M12" s="295">
        <f t="shared" si="8"/>
        <v>2065329.56666667</v>
      </c>
      <c r="N12" s="783">
        <f t="shared" si="3"/>
        <v>165226.365333333</v>
      </c>
      <c r="O12" s="783">
        <v>500000</v>
      </c>
      <c r="P12" s="781"/>
      <c r="Q12" s="809">
        <f ref="Q12:Q15" t="shared" si="9">25*10000</f>
        <v>250000</v>
      </c>
      <c r="R12" s="803">
        <f t="shared" si="4"/>
        <v>2980555.932</v>
      </c>
      <c r="S12" s="803">
        <f t="shared" si="5"/>
        <v>16522.6365333333</v>
      </c>
      <c r="T12" s="804">
        <f t="shared" si="6"/>
        <v>2997078.56853333</v>
      </c>
      <c r="U12" s="814">
        <v>44348</v>
      </c>
      <c r="V12" s="806">
        <v>44439</v>
      </c>
      <c r="W12" s="808"/>
      <c r="X12" s="808"/>
      <c r="Y12" s="808"/>
    </row>
    <row r="13">
      <c r="A13" s="741" t="s">
        <v>24</v>
      </c>
      <c r="B13" s="1536" t="s">
        <v>1185</v>
      </c>
      <c r="C13" s="745" t="s">
        <v>1186</v>
      </c>
      <c r="D13" s="731" t="s">
        <v>1176</v>
      </c>
      <c r="E13" s="731" t="s">
        <v>139</v>
      </c>
      <c r="F13" s="731" t="s">
        <v>140</v>
      </c>
      <c r="G13" s="743">
        <v>1861000</v>
      </c>
      <c r="H13" s="743"/>
      <c r="I13" s="782">
        <f t="shared" si="0"/>
        <v>91002.9</v>
      </c>
      <c r="J13" s="782">
        <f t="shared" si="1"/>
        <v>74440</v>
      </c>
      <c r="K13" s="782">
        <f t="shared" si="2"/>
        <v>37220</v>
      </c>
      <c r="L13" s="782">
        <v>1666.66666666667</v>
      </c>
      <c r="M13" s="295">
        <f t="shared" si="8"/>
        <v>2065329.56666667</v>
      </c>
      <c r="N13" s="783">
        <f t="shared" si="3"/>
        <v>165226.365333333</v>
      </c>
      <c r="O13" s="783">
        <v>500000</v>
      </c>
      <c r="P13" s="781"/>
      <c r="Q13" s="809">
        <f t="shared" si="9"/>
        <v>250000</v>
      </c>
      <c r="R13" s="803">
        <f t="shared" si="4"/>
        <v>2980555.932</v>
      </c>
      <c r="S13" s="803">
        <f t="shared" si="5"/>
        <v>16522.6365333333</v>
      </c>
      <c r="T13" s="804">
        <f t="shared" si="6"/>
        <v>2997078.56853333</v>
      </c>
      <c r="U13" s="814">
        <v>44348</v>
      </c>
      <c r="V13" s="806">
        <v>44439</v>
      </c>
      <c r="W13" s="815"/>
      <c r="X13" s="808"/>
      <c r="Y13" s="808"/>
    </row>
    <row r="14">
      <c r="A14" s="741" t="s">
        <v>24</v>
      </c>
      <c r="B14" s="732" t="s">
        <v>1187</v>
      </c>
      <c r="C14" s="744" t="s">
        <v>331</v>
      </c>
      <c r="D14" s="731" t="s">
        <v>1176</v>
      </c>
      <c r="E14" s="731" t="s">
        <v>139</v>
      </c>
      <c r="F14" s="731" t="s">
        <v>140</v>
      </c>
      <c r="G14" s="743">
        <v>1861000</v>
      </c>
      <c r="H14" s="743"/>
      <c r="I14" s="782">
        <f t="shared" si="0"/>
        <v>91002.9</v>
      </c>
      <c r="J14" s="782">
        <f t="shared" si="1"/>
        <v>74440</v>
      </c>
      <c r="K14" s="782">
        <f t="shared" si="2"/>
        <v>37220</v>
      </c>
      <c r="L14" s="782">
        <v>1666.66666666667</v>
      </c>
      <c r="M14" s="295">
        <f t="shared" si="8"/>
        <v>2065329.56666667</v>
      </c>
      <c r="N14" s="783">
        <f t="shared" si="3"/>
        <v>165226.365333333</v>
      </c>
      <c r="O14" s="783">
        <f>500000</f>
        <v>500000</v>
      </c>
      <c r="P14" s="781"/>
      <c r="Q14" s="776">
        <f>23*10000</f>
        <v>230000</v>
      </c>
      <c r="R14" s="803">
        <f t="shared" si="4"/>
        <v>2960555.932</v>
      </c>
      <c r="S14" s="803">
        <f t="shared" si="5"/>
        <v>16522.6365333333</v>
      </c>
      <c r="T14" s="804">
        <f t="shared" si="6"/>
        <v>2977078.56853333</v>
      </c>
      <c r="U14" s="814">
        <v>44348</v>
      </c>
      <c r="V14" s="806">
        <v>44439</v>
      </c>
      <c r="W14" s="808"/>
      <c r="X14" s="808"/>
      <c r="Y14" s="808"/>
    </row>
    <row r="15">
      <c r="A15" s="741" t="s">
        <v>24</v>
      </c>
      <c r="B15" s="732" t="s">
        <v>1188</v>
      </c>
      <c r="C15" s="744" t="s">
        <v>202</v>
      </c>
      <c r="D15" s="731" t="s">
        <v>1176</v>
      </c>
      <c r="E15" s="731" t="s">
        <v>139</v>
      </c>
      <c r="F15" s="731" t="s">
        <v>140</v>
      </c>
      <c r="G15" s="743">
        <v>1861000</v>
      </c>
      <c r="H15" s="743"/>
      <c r="I15" s="782">
        <f t="shared" si="0"/>
        <v>91002.9</v>
      </c>
      <c r="J15" s="782">
        <f t="shared" si="1"/>
        <v>74440</v>
      </c>
      <c r="K15" s="782">
        <f t="shared" si="2"/>
        <v>37220</v>
      </c>
      <c r="L15" s="782">
        <v>1666.66666666667</v>
      </c>
      <c r="M15" s="295">
        <f t="shared" si="8"/>
        <v>2065329.56666667</v>
      </c>
      <c r="N15" s="783">
        <f t="shared" si="3"/>
        <v>165226.365333333</v>
      </c>
      <c r="O15" s="783">
        <f>500000</f>
        <v>500000</v>
      </c>
      <c r="P15" s="781"/>
      <c r="Q15" s="809">
        <f t="shared" si="9"/>
        <v>250000</v>
      </c>
      <c r="R15" s="803">
        <f t="shared" si="4"/>
        <v>2980555.932</v>
      </c>
      <c r="S15" s="803">
        <f t="shared" si="5"/>
        <v>16522.6365333333</v>
      </c>
      <c r="T15" s="804">
        <f t="shared" si="6"/>
        <v>2997078.56853333</v>
      </c>
      <c r="U15" s="814">
        <v>44348</v>
      </c>
      <c r="V15" s="806">
        <v>44439</v>
      </c>
      <c r="W15" s="808"/>
      <c r="X15" s="808"/>
      <c r="Y15" s="808"/>
    </row>
    <row r="16">
      <c r="A16" s="741" t="s">
        <v>24</v>
      </c>
      <c r="B16" s="1536" t="s">
        <v>1189</v>
      </c>
      <c r="C16" s="746" t="s">
        <v>1190</v>
      </c>
      <c r="D16" s="732" t="s">
        <v>26</v>
      </c>
      <c r="E16" s="741" t="s">
        <v>139</v>
      </c>
      <c r="F16" s="731" t="s">
        <v>140</v>
      </c>
      <c r="G16" s="743">
        <v>1861000</v>
      </c>
      <c r="H16" s="743"/>
      <c r="I16" s="782">
        <f t="shared" si="0"/>
        <v>91002.9</v>
      </c>
      <c r="J16" s="782">
        <f t="shared" si="1"/>
        <v>74440</v>
      </c>
      <c r="K16" s="782">
        <f t="shared" si="2"/>
        <v>37220</v>
      </c>
      <c r="L16" s="782">
        <v>1666.66666666667</v>
      </c>
      <c r="M16" s="295">
        <f t="shared" si="8"/>
        <v>2065329.56666667</v>
      </c>
      <c r="N16" s="783">
        <f t="shared" si="3"/>
        <v>165226.365333333</v>
      </c>
      <c r="O16" s="783">
        <v>700000</v>
      </c>
      <c r="P16" s="781">
        <v>100000</v>
      </c>
      <c r="Q16" s="809">
        <f>27*12000</f>
        <v>324000</v>
      </c>
      <c r="R16" s="803">
        <f t="shared" si="4"/>
        <v>3354555.932</v>
      </c>
      <c r="S16" s="803">
        <f t="shared" si="5"/>
        <v>16522.6365333333</v>
      </c>
      <c r="T16" s="804">
        <f t="shared" si="6"/>
        <v>3371078.56853333</v>
      </c>
      <c r="U16" s="814">
        <v>44348</v>
      </c>
      <c r="V16" s="806">
        <v>44439</v>
      </c>
      <c r="W16" s="808"/>
      <c r="X16" s="808"/>
      <c r="Y16" s="808"/>
    </row>
    <row r="17">
      <c r="A17" s="741" t="s">
        <v>24</v>
      </c>
      <c r="B17" s="1536" t="s">
        <v>1191</v>
      </c>
      <c r="C17" s="746" t="s">
        <v>1192</v>
      </c>
      <c r="D17" s="731" t="s">
        <v>26</v>
      </c>
      <c r="E17" s="741" t="s">
        <v>139</v>
      </c>
      <c r="F17" s="731" t="s">
        <v>140</v>
      </c>
      <c r="G17" s="743">
        <v>1861000</v>
      </c>
      <c r="H17" s="743"/>
      <c r="I17" s="782">
        <f t="shared" si="0"/>
        <v>91002.9</v>
      </c>
      <c r="J17" s="782">
        <f t="shared" si="1"/>
        <v>74440</v>
      </c>
      <c r="K17" s="782">
        <f t="shared" si="2"/>
        <v>37220</v>
      </c>
      <c r="L17" s="782">
        <v>1666.66666666667</v>
      </c>
      <c r="M17" s="295">
        <f t="shared" si="8"/>
        <v>2065329.56666667</v>
      </c>
      <c r="N17" s="783">
        <f t="shared" si="3"/>
        <v>165226.365333333</v>
      </c>
      <c r="O17" s="783">
        <v>700000</v>
      </c>
      <c r="P17" s="781">
        <v>100000</v>
      </c>
      <c r="Q17" s="809">
        <f>27*12000</f>
        <v>324000</v>
      </c>
      <c r="R17" s="803">
        <f t="shared" si="4"/>
        <v>3354555.932</v>
      </c>
      <c r="S17" s="803">
        <f t="shared" si="5"/>
        <v>16522.6365333333</v>
      </c>
      <c r="T17" s="804">
        <f t="shared" si="6"/>
        <v>3371078.56853333</v>
      </c>
      <c r="U17" s="814">
        <v>44348</v>
      </c>
      <c r="V17" s="806">
        <v>44439</v>
      </c>
      <c r="W17" s="808"/>
      <c r="X17" s="808"/>
      <c r="Y17" s="808"/>
    </row>
    <row r="18">
      <c r="A18" s="741" t="s">
        <v>24</v>
      </c>
      <c r="B18" s="1536" t="s">
        <v>1193</v>
      </c>
      <c r="C18" s="733" t="s">
        <v>1194</v>
      </c>
      <c r="D18" s="739" t="s">
        <v>26</v>
      </c>
      <c r="E18" s="731" t="s">
        <v>139</v>
      </c>
      <c r="F18" s="731" t="s">
        <v>140</v>
      </c>
      <c r="G18" s="743">
        <v>1861000</v>
      </c>
      <c r="H18" s="743"/>
      <c r="I18" s="782">
        <f t="shared" si="0"/>
        <v>91002.9</v>
      </c>
      <c r="J18" s="782">
        <f t="shared" si="1"/>
        <v>74440</v>
      </c>
      <c r="K18" s="782">
        <f t="shared" si="2"/>
        <v>37220</v>
      </c>
      <c r="L18" s="782">
        <v>1666.66666666667</v>
      </c>
      <c r="M18" s="295">
        <f t="shared" si="8"/>
        <v>2065329.56666667</v>
      </c>
      <c r="N18" s="776">
        <f t="shared" si="3"/>
        <v>165226.365333333</v>
      </c>
      <c r="O18" s="784">
        <f>700000</f>
        <v>700000</v>
      </c>
      <c r="P18" s="781">
        <v>100000</v>
      </c>
      <c r="Q18" s="809">
        <f>26*12000</f>
        <v>312000</v>
      </c>
      <c r="R18" s="803">
        <f t="shared" si="4"/>
        <v>3342555.932</v>
      </c>
      <c r="S18" s="803">
        <f t="shared" si="5"/>
        <v>16522.6365333333</v>
      </c>
      <c r="T18" s="804">
        <f t="shared" si="6"/>
        <v>3359078.56853333</v>
      </c>
      <c r="U18" s="814">
        <v>44348</v>
      </c>
      <c r="V18" s="806">
        <v>44439</v>
      </c>
      <c r="W18" s="808"/>
      <c r="X18" s="808"/>
      <c r="Y18" s="808"/>
    </row>
    <row r="19">
      <c r="A19" s="741" t="s">
        <v>24</v>
      </c>
      <c r="B19" s="1536" t="s">
        <v>1195</v>
      </c>
      <c r="C19" s="747" t="s">
        <v>1196</v>
      </c>
      <c r="D19" s="731" t="s">
        <v>1197</v>
      </c>
      <c r="E19" s="741" t="s">
        <v>139</v>
      </c>
      <c r="F19" s="741" t="s">
        <v>140</v>
      </c>
      <c r="G19" s="743">
        <v>1861000</v>
      </c>
      <c r="H19" s="743"/>
      <c r="I19" s="775">
        <f t="shared" si="0"/>
        <v>91002.9</v>
      </c>
      <c r="J19" s="775">
        <f t="shared" si="1"/>
        <v>74440</v>
      </c>
      <c r="K19" s="775">
        <f t="shared" si="2"/>
        <v>37220</v>
      </c>
      <c r="L19" s="782">
        <v>1666.66666666667</v>
      </c>
      <c r="M19" s="295">
        <f t="shared" si="8"/>
        <v>2065329.56666667</v>
      </c>
      <c r="N19" s="776">
        <f t="shared" si="3"/>
        <v>165226.365333333</v>
      </c>
      <c r="O19" s="785">
        <v>500000</v>
      </c>
      <c r="P19" s="776">
        <v>100000</v>
      </c>
      <c r="Q19" s="776">
        <f>25*10000</f>
        <v>250000</v>
      </c>
      <c r="R19" s="803">
        <f t="shared" si="4"/>
        <v>3080555.932</v>
      </c>
      <c r="S19" s="803">
        <f t="shared" si="5"/>
        <v>16522.6365333333</v>
      </c>
      <c r="T19" s="804">
        <f t="shared" si="6"/>
        <v>3097078.56853333</v>
      </c>
      <c r="U19" s="816">
        <v>44348</v>
      </c>
      <c r="V19" s="806">
        <v>44439</v>
      </c>
      <c r="W19" s="815"/>
      <c r="X19" s="808"/>
      <c r="Y19" s="808"/>
    </row>
    <row r="20">
      <c r="A20" s="741" t="s">
        <v>24</v>
      </c>
      <c r="B20" s="1536" t="s">
        <v>1198</v>
      </c>
      <c r="C20" s="748" t="s">
        <v>1199</v>
      </c>
      <c r="D20" s="731" t="s">
        <v>1197</v>
      </c>
      <c r="E20" s="731" t="s">
        <v>139</v>
      </c>
      <c r="F20" s="731" t="s">
        <v>140</v>
      </c>
      <c r="G20" s="743">
        <v>1861000</v>
      </c>
      <c r="H20" s="743"/>
      <c r="I20" s="775">
        <f t="shared" si="0"/>
        <v>91002.9</v>
      </c>
      <c r="J20" s="775">
        <f t="shared" si="1"/>
        <v>74440</v>
      </c>
      <c r="K20" s="775">
        <f t="shared" si="2"/>
        <v>37220</v>
      </c>
      <c r="L20" s="782">
        <v>1666.66666666667</v>
      </c>
      <c r="M20" s="295">
        <f t="shared" si="8"/>
        <v>2065329.56666667</v>
      </c>
      <c r="N20" s="776">
        <f t="shared" si="3"/>
        <v>165226.365333333</v>
      </c>
      <c r="O20" s="785">
        <v>500000</v>
      </c>
      <c r="P20" s="776">
        <v>100000</v>
      </c>
      <c r="Q20" s="776">
        <f>26*10000</f>
        <v>260000</v>
      </c>
      <c r="R20" s="803">
        <f t="shared" si="4"/>
        <v>3090555.932</v>
      </c>
      <c r="S20" s="803">
        <f t="shared" si="5"/>
        <v>16522.6365333333</v>
      </c>
      <c r="T20" s="804">
        <f t="shared" si="6"/>
        <v>3107078.56853333</v>
      </c>
      <c r="U20" s="814">
        <v>44348</v>
      </c>
      <c r="V20" s="806">
        <v>44439</v>
      </c>
      <c r="W20" s="808"/>
      <c r="X20" s="808"/>
      <c r="Y20" s="808"/>
    </row>
    <row r="21">
      <c r="A21" s="741" t="s">
        <v>31</v>
      </c>
      <c r="B21" s="1913" t="s">
        <v>1200</v>
      </c>
      <c r="C21" s="746" t="s">
        <v>1201</v>
      </c>
      <c r="D21" s="731" t="s">
        <v>1202</v>
      </c>
      <c r="E21" s="731" t="s">
        <v>139</v>
      </c>
      <c r="F21" s="731" t="s">
        <v>140</v>
      </c>
      <c r="G21" s="743">
        <v>1861000</v>
      </c>
      <c r="H21" s="743"/>
      <c r="I21" s="775">
        <f t="shared" si="0"/>
        <v>91002.9</v>
      </c>
      <c r="J21" s="775">
        <f t="shared" si="1"/>
        <v>74440</v>
      </c>
      <c r="K21" s="775">
        <f t="shared" si="2"/>
        <v>37220</v>
      </c>
      <c r="L21" s="782">
        <v>1666.66666666667</v>
      </c>
      <c r="M21" s="295">
        <f t="shared" si="8"/>
        <v>2065329.56666667</v>
      </c>
      <c r="N21" s="776">
        <f t="shared" si="3"/>
        <v>165226.365333333</v>
      </c>
      <c r="O21" s="785">
        <v>500000</v>
      </c>
      <c r="P21" s="776">
        <v>100000</v>
      </c>
      <c r="Q21" s="776">
        <f>27*10000</f>
        <v>270000</v>
      </c>
      <c r="R21" s="803">
        <f t="shared" si="4"/>
        <v>3100555.932</v>
      </c>
      <c r="S21" s="803">
        <f t="shared" si="5"/>
        <v>16522.6365333333</v>
      </c>
      <c r="T21" s="804">
        <f t="shared" si="6"/>
        <v>3117078.56853333</v>
      </c>
      <c r="U21" s="814">
        <v>44348</v>
      </c>
      <c r="V21" s="806">
        <v>44439</v>
      </c>
      <c r="W21" s="808"/>
      <c r="X21" s="808"/>
      <c r="Y21" s="808"/>
    </row>
    <row r="22">
      <c r="A22" s="741" t="s">
        <v>24</v>
      </c>
      <c r="B22" s="1537" t="s">
        <v>1203</v>
      </c>
      <c r="C22" s="746" t="s">
        <v>1204</v>
      </c>
      <c r="D22" s="731" t="s">
        <v>1202</v>
      </c>
      <c r="E22" s="731" t="s">
        <v>139</v>
      </c>
      <c r="F22" s="731" t="s">
        <v>140</v>
      </c>
      <c r="G22" s="743">
        <v>1861000</v>
      </c>
      <c r="H22" s="743"/>
      <c r="I22" s="775">
        <f t="shared" si="0"/>
        <v>91002.9</v>
      </c>
      <c r="J22" s="775">
        <f t="shared" si="1"/>
        <v>74440</v>
      </c>
      <c r="K22" s="775">
        <f t="shared" si="2"/>
        <v>37220</v>
      </c>
      <c r="L22" s="782">
        <v>1666.66666666667</v>
      </c>
      <c r="M22" s="295">
        <f t="shared" si="8"/>
        <v>2065329.56666667</v>
      </c>
      <c r="N22" s="776">
        <f t="shared" si="3"/>
        <v>165226.365333333</v>
      </c>
      <c r="O22" s="783">
        <v>500000</v>
      </c>
      <c r="P22" s="776">
        <v>100000</v>
      </c>
      <c r="Q22" s="776">
        <f>25*10000</f>
        <v>250000</v>
      </c>
      <c r="R22" s="803">
        <f t="shared" si="4"/>
        <v>3080555.932</v>
      </c>
      <c r="S22" s="803">
        <f t="shared" si="5"/>
        <v>16522.6365333333</v>
      </c>
      <c r="T22" s="804">
        <f t="shared" si="6"/>
        <v>3097078.56853333</v>
      </c>
      <c r="U22" s="805">
        <v>44348</v>
      </c>
      <c r="V22" s="806">
        <v>44439</v>
      </c>
      <c r="W22" s="808"/>
      <c r="X22" s="808"/>
      <c r="Y22" s="808"/>
    </row>
    <row r="23">
      <c r="A23" s="741" t="s">
        <v>24</v>
      </c>
      <c r="B23" s="1537" t="s">
        <v>1205</v>
      </c>
      <c r="C23" s="749" t="s">
        <v>1206</v>
      </c>
      <c r="D23" s="741" t="s">
        <v>1176</v>
      </c>
      <c r="E23" s="731" t="s">
        <v>139</v>
      </c>
      <c r="F23" s="731" t="s">
        <v>140</v>
      </c>
      <c r="G23" s="743">
        <v>1861000</v>
      </c>
      <c r="H23" s="743"/>
      <c r="I23" s="782">
        <f t="shared" si="0"/>
        <v>91002.9</v>
      </c>
      <c r="J23" s="782">
        <f t="shared" si="1"/>
        <v>74440</v>
      </c>
      <c r="K23" s="782">
        <f t="shared" si="2"/>
        <v>37220</v>
      </c>
      <c r="L23" s="782">
        <v>1666.66666666667</v>
      </c>
      <c r="M23" s="786">
        <f t="shared" si="8"/>
        <v>2065329.56666667</v>
      </c>
      <c r="N23" s="783">
        <f t="shared" si="3"/>
        <v>165226.365333333</v>
      </c>
      <c r="O23" s="783">
        <v>500000</v>
      </c>
      <c r="P23" s="783"/>
      <c r="Q23" s="783">
        <f>26*10000</f>
        <v>260000</v>
      </c>
      <c r="R23" s="817">
        <f t="shared" si="4"/>
        <v>2990555.932</v>
      </c>
      <c r="S23" s="817">
        <f t="shared" si="5"/>
        <v>16522.6365333333</v>
      </c>
      <c r="T23" s="818">
        <f t="shared" si="6"/>
        <v>3007078.56853333</v>
      </c>
      <c r="U23" s="816">
        <v>44348</v>
      </c>
      <c r="V23" s="819">
        <v>44439</v>
      </c>
      <c r="W23" s="808"/>
      <c r="X23" s="808"/>
      <c r="Y23" s="808"/>
    </row>
    <row r="24">
      <c r="A24" s="731" t="s">
        <v>24</v>
      </c>
      <c r="B24" s="732" t="s">
        <v>1207</v>
      </c>
      <c r="C24" s="733" t="s">
        <v>1208</v>
      </c>
      <c r="D24" s="731" t="s">
        <v>54</v>
      </c>
      <c r="E24" s="750" t="s">
        <v>139</v>
      </c>
      <c r="F24" s="751" t="s">
        <v>140</v>
      </c>
      <c r="G24" s="736">
        <v>1861000</v>
      </c>
      <c r="H24" s="736"/>
      <c r="I24" s="775">
        <f t="shared" si="0"/>
        <v>91002.9</v>
      </c>
      <c r="J24" s="775">
        <f t="shared" si="1"/>
        <v>74440</v>
      </c>
      <c r="K24" s="775">
        <f t="shared" si="2"/>
        <v>37220</v>
      </c>
      <c r="L24" s="775">
        <v>1666.66666666667</v>
      </c>
      <c r="M24" s="295">
        <f t="shared" si="8"/>
        <v>2065329.56666667</v>
      </c>
      <c r="N24" s="776">
        <f t="shared" si="3"/>
        <v>165226.365333333</v>
      </c>
      <c r="O24" s="776">
        <f>700000</f>
        <v>700000</v>
      </c>
      <c r="P24" s="777"/>
      <c r="Q24" s="776">
        <f>24*10000</f>
        <v>240000</v>
      </c>
      <c r="R24" s="803">
        <f t="shared" si="4"/>
        <v>3170555.932</v>
      </c>
      <c r="S24" s="803">
        <f t="shared" si="5"/>
        <v>16522.6365333333</v>
      </c>
      <c r="T24" s="804">
        <f t="shared" si="6"/>
        <v>3187078.56853333</v>
      </c>
      <c r="U24" s="805">
        <v>44409</v>
      </c>
      <c r="V24" s="806">
        <v>44500</v>
      </c>
      <c r="W24" s="807"/>
      <c r="X24" s="808"/>
      <c r="Y24" s="808"/>
    </row>
    <row r="25">
      <c r="A25" s="752" t="s">
        <v>24</v>
      </c>
      <c r="B25" s="753" t="s">
        <v>1209</v>
      </c>
      <c r="C25" s="754" t="s">
        <v>1210</v>
      </c>
      <c r="D25" s="755" t="s">
        <v>1211</v>
      </c>
      <c r="E25" s="756" t="s">
        <v>139</v>
      </c>
      <c r="F25" s="756" t="s">
        <v>140</v>
      </c>
      <c r="G25" s="757">
        <v>4500000</v>
      </c>
      <c r="H25" s="757"/>
      <c r="I25" s="787">
        <f t="shared" si="0"/>
        <v>91002.9</v>
      </c>
      <c r="J25" s="787">
        <f t="shared" si="1"/>
        <v>74440</v>
      </c>
      <c r="K25" s="787">
        <f t="shared" si="2"/>
        <v>37220</v>
      </c>
      <c r="L25" s="787">
        <v>1666.66666666667</v>
      </c>
      <c r="M25" s="779">
        <f t="shared" si="8"/>
        <v>4704329.56666667</v>
      </c>
      <c r="N25" s="788">
        <f t="shared" si="3"/>
        <v>376346.365333333</v>
      </c>
      <c r="O25" s="788">
        <v>500000</v>
      </c>
      <c r="P25" s="788">
        <v>200000</v>
      </c>
      <c r="Q25" s="788">
        <f>26*15000</f>
        <v>390000</v>
      </c>
      <c r="R25" s="820">
        <f t="shared" si="4"/>
        <v>6170675.932</v>
      </c>
      <c r="S25" s="820">
        <f t="shared" si="5"/>
        <v>37634.6365333333</v>
      </c>
      <c r="T25" s="821">
        <f t="shared" si="6"/>
        <v>6208310.56853333</v>
      </c>
      <c r="U25" s="822">
        <v>44368</v>
      </c>
      <c r="V25" s="823">
        <v>44469</v>
      </c>
      <c r="W25" s="425" t="s">
        <v>1212</v>
      </c>
      <c r="X25" s="824"/>
      <c r="Y25" s="824"/>
    </row>
    <row r="26" ht="19.5" customHeight="1">
      <c r="A26" s="1764" t="s">
        <v>30</v>
      </c>
      <c r="B26" s="1914"/>
      <c r="C26" s="1764"/>
      <c r="D26" s="1764"/>
      <c r="E26" s="758"/>
      <c r="F26" s="759"/>
      <c r="G26" s="760">
        <f ref="G26:T26" t="shared" si="10">SUM(G7:G25)</f>
        <v>37998000</v>
      </c>
      <c r="H26" s="760">
        <f t="shared" si="10"/>
        <v>0</v>
      </c>
      <c r="I26" s="760">
        <f t="shared" si="10"/>
        <v>1729055.1</v>
      </c>
      <c r="J26" s="760">
        <f t="shared" si="10"/>
        <v>1414360</v>
      </c>
      <c r="K26" s="760">
        <f t="shared" si="10"/>
        <v>707180</v>
      </c>
      <c r="L26" s="760">
        <f t="shared" si="10"/>
        <v>31666.6666666667</v>
      </c>
      <c r="M26" s="760">
        <f t="shared" si="10"/>
        <v>41880261.7666667</v>
      </c>
      <c r="N26" s="760">
        <f t="shared" si="10"/>
        <v>3350420.94133333</v>
      </c>
      <c r="O26" s="760">
        <f t="shared" si="10"/>
        <v>10500000</v>
      </c>
      <c r="P26" s="760">
        <f t="shared" si="10"/>
        <v>900000</v>
      </c>
      <c r="Q26" s="760">
        <f t="shared" si="10"/>
        <v>5080000</v>
      </c>
      <c r="R26" s="760">
        <f t="shared" si="10"/>
        <v>61710682.708</v>
      </c>
      <c r="S26" s="760">
        <f t="shared" si="10"/>
        <v>335042.094133333</v>
      </c>
      <c r="T26" s="760">
        <f t="shared" si="10"/>
        <v>62045724.8021333</v>
      </c>
      <c r="U26" s="760"/>
      <c r="V26" s="760"/>
      <c r="W26" s="825"/>
    </row>
    <row r="27">
      <c r="A27" s="761" t="s">
        <v>30</v>
      </c>
      <c r="B27" s="1915"/>
      <c r="C27" s="762"/>
      <c r="D27" s="763"/>
      <c r="E27" s="764"/>
      <c r="F27" s="764"/>
      <c r="G27" s="765"/>
      <c r="H27" s="765"/>
      <c r="I27" s="789"/>
      <c r="J27" s="789"/>
      <c r="K27" s="789"/>
      <c r="L27" s="789"/>
      <c r="M27" s="790"/>
      <c r="N27" s="790"/>
      <c r="O27" s="790"/>
      <c r="P27" s="790"/>
      <c r="Q27" s="790"/>
      <c r="R27" s="826"/>
      <c r="S27" s="826"/>
      <c r="T27" s="827"/>
      <c r="U27" s="828"/>
      <c r="V27" s="828"/>
    </row>
    <row r="28" ht="22.5">
      <c r="A28" s="766" t="s">
        <v>31</v>
      </c>
      <c r="B28" s="1916" t="s">
        <v>3</v>
      </c>
      <c r="C28" s="727" t="s">
        <v>4</v>
      </c>
      <c r="D28" s="727" t="s">
        <v>5</v>
      </c>
      <c r="E28" s="727" t="s">
        <v>6</v>
      </c>
      <c r="F28" s="728" t="s">
        <v>7</v>
      </c>
      <c r="G28" s="767" t="s">
        <v>8</v>
      </c>
      <c r="H28" s="219" t="s">
        <v>9</v>
      </c>
      <c r="I28" s="791" t="s">
        <v>10</v>
      </c>
      <c r="J28" s="792" t="s">
        <v>11</v>
      </c>
      <c r="K28" s="792" t="s">
        <v>12</v>
      </c>
      <c r="L28" s="793" t="s">
        <v>13</v>
      </c>
      <c r="M28" s="793" t="s">
        <v>14</v>
      </c>
      <c r="N28" s="794" t="s">
        <v>15</v>
      </c>
      <c r="O28" s="794" t="s">
        <v>32</v>
      </c>
      <c r="P28" s="794" t="s">
        <v>17</v>
      </c>
      <c r="Q28" s="829" t="s">
        <v>1172</v>
      </c>
      <c r="R28" s="830" t="s">
        <v>19</v>
      </c>
      <c r="S28" s="831" t="s">
        <v>20</v>
      </c>
      <c r="T28" s="831" t="s">
        <v>21</v>
      </c>
      <c r="U28" s="832" t="s">
        <v>22</v>
      </c>
      <c r="V28" s="833" t="s">
        <v>23</v>
      </c>
    </row>
    <row r="29">
      <c r="A29" s="737" t="s">
        <v>24</v>
      </c>
      <c r="B29" s="1536" t="s">
        <v>1213</v>
      </c>
      <c r="C29" s="733" t="s">
        <v>1214</v>
      </c>
      <c r="D29" s="731" t="s">
        <v>34</v>
      </c>
      <c r="E29" s="731" t="s">
        <v>139</v>
      </c>
      <c r="F29" s="731" t="s">
        <v>140</v>
      </c>
      <c r="G29" s="743">
        <v>1861000</v>
      </c>
      <c r="H29" s="743"/>
      <c r="I29" s="775">
        <f ref="I29:I60" t="shared" si="11">+$G$5*4.89%</f>
        <v>91002.9</v>
      </c>
      <c r="J29" s="775">
        <f ref="J29:J60" t="shared" si="12">+$G$5*4%</f>
        <v>74440</v>
      </c>
      <c r="K29" s="775">
        <f ref="K29:K60" t="shared" si="13">+$G$5*2%</f>
        <v>37220</v>
      </c>
      <c r="L29" s="775">
        <f ref="L29:L60" t="shared" si="14">1667+13333</f>
        <v>15000</v>
      </c>
      <c r="M29" s="295">
        <f ref="M29:M92" t="shared" si="15">SUM(G29:L29)</f>
        <v>2078662.9</v>
      </c>
      <c r="N29" s="776">
        <f ref="N29:N60" t="shared" si="16">+M29*8%</f>
        <v>166293.032</v>
      </c>
      <c r="O29" s="776">
        <v>1523000</v>
      </c>
      <c r="P29" s="776"/>
      <c r="Q29" s="776"/>
      <c r="R29" s="803">
        <f ref="R29:R60" t="shared" si="17">SUM(M29:Q29)</f>
        <v>3767955.932</v>
      </c>
      <c r="S29" s="803">
        <f ref="S29:S60" t="shared" si="18">N29*0.1</f>
        <v>16629.3032</v>
      </c>
      <c r="T29" s="804">
        <f ref="T29:T60" t="shared" si="19">R29+S29</f>
        <v>3784585.2352</v>
      </c>
      <c r="U29" s="814">
        <v>44348</v>
      </c>
      <c r="V29" s="806">
        <v>44439</v>
      </c>
      <c r="W29" s="808"/>
      <c r="X29" s="808"/>
      <c r="Y29" s="808"/>
    </row>
    <row r="30">
      <c r="A30" s="741" t="s">
        <v>24</v>
      </c>
      <c r="B30" s="732" t="s">
        <v>1215</v>
      </c>
      <c r="C30" s="733" t="s">
        <v>1216</v>
      </c>
      <c r="D30" s="731" t="s">
        <v>34</v>
      </c>
      <c r="E30" s="731" t="s">
        <v>139</v>
      </c>
      <c r="F30" s="731" t="s">
        <v>140</v>
      </c>
      <c r="G30" s="743">
        <v>1861000</v>
      </c>
      <c r="H30" s="743"/>
      <c r="I30" s="775">
        <f t="shared" si="11"/>
        <v>91002.9</v>
      </c>
      <c r="J30" s="775">
        <f t="shared" si="12"/>
        <v>74440</v>
      </c>
      <c r="K30" s="775">
        <f t="shared" si="13"/>
        <v>37220</v>
      </c>
      <c r="L30" s="775">
        <f t="shared" si="14"/>
        <v>15000</v>
      </c>
      <c r="M30" s="295">
        <f t="shared" si="15"/>
        <v>2078662.9</v>
      </c>
      <c r="N30" s="776">
        <f t="shared" si="16"/>
        <v>166293.032</v>
      </c>
      <c r="O30" s="776">
        <v>1534000</v>
      </c>
      <c r="P30" s="776"/>
      <c r="Q30" s="776"/>
      <c r="R30" s="803">
        <f t="shared" si="17"/>
        <v>3778955.932</v>
      </c>
      <c r="S30" s="803">
        <f t="shared" si="18"/>
        <v>16629.3032</v>
      </c>
      <c r="T30" s="804">
        <f t="shared" si="19"/>
        <v>3795585.2352</v>
      </c>
      <c r="U30" s="814">
        <v>44348</v>
      </c>
      <c r="V30" s="806">
        <v>44439</v>
      </c>
      <c r="W30" s="808"/>
      <c r="X30" s="808"/>
      <c r="Y30" s="808"/>
    </row>
    <row r="31">
      <c r="A31" s="741" t="s">
        <v>24</v>
      </c>
      <c r="B31" s="1536" t="s">
        <v>1217</v>
      </c>
      <c r="C31" s="733" t="s">
        <v>1218</v>
      </c>
      <c r="D31" s="731" t="s">
        <v>34</v>
      </c>
      <c r="E31" s="731" t="s">
        <v>139</v>
      </c>
      <c r="F31" s="731" t="s">
        <v>140</v>
      </c>
      <c r="G31" s="743">
        <v>1861000</v>
      </c>
      <c r="H31" s="743"/>
      <c r="I31" s="775">
        <f t="shared" si="11"/>
        <v>91002.9</v>
      </c>
      <c r="J31" s="775">
        <f t="shared" si="12"/>
        <v>74440</v>
      </c>
      <c r="K31" s="775">
        <f t="shared" si="13"/>
        <v>37220</v>
      </c>
      <c r="L31" s="775">
        <f t="shared" si="14"/>
        <v>15000</v>
      </c>
      <c r="M31" s="295">
        <f t="shared" si="15"/>
        <v>2078662.9</v>
      </c>
      <c r="N31" s="776">
        <f t="shared" si="16"/>
        <v>166293.032</v>
      </c>
      <c r="O31" s="776">
        <v>1566000</v>
      </c>
      <c r="P31" s="776"/>
      <c r="Q31" s="776"/>
      <c r="R31" s="803">
        <f t="shared" si="17"/>
        <v>3810955.932</v>
      </c>
      <c r="S31" s="803">
        <f t="shared" si="18"/>
        <v>16629.3032</v>
      </c>
      <c r="T31" s="804">
        <f t="shared" si="19"/>
        <v>3827585.2352</v>
      </c>
      <c r="U31" s="814">
        <v>44348</v>
      </c>
      <c r="V31" s="806">
        <v>44439</v>
      </c>
      <c r="W31" s="808"/>
      <c r="X31" s="808"/>
      <c r="Y31" s="808"/>
    </row>
    <row r="32">
      <c r="A32" s="741" t="s">
        <v>24</v>
      </c>
      <c r="B32" s="1536" t="s">
        <v>1219</v>
      </c>
      <c r="C32" s="746" t="s">
        <v>1220</v>
      </c>
      <c r="D32" s="731" t="s">
        <v>34</v>
      </c>
      <c r="E32" s="731" t="s">
        <v>139</v>
      </c>
      <c r="F32" s="731" t="s">
        <v>140</v>
      </c>
      <c r="G32" s="743">
        <v>1861000</v>
      </c>
      <c r="H32" s="743"/>
      <c r="I32" s="775">
        <f t="shared" si="11"/>
        <v>91002.9</v>
      </c>
      <c r="J32" s="775">
        <f t="shared" si="12"/>
        <v>74440</v>
      </c>
      <c r="K32" s="775">
        <f t="shared" si="13"/>
        <v>37220</v>
      </c>
      <c r="L32" s="775">
        <f t="shared" si="14"/>
        <v>15000</v>
      </c>
      <c r="M32" s="295">
        <f t="shared" si="15"/>
        <v>2078662.9</v>
      </c>
      <c r="N32" s="776">
        <f t="shared" si="16"/>
        <v>166293.032</v>
      </c>
      <c r="O32" s="776">
        <v>1613000</v>
      </c>
      <c r="P32" s="776"/>
      <c r="Q32" s="834"/>
      <c r="R32" s="803">
        <f t="shared" si="17"/>
        <v>3857955.932</v>
      </c>
      <c r="S32" s="803">
        <f t="shared" si="18"/>
        <v>16629.3032</v>
      </c>
      <c r="T32" s="804">
        <f t="shared" si="19"/>
        <v>3874585.2352</v>
      </c>
      <c r="U32" s="814">
        <v>44348</v>
      </c>
      <c r="V32" s="806">
        <v>44439</v>
      </c>
      <c r="W32" s="835"/>
      <c r="X32" s="808"/>
      <c r="Y32" s="808"/>
    </row>
    <row r="33">
      <c r="A33" s="741" t="s">
        <v>24</v>
      </c>
      <c r="B33" s="1536" t="s">
        <v>1221</v>
      </c>
      <c r="C33" s="746" t="s">
        <v>1222</v>
      </c>
      <c r="D33" s="731" t="s">
        <v>34</v>
      </c>
      <c r="E33" s="731" t="s">
        <v>139</v>
      </c>
      <c r="F33" s="731" t="s">
        <v>140</v>
      </c>
      <c r="G33" s="743">
        <v>1861000</v>
      </c>
      <c r="H33" s="743"/>
      <c r="I33" s="775">
        <f t="shared" si="11"/>
        <v>91002.9</v>
      </c>
      <c r="J33" s="775">
        <f t="shared" si="12"/>
        <v>74440</v>
      </c>
      <c r="K33" s="775">
        <f t="shared" si="13"/>
        <v>37220</v>
      </c>
      <c r="L33" s="775">
        <f t="shared" si="14"/>
        <v>15000</v>
      </c>
      <c r="M33" s="295">
        <f t="shared" si="15"/>
        <v>2078662.9</v>
      </c>
      <c r="N33" s="776">
        <f t="shared" si="16"/>
        <v>166293.032</v>
      </c>
      <c r="O33" s="776">
        <v>1570000</v>
      </c>
      <c r="P33" s="776"/>
      <c r="Q33" s="776"/>
      <c r="R33" s="803">
        <f t="shared" si="17"/>
        <v>3814955.932</v>
      </c>
      <c r="S33" s="803">
        <f t="shared" si="18"/>
        <v>16629.3032</v>
      </c>
      <c r="T33" s="804">
        <f t="shared" si="19"/>
        <v>3831585.2352</v>
      </c>
      <c r="U33" s="814">
        <v>44348</v>
      </c>
      <c r="V33" s="806">
        <v>44439</v>
      </c>
      <c r="W33" s="808"/>
      <c r="X33" s="808"/>
      <c r="Y33" s="808"/>
    </row>
    <row r="34">
      <c r="A34" s="741" t="s">
        <v>24</v>
      </c>
      <c r="B34" s="732" t="s">
        <v>1223</v>
      </c>
      <c r="C34" s="733" t="s">
        <v>1224</v>
      </c>
      <c r="D34" s="731" t="s">
        <v>34</v>
      </c>
      <c r="E34" s="731" t="s">
        <v>139</v>
      </c>
      <c r="F34" s="731" t="s">
        <v>140</v>
      </c>
      <c r="G34" s="743">
        <v>1861000</v>
      </c>
      <c r="H34" s="743"/>
      <c r="I34" s="775">
        <f t="shared" si="11"/>
        <v>91002.9</v>
      </c>
      <c r="J34" s="775">
        <f t="shared" si="12"/>
        <v>74440</v>
      </c>
      <c r="K34" s="775">
        <f t="shared" si="13"/>
        <v>37220</v>
      </c>
      <c r="L34" s="775">
        <f t="shared" si="14"/>
        <v>15000</v>
      </c>
      <c r="M34" s="295">
        <f t="shared" si="15"/>
        <v>2078662.9</v>
      </c>
      <c r="N34" s="776">
        <f t="shared" si="16"/>
        <v>166293.032</v>
      </c>
      <c r="O34" s="776">
        <v>1673000</v>
      </c>
      <c r="P34" s="776"/>
      <c r="Q34" s="776"/>
      <c r="R34" s="803">
        <f t="shared" si="17"/>
        <v>3917955.932</v>
      </c>
      <c r="S34" s="803">
        <f t="shared" si="18"/>
        <v>16629.3032</v>
      </c>
      <c r="T34" s="804">
        <f t="shared" si="19"/>
        <v>3934585.2352</v>
      </c>
      <c r="U34" s="814">
        <v>44348</v>
      </c>
      <c r="V34" s="806">
        <v>44439</v>
      </c>
      <c r="W34" s="808"/>
      <c r="X34" s="808"/>
      <c r="Y34" s="808"/>
    </row>
    <row r="35">
      <c r="A35" s="741" t="s">
        <v>24</v>
      </c>
      <c r="B35" s="1536" t="s">
        <v>1225</v>
      </c>
      <c r="C35" s="733" t="s">
        <v>1226</v>
      </c>
      <c r="D35" s="731" t="s">
        <v>34</v>
      </c>
      <c r="E35" s="731" t="s">
        <v>139</v>
      </c>
      <c r="F35" s="731" t="s">
        <v>140</v>
      </c>
      <c r="G35" s="743">
        <v>1861000</v>
      </c>
      <c r="H35" s="743"/>
      <c r="I35" s="775">
        <f t="shared" si="11"/>
        <v>91002.9</v>
      </c>
      <c r="J35" s="775">
        <f t="shared" si="12"/>
        <v>74440</v>
      </c>
      <c r="K35" s="775">
        <f t="shared" si="13"/>
        <v>37220</v>
      </c>
      <c r="L35" s="775">
        <f t="shared" si="14"/>
        <v>15000</v>
      </c>
      <c r="M35" s="295">
        <f t="shared" si="15"/>
        <v>2078662.9</v>
      </c>
      <c r="N35" s="776">
        <f t="shared" si="16"/>
        <v>166293.032</v>
      </c>
      <c r="O35" s="776">
        <v>1506000</v>
      </c>
      <c r="P35" s="776"/>
      <c r="Q35" s="776"/>
      <c r="R35" s="803">
        <f t="shared" si="17"/>
        <v>3750955.932</v>
      </c>
      <c r="S35" s="803">
        <f t="shared" si="18"/>
        <v>16629.3032</v>
      </c>
      <c r="T35" s="804">
        <f t="shared" si="19"/>
        <v>3767585.2352</v>
      </c>
      <c r="U35" s="814">
        <v>44348</v>
      </c>
      <c r="V35" s="806">
        <v>44439</v>
      </c>
      <c r="W35" s="808"/>
      <c r="X35" s="808"/>
      <c r="Y35" s="808"/>
    </row>
    <row r="36">
      <c r="A36" s="741" t="s">
        <v>24</v>
      </c>
      <c r="B36" s="732" t="s">
        <v>1227</v>
      </c>
      <c r="C36" s="733" t="s">
        <v>209</v>
      </c>
      <c r="D36" s="731" t="s">
        <v>34</v>
      </c>
      <c r="E36" s="731" t="s">
        <v>139</v>
      </c>
      <c r="F36" s="731" t="s">
        <v>140</v>
      </c>
      <c r="G36" s="743">
        <v>1861000</v>
      </c>
      <c r="H36" s="743"/>
      <c r="I36" s="775">
        <f t="shared" si="11"/>
        <v>91002.9</v>
      </c>
      <c r="J36" s="775">
        <f t="shared" si="12"/>
        <v>74440</v>
      </c>
      <c r="K36" s="775">
        <f t="shared" si="13"/>
        <v>37220</v>
      </c>
      <c r="L36" s="775">
        <f t="shared" si="14"/>
        <v>15000</v>
      </c>
      <c r="M36" s="295">
        <f t="shared" si="15"/>
        <v>2078662.9</v>
      </c>
      <c r="N36" s="776">
        <f t="shared" si="16"/>
        <v>166293.032</v>
      </c>
      <c r="O36" s="776">
        <v>1625000</v>
      </c>
      <c r="P36" s="776"/>
      <c r="Q36" s="776"/>
      <c r="R36" s="803">
        <f t="shared" si="17"/>
        <v>3869955.932</v>
      </c>
      <c r="S36" s="803">
        <f t="shared" si="18"/>
        <v>16629.3032</v>
      </c>
      <c r="T36" s="804">
        <f t="shared" si="19"/>
        <v>3886585.2352</v>
      </c>
      <c r="U36" s="814">
        <v>44348</v>
      </c>
      <c r="V36" s="806">
        <v>44439</v>
      </c>
      <c r="W36" s="808"/>
      <c r="X36" s="808"/>
      <c r="Y36" s="808"/>
    </row>
    <row r="37">
      <c r="A37" s="741" t="s">
        <v>24</v>
      </c>
      <c r="B37" s="732" t="s">
        <v>1228</v>
      </c>
      <c r="C37" s="733" t="s">
        <v>1229</v>
      </c>
      <c r="D37" s="731" t="s">
        <v>34</v>
      </c>
      <c r="E37" s="731" t="s">
        <v>139</v>
      </c>
      <c r="F37" s="731" t="s">
        <v>140</v>
      </c>
      <c r="G37" s="743">
        <v>1861000</v>
      </c>
      <c r="H37" s="743"/>
      <c r="I37" s="775">
        <f t="shared" si="11"/>
        <v>91002.9</v>
      </c>
      <c r="J37" s="775">
        <f t="shared" si="12"/>
        <v>74440</v>
      </c>
      <c r="K37" s="775">
        <f t="shared" si="13"/>
        <v>37220</v>
      </c>
      <c r="L37" s="775">
        <f t="shared" si="14"/>
        <v>15000</v>
      </c>
      <c r="M37" s="295">
        <f t="shared" si="15"/>
        <v>2078662.9</v>
      </c>
      <c r="N37" s="776">
        <f t="shared" si="16"/>
        <v>166293.032</v>
      </c>
      <c r="O37" s="776">
        <v>1363000</v>
      </c>
      <c r="P37" s="776"/>
      <c r="Q37" s="776"/>
      <c r="R37" s="803">
        <f t="shared" si="17"/>
        <v>3607955.932</v>
      </c>
      <c r="S37" s="803">
        <f t="shared" si="18"/>
        <v>16629.3032</v>
      </c>
      <c r="T37" s="804">
        <f t="shared" si="19"/>
        <v>3624585.2352</v>
      </c>
      <c r="U37" s="814">
        <v>44387</v>
      </c>
      <c r="V37" s="806">
        <v>44469</v>
      </c>
      <c r="W37" s="836"/>
      <c r="X37" s="808"/>
      <c r="Y37" s="808"/>
    </row>
    <row r="38">
      <c r="A38" s="741" t="s">
        <v>24</v>
      </c>
      <c r="B38" s="1536" t="s">
        <v>1230</v>
      </c>
      <c r="C38" s="746" t="s">
        <v>1231</v>
      </c>
      <c r="D38" s="731" t="s">
        <v>34</v>
      </c>
      <c r="E38" s="731" t="s">
        <v>139</v>
      </c>
      <c r="F38" s="731" t="s">
        <v>140</v>
      </c>
      <c r="G38" s="743">
        <v>1861000</v>
      </c>
      <c r="H38" s="743"/>
      <c r="I38" s="775">
        <f t="shared" si="11"/>
        <v>91002.9</v>
      </c>
      <c r="J38" s="775">
        <f t="shared" si="12"/>
        <v>74440</v>
      </c>
      <c r="K38" s="775">
        <f t="shared" si="13"/>
        <v>37220</v>
      </c>
      <c r="L38" s="775">
        <f t="shared" si="14"/>
        <v>15000</v>
      </c>
      <c r="M38" s="295">
        <f t="shared" si="15"/>
        <v>2078662.9</v>
      </c>
      <c r="N38" s="776">
        <f t="shared" si="16"/>
        <v>166293.032</v>
      </c>
      <c r="O38" s="776">
        <v>1636000</v>
      </c>
      <c r="P38" s="776"/>
      <c r="Q38" s="776"/>
      <c r="R38" s="803">
        <f t="shared" si="17"/>
        <v>3880955.932</v>
      </c>
      <c r="S38" s="803">
        <f t="shared" si="18"/>
        <v>16629.3032</v>
      </c>
      <c r="T38" s="804">
        <f t="shared" si="19"/>
        <v>3897585.2352</v>
      </c>
      <c r="U38" s="814">
        <v>44348</v>
      </c>
      <c r="V38" s="806">
        <v>44439</v>
      </c>
      <c r="W38" s="808"/>
      <c r="X38" s="808"/>
      <c r="Y38" s="808"/>
    </row>
    <row r="39">
      <c r="A39" s="741" t="s">
        <v>24</v>
      </c>
      <c r="B39" s="1536" t="s">
        <v>1232</v>
      </c>
      <c r="C39" s="746" t="s">
        <v>1233</v>
      </c>
      <c r="D39" s="731" t="s">
        <v>34</v>
      </c>
      <c r="E39" s="731" t="s">
        <v>139</v>
      </c>
      <c r="F39" s="731" t="s">
        <v>140</v>
      </c>
      <c r="G39" s="743">
        <v>1861000</v>
      </c>
      <c r="H39" s="743"/>
      <c r="I39" s="775">
        <f t="shared" si="11"/>
        <v>91002.9</v>
      </c>
      <c r="J39" s="775">
        <f t="shared" si="12"/>
        <v>74440</v>
      </c>
      <c r="K39" s="775">
        <f t="shared" si="13"/>
        <v>37220</v>
      </c>
      <c r="L39" s="775">
        <f t="shared" si="14"/>
        <v>15000</v>
      </c>
      <c r="M39" s="295">
        <f t="shared" si="15"/>
        <v>2078662.9</v>
      </c>
      <c r="N39" s="776">
        <f t="shared" si="16"/>
        <v>166293.032</v>
      </c>
      <c r="O39" s="776">
        <v>1559000</v>
      </c>
      <c r="P39" s="776"/>
      <c r="Q39" s="776"/>
      <c r="R39" s="803">
        <f t="shared" si="17"/>
        <v>3803955.932</v>
      </c>
      <c r="S39" s="803">
        <f t="shared" si="18"/>
        <v>16629.3032</v>
      </c>
      <c r="T39" s="804">
        <f t="shared" si="19"/>
        <v>3820585.2352</v>
      </c>
      <c r="U39" s="814">
        <v>44348</v>
      </c>
      <c r="V39" s="806">
        <v>44439</v>
      </c>
      <c r="W39" s="808"/>
      <c r="X39" s="808"/>
      <c r="Y39" s="808"/>
    </row>
    <row r="40">
      <c r="A40" s="741" t="s">
        <v>24</v>
      </c>
      <c r="B40" s="732" t="s">
        <v>1234</v>
      </c>
      <c r="C40" s="733" t="s">
        <v>1235</v>
      </c>
      <c r="D40" s="731" t="s">
        <v>34</v>
      </c>
      <c r="E40" s="731" t="s">
        <v>139</v>
      </c>
      <c r="F40" s="731" t="s">
        <v>140</v>
      </c>
      <c r="G40" s="743">
        <v>1861000</v>
      </c>
      <c r="H40" s="743"/>
      <c r="I40" s="775">
        <f t="shared" si="11"/>
        <v>91002.9</v>
      </c>
      <c r="J40" s="775">
        <f t="shared" si="12"/>
        <v>74440</v>
      </c>
      <c r="K40" s="775">
        <f t="shared" si="13"/>
        <v>37220</v>
      </c>
      <c r="L40" s="775">
        <f t="shared" si="14"/>
        <v>15000</v>
      </c>
      <c r="M40" s="295">
        <f t="shared" si="15"/>
        <v>2078662.9</v>
      </c>
      <c r="N40" s="776">
        <f t="shared" si="16"/>
        <v>166293.032</v>
      </c>
      <c r="O40" s="776">
        <v>1283000</v>
      </c>
      <c r="P40" s="776"/>
      <c r="Q40" s="776"/>
      <c r="R40" s="803">
        <f t="shared" si="17"/>
        <v>3527955.932</v>
      </c>
      <c r="S40" s="803">
        <f t="shared" si="18"/>
        <v>16629.3032</v>
      </c>
      <c r="T40" s="804">
        <f t="shared" si="19"/>
        <v>3544585.2352</v>
      </c>
      <c r="U40" s="814">
        <v>44348</v>
      </c>
      <c r="V40" s="806">
        <v>44439</v>
      </c>
      <c r="W40" s="808"/>
      <c r="X40" s="808"/>
      <c r="Y40" s="808"/>
    </row>
    <row r="41">
      <c r="A41" s="741" t="s">
        <v>24</v>
      </c>
      <c r="B41" s="1536" t="s">
        <v>1236</v>
      </c>
      <c r="C41" s="746" t="s">
        <v>1237</v>
      </c>
      <c r="D41" s="731" t="s">
        <v>34</v>
      </c>
      <c r="E41" s="731" t="s">
        <v>139</v>
      </c>
      <c r="F41" s="731" t="s">
        <v>140</v>
      </c>
      <c r="G41" s="743">
        <v>1861000</v>
      </c>
      <c r="H41" s="743"/>
      <c r="I41" s="775">
        <f t="shared" si="11"/>
        <v>91002.9</v>
      </c>
      <c r="J41" s="775">
        <f t="shared" si="12"/>
        <v>74440</v>
      </c>
      <c r="K41" s="775">
        <f t="shared" si="13"/>
        <v>37220</v>
      </c>
      <c r="L41" s="775">
        <f t="shared" si="14"/>
        <v>15000</v>
      </c>
      <c r="M41" s="295">
        <f t="shared" si="15"/>
        <v>2078662.9</v>
      </c>
      <c r="N41" s="776">
        <f t="shared" si="16"/>
        <v>166293.032</v>
      </c>
      <c r="O41" s="776">
        <v>1885000</v>
      </c>
      <c r="P41" s="776"/>
      <c r="Q41" s="776"/>
      <c r="R41" s="803">
        <f t="shared" si="17"/>
        <v>4129955.932</v>
      </c>
      <c r="S41" s="803">
        <f t="shared" si="18"/>
        <v>16629.3032</v>
      </c>
      <c r="T41" s="804">
        <f t="shared" si="19"/>
        <v>4146585.2352</v>
      </c>
      <c r="U41" s="814">
        <v>44348</v>
      </c>
      <c r="V41" s="806">
        <v>44439</v>
      </c>
      <c r="W41" s="808"/>
      <c r="X41" s="808"/>
      <c r="Y41" s="808"/>
    </row>
    <row r="42">
      <c r="A42" s="741" t="s">
        <v>24</v>
      </c>
      <c r="B42" s="1536" t="s">
        <v>1238</v>
      </c>
      <c r="C42" s="746" t="s">
        <v>1239</v>
      </c>
      <c r="D42" s="731" t="s">
        <v>34</v>
      </c>
      <c r="E42" s="731" t="s">
        <v>139</v>
      </c>
      <c r="F42" s="731" t="s">
        <v>140</v>
      </c>
      <c r="G42" s="743">
        <v>1861000</v>
      </c>
      <c r="H42" s="743"/>
      <c r="I42" s="775">
        <f t="shared" si="11"/>
        <v>91002.9</v>
      </c>
      <c r="J42" s="775">
        <f t="shared" si="12"/>
        <v>74440</v>
      </c>
      <c r="K42" s="775">
        <f t="shared" si="13"/>
        <v>37220</v>
      </c>
      <c r="L42" s="775">
        <f t="shared" si="14"/>
        <v>15000</v>
      </c>
      <c r="M42" s="295">
        <f t="shared" si="15"/>
        <v>2078662.9</v>
      </c>
      <c r="N42" s="776">
        <f t="shared" si="16"/>
        <v>166293.032</v>
      </c>
      <c r="O42" s="776">
        <v>1648000</v>
      </c>
      <c r="P42" s="776"/>
      <c r="Q42" s="776"/>
      <c r="R42" s="803">
        <f t="shared" si="17"/>
        <v>3892955.932</v>
      </c>
      <c r="S42" s="803">
        <f t="shared" si="18"/>
        <v>16629.3032</v>
      </c>
      <c r="T42" s="804">
        <f t="shared" si="19"/>
        <v>3909585.2352</v>
      </c>
      <c r="U42" s="814">
        <v>44348</v>
      </c>
      <c r="V42" s="806">
        <v>44439</v>
      </c>
      <c r="W42" s="808"/>
      <c r="X42" s="808"/>
      <c r="Y42" s="808"/>
    </row>
    <row r="43">
      <c r="A43" s="741" t="s">
        <v>24</v>
      </c>
      <c r="B43" s="1536" t="s">
        <v>1240</v>
      </c>
      <c r="C43" s="746" t="s">
        <v>1241</v>
      </c>
      <c r="D43" s="731" t="s">
        <v>34</v>
      </c>
      <c r="E43" s="731" t="s">
        <v>139</v>
      </c>
      <c r="F43" s="731" t="s">
        <v>140</v>
      </c>
      <c r="G43" s="743">
        <v>1861000</v>
      </c>
      <c r="H43" s="743">
        <v>-74440</v>
      </c>
      <c r="I43" s="775">
        <f t="shared" si="11"/>
        <v>91002.9</v>
      </c>
      <c r="J43" s="775">
        <f t="shared" si="12"/>
        <v>74440</v>
      </c>
      <c r="K43" s="775">
        <f t="shared" si="13"/>
        <v>37220</v>
      </c>
      <c r="L43" s="775">
        <f t="shared" si="14"/>
        <v>15000</v>
      </c>
      <c r="M43" s="295">
        <f t="shared" si="15"/>
        <v>2004222.9</v>
      </c>
      <c r="N43" s="776">
        <f t="shared" si="16"/>
        <v>160337.832</v>
      </c>
      <c r="O43" s="776">
        <v>1616000</v>
      </c>
      <c r="P43" s="776"/>
      <c r="Q43" s="776"/>
      <c r="R43" s="803">
        <f t="shared" si="17"/>
        <v>3780560.732</v>
      </c>
      <c r="S43" s="803">
        <f t="shared" si="18"/>
        <v>16033.7832</v>
      </c>
      <c r="T43" s="804">
        <f t="shared" si="19"/>
        <v>3796594.5152</v>
      </c>
      <c r="U43" s="814">
        <v>44348</v>
      </c>
      <c r="V43" s="806">
        <v>44439</v>
      </c>
      <c r="W43" s="808"/>
      <c r="X43" s="808"/>
      <c r="Y43" s="808"/>
    </row>
    <row r="44">
      <c r="A44" s="741" t="s">
        <v>24</v>
      </c>
      <c r="B44" s="732" t="s">
        <v>1242</v>
      </c>
      <c r="C44" s="733" t="s">
        <v>1243</v>
      </c>
      <c r="D44" s="731" t="s">
        <v>34</v>
      </c>
      <c r="E44" s="731" t="s">
        <v>139</v>
      </c>
      <c r="F44" s="731" t="s">
        <v>140</v>
      </c>
      <c r="G44" s="743">
        <v>1861000</v>
      </c>
      <c r="H44" s="743"/>
      <c r="I44" s="775">
        <f t="shared" si="11"/>
        <v>91002.9</v>
      </c>
      <c r="J44" s="775">
        <f t="shared" si="12"/>
        <v>74440</v>
      </c>
      <c r="K44" s="775">
        <f t="shared" si="13"/>
        <v>37220</v>
      </c>
      <c r="L44" s="775">
        <f t="shared" si="14"/>
        <v>15000</v>
      </c>
      <c r="M44" s="295">
        <f t="shared" si="15"/>
        <v>2078662.9</v>
      </c>
      <c r="N44" s="776">
        <f t="shared" si="16"/>
        <v>166293.032</v>
      </c>
      <c r="O44" s="776">
        <v>1571000</v>
      </c>
      <c r="P44" s="776"/>
      <c r="Q44" s="776"/>
      <c r="R44" s="803">
        <f t="shared" si="17"/>
        <v>3815955.932</v>
      </c>
      <c r="S44" s="803">
        <f t="shared" si="18"/>
        <v>16629.3032</v>
      </c>
      <c r="T44" s="804">
        <f t="shared" si="19"/>
        <v>3832585.2352</v>
      </c>
      <c r="U44" s="814">
        <v>44348</v>
      </c>
      <c r="V44" s="806">
        <v>44439</v>
      </c>
      <c r="W44" s="808"/>
      <c r="X44" s="808"/>
      <c r="Y44" s="808"/>
    </row>
    <row r="45">
      <c r="A45" s="741" t="s">
        <v>24</v>
      </c>
      <c r="B45" s="1536" t="s">
        <v>1244</v>
      </c>
      <c r="C45" s="746" t="s">
        <v>1245</v>
      </c>
      <c r="D45" s="731" t="s">
        <v>34</v>
      </c>
      <c r="E45" s="731" t="s">
        <v>139</v>
      </c>
      <c r="F45" s="731" t="s">
        <v>140</v>
      </c>
      <c r="G45" s="743">
        <v>1861000</v>
      </c>
      <c r="H45" s="743"/>
      <c r="I45" s="775">
        <f t="shared" si="11"/>
        <v>91002.9</v>
      </c>
      <c r="J45" s="775">
        <f t="shared" si="12"/>
        <v>74440</v>
      </c>
      <c r="K45" s="775">
        <f t="shared" si="13"/>
        <v>37220</v>
      </c>
      <c r="L45" s="775">
        <f t="shared" si="14"/>
        <v>15000</v>
      </c>
      <c r="M45" s="295">
        <f t="shared" si="15"/>
        <v>2078662.9</v>
      </c>
      <c r="N45" s="776">
        <f t="shared" si="16"/>
        <v>166293.032</v>
      </c>
      <c r="O45" s="776">
        <v>1628000</v>
      </c>
      <c r="P45" s="776"/>
      <c r="Q45" s="776"/>
      <c r="R45" s="803">
        <f t="shared" si="17"/>
        <v>3872955.932</v>
      </c>
      <c r="S45" s="803">
        <f t="shared" si="18"/>
        <v>16629.3032</v>
      </c>
      <c r="T45" s="804">
        <f t="shared" si="19"/>
        <v>3889585.2352</v>
      </c>
      <c r="U45" s="814">
        <v>44348</v>
      </c>
      <c r="V45" s="806">
        <v>44439</v>
      </c>
      <c r="W45" s="808"/>
      <c r="X45" s="808"/>
      <c r="Y45" s="808"/>
    </row>
    <row r="46">
      <c r="A46" s="741" t="s">
        <v>24</v>
      </c>
      <c r="B46" s="1536" t="s">
        <v>1246</v>
      </c>
      <c r="C46" s="746" t="s">
        <v>1247</v>
      </c>
      <c r="D46" s="731" t="s">
        <v>34</v>
      </c>
      <c r="E46" s="731" t="s">
        <v>139</v>
      </c>
      <c r="F46" s="731" t="s">
        <v>140</v>
      </c>
      <c r="G46" s="743">
        <v>1861000</v>
      </c>
      <c r="H46" s="743"/>
      <c r="I46" s="775">
        <f t="shared" si="11"/>
        <v>91002.9</v>
      </c>
      <c r="J46" s="775">
        <f t="shared" si="12"/>
        <v>74440</v>
      </c>
      <c r="K46" s="775">
        <f t="shared" si="13"/>
        <v>37220</v>
      </c>
      <c r="L46" s="775">
        <f t="shared" si="14"/>
        <v>15000</v>
      </c>
      <c r="M46" s="295">
        <f t="shared" si="15"/>
        <v>2078662.9</v>
      </c>
      <c r="N46" s="776">
        <f t="shared" si="16"/>
        <v>166293.032</v>
      </c>
      <c r="O46" s="776">
        <v>1715000</v>
      </c>
      <c r="P46" s="776"/>
      <c r="Q46" s="776"/>
      <c r="R46" s="803">
        <f t="shared" si="17"/>
        <v>3959955.932</v>
      </c>
      <c r="S46" s="803">
        <f t="shared" si="18"/>
        <v>16629.3032</v>
      </c>
      <c r="T46" s="804">
        <f t="shared" si="19"/>
        <v>3976585.2352</v>
      </c>
      <c r="U46" s="814">
        <v>44348</v>
      </c>
      <c r="V46" s="806">
        <v>44439</v>
      </c>
      <c r="W46" s="808"/>
      <c r="X46" s="808"/>
      <c r="Y46" s="808"/>
    </row>
    <row r="47">
      <c r="A47" s="741" t="s">
        <v>24</v>
      </c>
      <c r="B47" s="732" t="s">
        <v>1248</v>
      </c>
      <c r="C47" s="733" t="s">
        <v>1249</v>
      </c>
      <c r="D47" s="731" t="s">
        <v>34</v>
      </c>
      <c r="E47" s="731" t="s">
        <v>139</v>
      </c>
      <c r="F47" s="731" t="s">
        <v>140</v>
      </c>
      <c r="G47" s="743">
        <v>1861000</v>
      </c>
      <c r="H47" s="743"/>
      <c r="I47" s="775">
        <f t="shared" si="11"/>
        <v>91002.9</v>
      </c>
      <c r="J47" s="775">
        <f t="shared" si="12"/>
        <v>74440</v>
      </c>
      <c r="K47" s="775">
        <f t="shared" si="13"/>
        <v>37220</v>
      </c>
      <c r="L47" s="775">
        <f t="shared" si="14"/>
        <v>15000</v>
      </c>
      <c r="M47" s="295">
        <f t="shared" si="15"/>
        <v>2078662.9</v>
      </c>
      <c r="N47" s="776">
        <f t="shared" si="16"/>
        <v>166293.032</v>
      </c>
      <c r="O47" s="776">
        <v>1502000</v>
      </c>
      <c r="P47" s="776"/>
      <c r="Q47" s="776"/>
      <c r="R47" s="803">
        <f t="shared" si="17"/>
        <v>3746955.932</v>
      </c>
      <c r="S47" s="803">
        <f t="shared" si="18"/>
        <v>16629.3032</v>
      </c>
      <c r="T47" s="804">
        <f t="shared" si="19"/>
        <v>3763585.2352</v>
      </c>
      <c r="U47" s="814">
        <v>44378</v>
      </c>
      <c r="V47" s="806">
        <v>44469</v>
      </c>
      <c r="W47" s="837"/>
      <c r="X47" s="808"/>
      <c r="Y47" s="808"/>
    </row>
    <row r="48">
      <c r="A48" s="741" t="s">
        <v>24</v>
      </c>
      <c r="B48" s="732" t="s">
        <v>1250</v>
      </c>
      <c r="C48" s="733" t="s">
        <v>1251</v>
      </c>
      <c r="D48" s="731" t="s">
        <v>34</v>
      </c>
      <c r="E48" s="731" t="s">
        <v>139</v>
      </c>
      <c r="F48" s="731" t="s">
        <v>140</v>
      </c>
      <c r="G48" s="743">
        <v>1861000</v>
      </c>
      <c r="H48" s="743"/>
      <c r="I48" s="775">
        <f t="shared" si="11"/>
        <v>91002.9</v>
      </c>
      <c r="J48" s="775">
        <f t="shared" si="12"/>
        <v>74440</v>
      </c>
      <c r="K48" s="775">
        <f t="shared" si="13"/>
        <v>37220</v>
      </c>
      <c r="L48" s="775">
        <f t="shared" si="14"/>
        <v>15000</v>
      </c>
      <c r="M48" s="295">
        <f t="shared" si="15"/>
        <v>2078662.9</v>
      </c>
      <c r="N48" s="776">
        <f t="shared" si="16"/>
        <v>166293.032</v>
      </c>
      <c r="O48" s="776">
        <v>1863000</v>
      </c>
      <c r="P48" s="776"/>
      <c r="Q48" s="776"/>
      <c r="R48" s="803">
        <f t="shared" si="17"/>
        <v>4107955.932</v>
      </c>
      <c r="S48" s="803">
        <f t="shared" si="18"/>
        <v>16629.3032</v>
      </c>
      <c r="T48" s="804">
        <f t="shared" si="19"/>
        <v>4124585.2352</v>
      </c>
      <c r="U48" s="814">
        <v>44348</v>
      </c>
      <c r="V48" s="806">
        <v>44439</v>
      </c>
      <c r="W48" s="808"/>
      <c r="X48" s="808"/>
      <c r="Y48" s="808"/>
    </row>
    <row r="49">
      <c r="A49" s="741" t="s">
        <v>24</v>
      </c>
      <c r="B49" s="1536" t="s">
        <v>1252</v>
      </c>
      <c r="C49" s="733" t="s">
        <v>1253</v>
      </c>
      <c r="D49" s="731" t="s">
        <v>34</v>
      </c>
      <c r="E49" s="731" t="s">
        <v>139</v>
      </c>
      <c r="F49" s="731" t="s">
        <v>140</v>
      </c>
      <c r="G49" s="743">
        <v>1861000</v>
      </c>
      <c r="H49" s="743"/>
      <c r="I49" s="775">
        <f t="shared" si="11"/>
        <v>91002.9</v>
      </c>
      <c r="J49" s="775">
        <f t="shared" si="12"/>
        <v>74440</v>
      </c>
      <c r="K49" s="775">
        <f t="shared" si="13"/>
        <v>37220</v>
      </c>
      <c r="L49" s="775">
        <f t="shared" si="14"/>
        <v>15000</v>
      </c>
      <c r="M49" s="295">
        <f t="shared" si="15"/>
        <v>2078662.9</v>
      </c>
      <c r="N49" s="776">
        <f t="shared" si="16"/>
        <v>166293.032</v>
      </c>
      <c r="O49" s="776">
        <v>1637000</v>
      </c>
      <c r="P49" s="776"/>
      <c r="Q49" s="776"/>
      <c r="R49" s="803">
        <f t="shared" si="17"/>
        <v>3881955.932</v>
      </c>
      <c r="S49" s="803">
        <f t="shared" si="18"/>
        <v>16629.3032</v>
      </c>
      <c r="T49" s="804">
        <f t="shared" si="19"/>
        <v>3898585.2352</v>
      </c>
      <c r="U49" s="814">
        <v>44348</v>
      </c>
      <c r="V49" s="806">
        <v>44439</v>
      </c>
      <c r="W49" s="808"/>
      <c r="X49" s="808"/>
      <c r="Y49" s="808"/>
    </row>
    <row r="50">
      <c r="A50" s="741" t="s">
        <v>24</v>
      </c>
      <c r="B50" s="732" t="s">
        <v>1254</v>
      </c>
      <c r="C50" s="733" t="s">
        <v>385</v>
      </c>
      <c r="D50" s="731" t="s">
        <v>34</v>
      </c>
      <c r="E50" s="731" t="s">
        <v>139</v>
      </c>
      <c r="F50" s="731" t="s">
        <v>140</v>
      </c>
      <c r="G50" s="743">
        <v>1861000</v>
      </c>
      <c r="H50" s="743"/>
      <c r="I50" s="775">
        <f t="shared" si="11"/>
        <v>91002.9</v>
      </c>
      <c r="J50" s="775">
        <f t="shared" si="12"/>
        <v>74440</v>
      </c>
      <c r="K50" s="775">
        <f t="shared" si="13"/>
        <v>37220</v>
      </c>
      <c r="L50" s="775">
        <f t="shared" si="14"/>
        <v>15000</v>
      </c>
      <c r="M50" s="295">
        <f t="shared" si="15"/>
        <v>2078662.9</v>
      </c>
      <c r="N50" s="776">
        <f t="shared" si="16"/>
        <v>166293.032</v>
      </c>
      <c r="O50" s="776">
        <v>1562000</v>
      </c>
      <c r="P50" s="776"/>
      <c r="Q50" s="776"/>
      <c r="R50" s="803">
        <f t="shared" si="17"/>
        <v>3806955.932</v>
      </c>
      <c r="S50" s="803">
        <f t="shared" si="18"/>
        <v>16629.3032</v>
      </c>
      <c r="T50" s="804">
        <f t="shared" si="19"/>
        <v>3823585.2352</v>
      </c>
      <c r="U50" s="814">
        <v>44348</v>
      </c>
      <c r="V50" s="806">
        <v>44439</v>
      </c>
      <c r="W50" s="808"/>
      <c r="X50" s="808"/>
      <c r="Y50" s="808"/>
    </row>
    <row r="51">
      <c r="A51" s="741" t="s">
        <v>24</v>
      </c>
      <c r="B51" s="732" t="s">
        <v>528</v>
      </c>
      <c r="C51" s="733" t="s">
        <v>529</v>
      </c>
      <c r="D51" s="731" t="s">
        <v>34</v>
      </c>
      <c r="E51" s="731" t="s">
        <v>139</v>
      </c>
      <c r="F51" s="731" t="s">
        <v>140</v>
      </c>
      <c r="G51" s="743">
        <v>1861000</v>
      </c>
      <c r="H51" s="743"/>
      <c r="I51" s="775">
        <f t="shared" si="11"/>
        <v>91002.9</v>
      </c>
      <c r="J51" s="775">
        <f t="shared" si="12"/>
        <v>74440</v>
      </c>
      <c r="K51" s="775">
        <f t="shared" si="13"/>
        <v>37220</v>
      </c>
      <c r="L51" s="775">
        <f t="shared" si="14"/>
        <v>15000</v>
      </c>
      <c r="M51" s="295">
        <f t="shared" si="15"/>
        <v>2078662.9</v>
      </c>
      <c r="N51" s="776">
        <f t="shared" si="16"/>
        <v>166293.032</v>
      </c>
      <c r="O51" s="776">
        <v>2072000</v>
      </c>
      <c r="P51" s="776"/>
      <c r="Q51" s="776"/>
      <c r="R51" s="803">
        <f t="shared" si="17"/>
        <v>4316955.932</v>
      </c>
      <c r="S51" s="803">
        <f t="shared" si="18"/>
        <v>16629.3032</v>
      </c>
      <c r="T51" s="804">
        <f t="shared" si="19"/>
        <v>4333585.2352</v>
      </c>
      <c r="U51" s="814">
        <v>44348</v>
      </c>
      <c r="V51" s="806">
        <v>44439</v>
      </c>
      <c r="W51" s="808"/>
      <c r="X51" s="808"/>
      <c r="Y51" s="808"/>
    </row>
    <row r="52">
      <c r="A52" s="741" t="s">
        <v>24</v>
      </c>
      <c r="B52" s="732" t="s">
        <v>1255</v>
      </c>
      <c r="C52" s="733" t="s">
        <v>1256</v>
      </c>
      <c r="D52" s="731" t="s">
        <v>34</v>
      </c>
      <c r="E52" s="731" t="s">
        <v>139</v>
      </c>
      <c r="F52" s="731" t="s">
        <v>140</v>
      </c>
      <c r="G52" s="743">
        <v>1861000</v>
      </c>
      <c r="H52" s="743"/>
      <c r="I52" s="775">
        <f t="shared" si="11"/>
        <v>91002.9</v>
      </c>
      <c r="J52" s="775">
        <f t="shared" si="12"/>
        <v>74440</v>
      </c>
      <c r="K52" s="775">
        <f t="shared" si="13"/>
        <v>37220</v>
      </c>
      <c r="L52" s="775">
        <f t="shared" si="14"/>
        <v>15000</v>
      </c>
      <c r="M52" s="295">
        <f t="shared" si="15"/>
        <v>2078662.9</v>
      </c>
      <c r="N52" s="776">
        <f t="shared" si="16"/>
        <v>166293.032</v>
      </c>
      <c r="O52" s="776">
        <v>1735000</v>
      </c>
      <c r="P52" s="776"/>
      <c r="Q52" s="776"/>
      <c r="R52" s="803">
        <f t="shared" si="17"/>
        <v>3979955.932</v>
      </c>
      <c r="S52" s="803">
        <f t="shared" si="18"/>
        <v>16629.3032</v>
      </c>
      <c r="T52" s="804">
        <f t="shared" si="19"/>
        <v>3996585.2352</v>
      </c>
      <c r="U52" s="814">
        <v>44409</v>
      </c>
      <c r="V52" s="806">
        <v>44500</v>
      </c>
      <c r="W52" s="836"/>
      <c r="X52" s="808"/>
      <c r="Y52" s="808"/>
    </row>
    <row r="53">
      <c r="A53" s="741" t="s">
        <v>24</v>
      </c>
      <c r="B53" s="732" t="s">
        <v>526</v>
      </c>
      <c r="C53" s="733" t="s">
        <v>527</v>
      </c>
      <c r="D53" s="731" t="s">
        <v>34</v>
      </c>
      <c r="E53" s="731" t="s">
        <v>139</v>
      </c>
      <c r="F53" s="731" t="s">
        <v>140</v>
      </c>
      <c r="G53" s="743">
        <v>1861000</v>
      </c>
      <c r="H53" s="743"/>
      <c r="I53" s="775">
        <f t="shared" si="11"/>
        <v>91002.9</v>
      </c>
      <c r="J53" s="775">
        <f t="shared" si="12"/>
        <v>74440</v>
      </c>
      <c r="K53" s="775">
        <f t="shared" si="13"/>
        <v>37220</v>
      </c>
      <c r="L53" s="775">
        <f t="shared" si="14"/>
        <v>15000</v>
      </c>
      <c r="M53" s="295">
        <f t="shared" si="15"/>
        <v>2078662.9</v>
      </c>
      <c r="N53" s="776">
        <f t="shared" si="16"/>
        <v>166293.032</v>
      </c>
      <c r="O53" s="776">
        <v>1943000</v>
      </c>
      <c r="P53" s="776"/>
      <c r="Q53" s="776"/>
      <c r="R53" s="803">
        <f t="shared" si="17"/>
        <v>4187955.932</v>
      </c>
      <c r="S53" s="803">
        <f t="shared" si="18"/>
        <v>16629.3032</v>
      </c>
      <c r="T53" s="804">
        <f t="shared" si="19"/>
        <v>4204585.2352</v>
      </c>
      <c r="U53" s="814">
        <v>44348</v>
      </c>
      <c r="V53" s="806">
        <v>44439</v>
      </c>
      <c r="W53" s="808"/>
      <c r="X53" s="808"/>
      <c r="Y53" s="808"/>
    </row>
    <row r="54">
      <c r="A54" s="741" t="s">
        <v>24</v>
      </c>
      <c r="B54" s="732" t="s">
        <v>1257</v>
      </c>
      <c r="C54" s="733" t="s">
        <v>1258</v>
      </c>
      <c r="D54" s="731" t="s">
        <v>34</v>
      </c>
      <c r="E54" s="731" t="s">
        <v>139</v>
      </c>
      <c r="F54" s="731" t="s">
        <v>140</v>
      </c>
      <c r="G54" s="743">
        <v>1861000</v>
      </c>
      <c r="H54" s="743"/>
      <c r="I54" s="775">
        <f t="shared" si="11"/>
        <v>91002.9</v>
      </c>
      <c r="J54" s="775">
        <f t="shared" si="12"/>
        <v>74440</v>
      </c>
      <c r="K54" s="775">
        <f t="shared" si="13"/>
        <v>37220</v>
      </c>
      <c r="L54" s="775">
        <f t="shared" si="14"/>
        <v>15000</v>
      </c>
      <c r="M54" s="295">
        <f t="shared" si="15"/>
        <v>2078662.9</v>
      </c>
      <c r="N54" s="776">
        <f t="shared" si="16"/>
        <v>166293.032</v>
      </c>
      <c r="O54" s="776">
        <v>1908000</v>
      </c>
      <c r="P54" s="776"/>
      <c r="Q54" s="776"/>
      <c r="R54" s="803">
        <f t="shared" si="17"/>
        <v>4152955.932</v>
      </c>
      <c r="S54" s="803">
        <f t="shared" si="18"/>
        <v>16629.3032</v>
      </c>
      <c r="T54" s="804">
        <f t="shared" si="19"/>
        <v>4169585.2352</v>
      </c>
      <c r="U54" s="814">
        <v>44348</v>
      </c>
      <c r="V54" s="806">
        <v>44439</v>
      </c>
      <c r="W54" s="808"/>
      <c r="X54" s="808"/>
      <c r="Y54" s="808"/>
    </row>
    <row r="55">
      <c r="A55" s="741" t="s">
        <v>24</v>
      </c>
      <c r="B55" s="1536" t="s">
        <v>1259</v>
      </c>
      <c r="C55" s="733" t="s">
        <v>1260</v>
      </c>
      <c r="D55" s="731" t="s">
        <v>34</v>
      </c>
      <c r="E55" s="731" t="s">
        <v>139</v>
      </c>
      <c r="F55" s="731" t="s">
        <v>140</v>
      </c>
      <c r="G55" s="743">
        <v>1861000</v>
      </c>
      <c r="H55" s="743"/>
      <c r="I55" s="775">
        <f t="shared" si="11"/>
        <v>91002.9</v>
      </c>
      <c r="J55" s="775">
        <f t="shared" si="12"/>
        <v>74440</v>
      </c>
      <c r="K55" s="775">
        <f t="shared" si="13"/>
        <v>37220</v>
      </c>
      <c r="L55" s="775">
        <f t="shared" si="14"/>
        <v>15000</v>
      </c>
      <c r="M55" s="295">
        <f t="shared" si="15"/>
        <v>2078662.9</v>
      </c>
      <c r="N55" s="776">
        <f t="shared" si="16"/>
        <v>166293.032</v>
      </c>
      <c r="O55" s="776">
        <v>1582000</v>
      </c>
      <c r="P55" s="776"/>
      <c r="Q55" s="776"/>
      <c r="R55" s="803">
        <f t="shared" si="17"/>
        <v>3826955.932</v>
      </c>
      <c r="S55" s="803">
        <f t="shared" si="18"/>
        <v>16629.3032</v>
      </c>
      <c r="T55" s="804">
        <f t="shared" si="19"/>
        <v>3843585.2352</v>
      </c>
      <c r="U55" s="814">
        <v>44348</v>
      </c>
      <c r="V55" s="806">
        <v>44439</v>
      </c>
      <c r="W55" s="808"/>
      <c r="X55" s="808"/>
      <c r="Y55" s="808"/>
    </row>
    <row r="56">
      <c r="A56" s="741" t="s">
        <v>24</v>
      </c>
      <c r="B56" s="732" t="s">
        <v>1261</v>
      </c>
      <c r="C56" s="733" t="s">
        <v>1262</v>
      </c>
      <c r="D56" s="731" t="s">
        <v>34</v>
      </c>
      <c r="E56" s="731" t="s">
        <v>139</v>
      </c>
      <c r="F56" s="731" t="s">
        <v>140</v>
      </c>
      <c r="G56" s="743">
        <v>1861000</v>
      </c>
      <c r="H56" s="743"/>
      <c r="I56" s="775">
        <f t="shared" si="11"/>
        <v>91002.9</v>
      </c>
      <c r="J56" s="775">
        <f t="shared" si="12"/>
        <v>74440</v>
      </c>
      <c r="K56" s="775">
        <f t="shared" si="13"/>
        <v>37220</v>
      </c>
      <c r="L56" s="775">
        <f t="shared" si="14"/>
        <v>15000</v>
      </c>
      <c r="M56" s="295">
        <f t="shared" si="15"/>
        <v>2078662.9</v>
      </c>
      <c r="N56" s="776">
        <f t="shared" si="16"/>
        <v>166293.032</v>
      </c>
      <c r="O56" s="776">
        <v>1671000</v>
      </c>
      <c r="P56" s="776"/>
      <c r="Q56" s="776"/>
      <c r="R56" s="803">
        <f t="shared" si="17"/>
        <v>3915955.932</v>
      </c>
      <c r="S56" s="803">
        <f t="shared" si="18"/>
        <v>16629.3032</v>
      </c>
      <c r="T56" s="804">
        <f t="shared" si="19"/>
        <v>3932585.2352</v>
      </c>
      <c r="U56" s="814">
        <v>44348</v>
      </c>
      <c r="V56" s="806">
        <v>44439</v>
      </c>
      <c r="W56" s="808"/>
      <c r="X56" s="808"/>
      <c r="Y56" s="808"/>
    </row>
    <row r="57">
      <c r="A57" s="741" t="s">
        <v>24</v>
      </c>
      <c r="B57" s="1536" t="s">
        <v>1263</v>
      </c>
      <c r="C57" s="746" t="s">
        <v>1264</v>
      </c>
      <c r="D57" s="731" t="s">
        <v>34</v>
      </c>
      <c r="E57" s="731" t="s">
        <v>139</v>
      </c>
      <c r="F57" s="731" t="s">
        <v>140</v>
      </c>
      <c r="G57" s="743">
        <v>1861000</v>
      </c>
      <c r="H57" s="743"/>
      <c r="I57" s="775">
        <f t="shared" si="11"/>
        <v>91002.9</v>
      </c>
      <c r="J57" s="775">
        <f t="shared" si="12"/>
        <v>74440</v>
      </c>
      <c r="K57" s="775">
        <f t="shared" si="13"/>
        <v>37220</v>
      </c>
      <c r="L57" s="775">
        <f t="shared" si="14"/>
        <v>15000</v>
      </c>
      <c r="M57" s="295">
        <f t="shared" si="15"/>
        <v>2078662.9</v>
      </c>
      <c r="N57" s="776">
        <f t="shared" si="16"/>
        <v>166293.032</v>
      </c>
      <c r="O57" s="776">
        <v>1459000</v>
      </c>
      <c r="P57" s="776"/>
      <c r="Q57" s="776"/>
      <c r="R57" s="803">
        <f t="shared" si="17"/>
        <v>3703955.932</v>
      </c>
      <c r="S57" s="803">
        <f t="shared" si="18"/>
        <v>16629.3032</v>
      </c>
      <c r="T57" s="804">
        <f t="shared" si="19"/>
        <v>3720585.2352</v>
      </c>
      <c r="U57" s="814">
        <v>44348</v>
      </c>
      <c r="V57" s="806">
        <v>44439</v>
      </c>
      <c r="W57" s="808"/>
      <c r="X57" s="808"/>
      <c r="Y57" s="808"/>
    </row>
    <row r="58">
      <c r="A58" s="741" t="s">
        <v>24</v>
      </c>
      <c r="B58" s="732" t="s">
        <v>1265</v>
      </c>
      <c r="C58" s="733" t="s">
        <v>144</v>
      </c>
      <c r="D58" s="731" t="s">
        <v>34</v>
      </c>
      <c r="E58" s="731" t="s">
        <v>139</v>
      </c>
      <c r="F58" s="731" t="s">
        <v>140</v>
      </c>
      <c r="G58" s="743">
        <v>1861000</v>
      </c>
      <c r="H58" s="743"/>
      <c r="I58" s="775">
        <f t="shared" si="11"/>
        <v>91002.9</v>
      </c>
      <c r="J58" s="775">
        <f t="shared" si="12"/>
        <v>74440</v>
      </c>
      <c r="K58" s="775">
        <f t="shared" si="13"/>
        <v>37220</v>
      </c>
      <c r="L58" s="775">
        <f t="shared" si="14"/>
        <v>15000</v>
      </c>
      <c r="M58" s="295">
        <f t="shared" si="15"/>
        <v>2078662.9</v>
      </c>
      <c r="N58" s="776">
        <f t="shared" si="16"/>
        <v>166293.032</v>
      </c>
      <c r="O58" s="776">
        <v>1796000</v>
      </c>
      <c r="P58" s="776"/>
      <c r="Q58" s="776"/>
      <c r="R58" s="803">
        <f t="shared" si="17"/>
        <v>4040955.932</v>
      </c>
      <c r="S58" s="803">
        <f t="shared" si="18"/>
        <v>16629.3032</v>
      </c>
      <c r="T58" s="804">
        <f t="shared" si="19"/>
        <v>4057585.2352</v>
      </c>
      <c r="U58" s="814">
        <v>44348</v>
      </c>
      <c r="V58" s="806">
        <v>44439</v>
      </c>
      <c r="W58" s="808"/>
      <c r="X58" s="808"/>
      <c r="Y58" s="808"/>
    </row>
    <row r="59">
      <c r="A59" s="741" t="s">
        <v>24</v>
      </c>
      <c r="B59" s="1536" t="s">
        <v>1266</v>
      </c>
      <c r="C59" s="746" t="s">
        <v>1267</v>
      </c>
      <c r="D59" s="731" t="s">
        <v>34</v>
      </c>
      <c r="E59" s="731" t="s">
        <v>139</v>
      </c>
      <c r="F59" s="731" t="s">
        <v>140</v>
      </c>
      <c r="G59" s="743">
        <v>1861000</v>
      </c>
      <c r="H59" s="743"/>
      <c r="I59" s="775">
        <f t="shared" si="11"/>
        <v>91002.9</v>
      </c>
      <c r="J59" s="775">
        <f t="shared" si="12"/>
        <v>74440</v>
      </c>
      <c r="K59" s="775">
        <f t="shared" si="13"/>
        <v>37220</v>
      </c>
      <c r="L59" s="775">
        <f t="shared" si="14"/>
        <v>15000</v>
      </c>
      <c r="M59" s="295">
        <f t="shared" si="15"/>
        <v>2078662.9</v>
      </c>
      <c r="N59" s="776">
        <f t="shared" si="16"/>
        <v>166293.032</v>
      </c>
      <c r="O59" s="776">
        <v>1479000</v>
      </c>
      <c r="P59" s="776"/>
      <c r="Q59" s="776"/>
      <c r="R59" s="803">
        <f t="shared" si="17"/>
        <v>3723955.932</v>
      </c>
      <c r="S59" s="803">
        <f t="shared" si="18"/>
        <v>16629.3032</v>
      </c>
      <c r="T59" s="804">
        <f t="shared" si="19"/>
        <v>3740585.2352</v>
      </c>
      <c r="U59" s="814">
        <v>44348</v>
      </c>
      <c r="V59" s="806">
        <v>44439</v>
      </c>
      <c r="W59" s="808"/>
      <c r="X59" s="808"/>
      <c r="Y59" s="808"/>
    </row>
    <row r="60">
      <c r="A60" s="741" t="s">
        <v>24</v>
      </c>
      <c r="B60" s="732" t="s">
        <v>1268</v>
      </c>
      <c r="C60" s="733" t="s">
        <v>1269</v>
      </c>
      <c r="D60" s="731" t="s">
        <v>34</v>
      </c>
      <c r="E60" s="731" t="s">
        <v>139</v>
      </c>
      <c r="F60" s="731" t="s">
        <v>140</v>
      </c>
      <c r="G60" s="743">
        <v>1861000</v>
      </c>
      <c r="H60" s="743"/>
      <c r="I60" s="775">
        <f t="shared" si="11"/>
        <v>91002.9</v>
      </c>
      <c r="J60" s="775">
        <f t="shared" si="12"/>
        <v>74440</v>
      </c>
      <c r="K60" s="775">
        <f t="shared" si="13"/>
        <v>37220</v>
      </c>
      <c r="L60" s="775">
        <f t="shared" si="14"/>
        <v>15000</v>
      </c>
      <c r="M60" s="295">
        <f t="shared" si="15"/>
        <v>2078662.9</v>
      </c>
      <c r="N60" s="776">
        <f t="shared" si="16"/>
        <v>166293.032</v>
      </c>
      <c r="O60" s="776">
        <v>1870000</v>
      </c>
      <c r="P60" s="776"/>
      <c r="Q60" s="776"/>
      <c r="R60" s="803">
        <f t="shared" si="17"/>
        <v>4114955.932</v>
      </c>
      <c r="S60" s="803">
        <f t="shared" si="18"/>
        <v>16629.3032</v>
      </c>
      <c r="T60" s="804">
        <f t="shared" si="19"/>
        <v>4131585.2352</v>
      </c>
      <c r="U60" s="814">
        <v>44348</v>
      </c>
      <c r="V60" s="806">
        <v>44439</v>
      </c>
      <c r="W60" s="808"/>
      <c r="X60" s="808"/>
      <c r="Y60" s="808"/>
    </row>
    <row r="61">
      <c r="A61" s="741" t="s">
        <v>24</v>
      </c>
      <c r="B61" s="1536" t="s">
        <v>1270</v>
      </c>
      <c r="C61" s="746" t="s">
        <v>1271</v>
      </c>
      <c r="D61" s="731" t="s">
        <v>34</v>
      </c>
      <c r="E61" s="731" t="s">
        <v>139</v>
      </c>
      <c r="F61" s="731" t="s">
        <v>140</v>
      </c>
      <c r="G61" s="743">
        <v>1861000</v>
      </c>
      <c r="H61" s="743"/>
      <c r="I61" s="775">
        <f ref="I61:I92" t="shared" si="21">+$G$5*4.89%</f>
        <v>91002.9</v>
      </c>
      <c r="J61" s="775">
        <f ref="J61:J92" t="shared" si="22">+$G$5*4%</f>
        <v>74440</v>
      </c>
      <c r="K61" s="775">
        <f ref="K61:K92" t="shared" si="23">+$G$5*2%</f>
        <v>37220</v>
      </c>
      <c r="L61" s="775">
        <f ref="L61:L92" t="shared" si="24">1667+13333</f>
        <v>15000</v>
      </c>
      <c r="M61" s="295">
        <f t="shared" si="15"/>
        <v>2078662.9</v>
      </c>
      <c r="N61" s="776">
        <f ref="N61:N92" t="shared" si="25">+M61*8%</f>
        <v>166293.032</v>
      </c>
      <c r="O61" s="776">
        <v>1343000</v>
      </c>
      <c r="P61" s="776"/>
      <c r="Q61" s="776"/>
      <c r="R61" s="803">
        <f ref="R61:R92" t="shared" si="26">SUM(M61:Q61)</f>
        <v>3587955.932</v>
      </c>
      <c r="S61" s="803">
        <f ref="S61:S92" t="shared" si="27">N61*0.1</f>
        <v>16629.3032</v>
      </c>
      <c r="T61" s="804">
        <f ref="T61:T92" t="shared" si="28">R61+S61</f>
        <v>3604585.2352</v>
      </c>
      <c r="U61" s="814">
        <v>44348</v>
      </c>
      <c r="V61" s="806">
        <v>44439</v>
      </c>
      <c r="W61" s="808"/>
      <c r="X61" s="808"/>
      <c r="Y61" s="808"/>
    </row>
    <row r="62">
      <c r="A62" s="741" t="s">
        <v>24</v>
      </c>
      <c r="B62" s="732" t="s">
        <v>1272</v>
      </c>
      <c r="C62" s="733" t="s">
        <v>1273</v>
      </c>
      <c r="D62" s="731" t="s">
        <v>34</v>
      </c>
      <c r="E62" s="731" t="s">
        <v>139</v>
      </c>
      <c r="F62" s="731" t="s">
        <v>140</v>
      </c>
      <c r="G62" s="743">
        <v>1861000</v>
      </c>
      <c r="H62" s="743"/>
      <c r="I62" s="775">
        <f t="shared" si="21"/>
        <v>91002.9</v>
      </c>
      <c r="J62" s="775">
        <f t="shared" si="22"/>
        <v>74440</v>
      </c>
      <c r="K62" s="775">
        <f t="shared" si="23"/>
        <v>37220</v>
      </c>
      <c r="L62" s="775">
        <f t="shared" si="24"/>
        <v>15000</v>
      </c>
      <c r="M62" s="295">
        <f t="shared" si="15"/>
        <v>2078662.9</v>
      </c>
      <c r="N62" s="776">
        <f t="shared" si="25"/>
        <v>166293.032</v>
      </c>
      <c r="O62" s="776">
        <v>1780000</v>
      </c>
      <c r="P62" s="776"/>
      <c r="Q62" s="776"/>
      <c r="R62" s="803">
        <f t="shared" si="26"/>
        <v>4024955.932</v>
      </c>
      <c r="S62" s="803">
        <f t="shared" si="27"/>
        <v>16629.3032</v>
      </c>
      <c r="T62" s="804">
        <f t="shared" si="28"/>
        <v>4041585.2352</v>
      </c>
      <c r="U62" s="814">
        <v>44348</v>
      </c>
      <c r="V62" s="806">
        <v>44439</v>
      </c>
      <c r="W62" s="808"/>
      <c r="X62" s="808"/>
      <c r="Y62" s="808"/>
    </row>
    <row r="63">
      <c r="A63" s="741" t="s">
        <v>24</v>
      </c>
      <c r="B63" s="1536" t="s">
        <v>1274</v>
      </c>
      <c r="C63" s="733" t="s">
        <v>538</v>
      </c>
      <c r="D63" s="731" t="s">
        <v>34</v>
      </c>
      <c r="E63" s="731" t="s">
        <v>139</v>
      </c>
      <c r="F63" s="731" t="s">
        <v>140</v>
      </c>
      <c r="G63" s="743">
        <v>1861000</v>
      </c>
      <c r="H63" s="743"/>
      <c r="I63" s="775">
        <f t="shared" si="21"/>
        <v>91002.9</v>
      </c>
      <c r="J63" s="775">
        <f t="shared" si="22"/>
        <v>74440</v>
      </c>
      <c r="K63" s="775">
        <f t="shared" si="23"/>
        <v>37220</v>
      </c>
      <c r="L63" s="775">
        <f t="shared" si="24"/>
        <v>15000</v>
      </c>
      <c r="M63" s="295">
        <f t="shared" si="15"/>
        <v>2078662.9</v>
      </c>
      <c r="N63" s="776">
        <f t="shared" si="25"/>
        <v>166293.032</v>
      </c>
      <c r="O63" s="776">
        <v>1426000</v>
      </c>
      <c r="P63" s="776"/>
      <c r="Q63" s="776"/>
      <c r="R63" s="803">
        <f t="shared" si="26"/>
        <v>3670955.932</v>
      </c>
      <c r="S63" s="803">
        <f t="shared" si="27"/>
        <v>16629.3032</v>
      </c>
      <c r="T63" s="804">
        <f t="shared" si="28"/>
        <v>3687585.2352</v>
      </c>
      <c r="U63" s="814">
        <v>44348</v>
      </c>
      <c r="V63" s="806">
        <v>44439</v>
      </c>
      <c r="W63" s="808"/>
      <c r="X63" s="808"/>
      <c r="Y63" s="808"/>
    </row>
    <row r="64">
      <c r="A64" s="741" t="s">
        <v>24</v>
      </c>
      <c r="B64" s="1536" t="s">
        <v>1275</v>
      </c>
      <c r="C64" s="733" t="s">
        <v>1276</v>
      </c>
      <c r="D64" s="731" t="s">
        <v>34</v>
      </c>
      <c r="E64" s="731" t="s">
        <v>139</v>
      </c>
      <c r="F64" s="731" t="s">
        <v>140</v>
      </c>
      <c r="G64" s="743">
        <v>1861000</v>
      </c>
      <c r="H64" s="743"/>
      <c r="I64" s="775">
        <f t="shared" si="21"/>
        <v>91002.9</v>
      </c>
      <c r="J64" s="775">
        <f t="shared" si="22"/>
        <v>74440</v>
      </c>
      <c r="K64" s="775">
        <f t="shared" si="23"/>
        <v>37220</v>
      </c>
      <c r="L64" s="775">
        <f t="shared" si="24"/>
        <v>15000</v>
      </c>
      <c r="M64" s="295">
        <f t="shared" si="15"/>
        <v>2078662.9</v>
      </c>
      <c r="N64" s="776">
        <f t="shared" si="25"/>
        <v>166293.032</v>
      </c>
      <c r="O64" s="776">
        <v>1815000</v>
      </c>
      <c r="P64" s="776"/>
      <c r="Q64" s="776"/>
      <c r="R64" s="803">
        <f t="shared" si="26"/>
        <v>4059955.932</v>
      </c>
      <c r="S64" s="803">
        <f t="shared" si="27"/>
        <v>16629.3032</v>
      </c>
      <c r="T64" s="804">
        <f t="shared" si="28"/>
        <v>4076585.2352</v>
      </c>
      <c r="U64" s="814">
        <v>44348</v>
      </c>
      <c r="V64" s="806">
        <v>44439</v>
      </c>
      <c r="W64" s="808"/>
      <c r="X64" s="808"/>
      <c r="Y64" s="808"/>
    </row>
    <row r="65">
      <c r="A65" s="741" t="s">
        <v>24</v>
      </c>
      <c r="B65" s="1536" t="s">
        <v>1277</v>
      </c>
      <c r="C65" s="733" t="s">
        <v>1278</v>
      </c>
      <c r="D65" s="731" t="s">
        <v>34</v>
      </c>
      <c r="E65" s="731" t="s">
        <v>139</v>
      </c>
      <c r="F65" s="731" t="s">
        <v>140</v>
      </c>
      <c r="G65" s="743">
        <v>1861000</v>
      </c>
      <c r="H65" s="743"/>
      <c r="I65" s="775">
        <f t="shared" si="21"/>
        <v>91002.9</v>
      </c>
      <c r="J65" s="775">
        <f t="shared" si="22"/>
        <v>74440</v>
      </c>
      <c r="K65" s="775">
        <f t="shared" si="23"/>
        <v>37220</v>
      </c>
      <c r="L65" s="775">
        <f t="shared" si="24"/>
        <v>15000</v>
      </c>
      <c r="M65" s="295">
        <f t="shared" si="15"/>
        <v>2078662.9</v>
      </c>
      <c r="N65" s="776">
        <f t="shared" si="25"/>
        <v>166293.032</v>
      </c>
      <c r="O65" s="776">
        <v>1664000</v>
      </c>
      <c r="P65" s="776"/>
      <c r="Q65" s="776"/>
      <c r="R65" s="803">
        <f t="shared" si="26"/>
        <v>3908955.932</v>
      </c>
      <c r="S65" s="803">
        <f t="shared" si="27"/>
        <v>16629.3032</v>
      </c>
      <c r="T65" s="804">
        <f t="shared" si="28"/>
        <v>3925585.2352</v>
      </c>
      <c r="U65" s="814">
        <v>44348</v>
      </c>
      <c r="V65" s="806">
        <v>44439</v>
      </c>
      <c r="W65" s="808"/>
      <c r="X65" s="808"/>
      <c r="Y65" s="808"/>
    </row>
    <row r="66">
      <c r="A66" s="741" t="s">
        <v>24</v>
      </c>
      <c r="B66" s="732" t="s">
        <v>1279</v>
      </c>
      <c r="C66" s="733" t="s">
        <v>1280</v>
      </c>
      <c r="D66" s="731" t="s">
        <v>34</v>
      </c>
      <c r="E66" s="731" t="s">
        <v>139</v>
      </c>
      <c r="F66" s="731" t="s">
        <v>140</v>
      </c>
      <c r="G66" s="743">
        <v>1861000</v>
      </c>
      <c r="H66" s="743"/>
      <c r="I66" s="775">
        <f t="shared" si="21"/>
        <v>91002.9</v>
      </c>
      <c r="J66" s="775">
        <f t="shared" si="22"/>
        <v>74440</v>
      </c>
      <c r="K66" s="775">
        <f t="shared" si="23"/>
        <v>37220</v>
      </c>
      <c r="L66" s="775">
        <f t="shared" si="24"/>
        <v>15000</v>
      </c>
      <c r="M66" s="295">
        <f t="shared" si="15"/>
        <v>2078662.9</v>
      </c>
      <c r="N66" s="776">
        <f t="shared" si="25"/>
        <v>166293.032</v>
      </c>
      <c r="O66" s="776">
        <v>1646000</v>
      </c>
      <c r="P66" s="776"/>
      <c r="Q66" s="776"/>
      <c r="R66" s="803">
        <f t="shared" si="26"/>
        <v>3890955.932</v>
      </c>
      <c r="S66" s="803">
        <f t="shared" si="27"/>
        <v>16629.3032</v>
      </c>
      <c r="T66" s="804">
        <f t="shared" si="28"/>
        <v>3907585.2352</v>
      </c>
      <c r="U66" s="805">
        <v>44348</v>
      </c>
      <c r="V66" s="806">
        <v>44439</v>
      </c>
      <c r="W66" s="808"/>
      <c r="X66" s="808"/>
      <c r="Y66" s="808"/>
    </row>
    <row r="67">
      <c r="A67" s="741" t="s">
        <v>24</v>
      </c>
      <c r="B67" s="732" t="s">
        <v>545</v>
      </c>
      <c r="C67" s="733" t="s">
        <v>546</v>
      </c>
      <c r="D67" s="731" t="s">
        <v>34</v>
      </c>
      <c r="E67" s="741" t="s">
        <v>139</v>
      </c>
      <c r="F67" s="741" t="s">
        <v>140</v>
      </c>
      <c r="G67" s="743">
        <v>1861000</v>
      </c>
      <c r="H67" s="743"/>
      <c r="I67" s="775">
        <f t="shared" si="21"/>
        <v>91002.9</v>
      </c>
      <c r="J67" s="775">
        <f t="shared" si="22"/>
        <v>74440</v>
      </c>
      <c r="K67" s="775">
        <f t="shared" si="23"/>
        <v>37220</v>
      </c>
      <c r="L67" s="775">
        <f t="shared" si="24"/>
        <v>15000</v>
      </c>
      <c r="M67" s="295">
        <f t="shared" si="15"/>
        <v>2078662.9</v>
      </c>
      <c r="N67" s="776">
        <f t="shared" si="25"/>
        <v>166293.032</v>
      </c>
      <c r="O67" s="776">
        <v>1738000</v>
      </c>
      <c r="P67" s="776"/>
      <c r="Q67" s="776"/>
      <c r="R67" s="803">
        <f t="shared" si="26"/>
        <v>3982955.932</v>
      </c>
      <c r="S67" s="803">
        <f t="shared" si="27"/>
        <v>16629.3032</v>
      </c>
      <c r="T67" s="804">
        <f t="shared" si="28"/>
        <v>3999585.2352</v>
      </c>
      <c r="U67" s="805">
        <v>44348</v>
      </c>
      <c r="V67" s="806">
        <v>44439</v>
      </c>
      <c r="W67" s="808"/>
      <c r="X67" s="808"/>
      <c r="Y67" s="808"/>
    </row>
    <row r="68">
      <c r="A68" s="741" t="s">
        <v>24</v>
      </c>
      <c r="B68" s="1536" t="s">
        <v>1281</v>
      </c>
      <c r="C68" s="733" t="s">
        <v>1282</v>
      </c>
      <c r="D68" s="731" t="s">
        <v>34</v>
      </c>
      <c r="E68" s="741" t="s">
        <v>139</v>
      </c>
      <c r="F68" s="741" t="s">
        <v>140</v>
      </c>
      <c r="G68" s="743">
        <v>1861000</v>
      </c>
      <c r="H68" s="743"/>
      <c r="I68" s="775">
        <f t="shared" si="21"/>
        <v>91002.9</v>
      </c>
      <c r="J68" s="775">
        <f t="shared" si="22"/>
        <v>74440</v>
      </c>
      <c r="K68" s="775">
        <f t="shared" si="23"/>
        <v>37220</v>
      </c>
      <c r="L68" s="775">
        <f t="shared" si="24"/>
        <v>15000</v>
      </c>
      <c r="M68" s="295">
        <f t="shared" si="15"/>
        <v>2078662.9</v>
      </c>
      <c r="N68" s="776">
        <f t="shared" si="25"/>
        <v>166293.032</v>
      </c>
      <c r="O68" s="776">
        <v>1643000</v>
      </c>
      <c r="P68" s="776"/>
      <c r="Q68" s="776"/>
      <c r="R68" s="803">
        <f t="shared" si="26"/>
        <v>3887955.932</v>
      </c>
      <c r="S68" s="803">
        <f t="shared" si="27"/>
        <v>16629.3032</v>
      </c>
      <c r="T68" s="804">
        <f t="shared" si="28"/>
        <v>3904585.2352</v>
      </c>
      <c r="U68" s="805">
        <v>44348</v>
      </c>
      <c r="V68" s="806">
        <v>44439</v>
      </c>
      <c r="W68" s="808"/>
      <c r="X68" s="808"/>
      <c r="Y68" s="808"/>
    </row>
    <row r="69">
      <c r="A69" s="741" t="s">
        <v>24</v>
      </c>
      <c r="B69" s="732" t="s">
        <v>523</v>
      </c>
      <c r="C69" s="733" t="s">
        <v>280</v>
      </c>
      <c r="D69" s="731" t="s">
        <v>34</v>
      </c>
      <c r="E69" s="741" t="s">
        <v>139</v>
      </c>
      <c r="F69" s="741" t="s">
        <v>140</v>
      </c>
      <c r="G69" s="743">
        <v>1861000</v>
      </c>
      <c r="H69" s="743"/>
      <c r="I69" s="775">
        <f t="shared" si="21"/>
        <v>91002.9</v>
      </c>
      <c r="J69" s="775">
        <f t="shared" si="22"/>
        <v>74440</v>
      </c>
      <c r="K69" s="775">
        <f t="shared" si="23"/>
        <v>37220</v>
      </c>
      <c r="L69" s="775">
        <f t="shared" si="24"/>
        <v>15000</v>
      </c>
      <c r="M69" s="295">
        <f t="shared" si="15"/>
        <v>2078662.9</v>
      </c>
      <c r="N69" s="776">
        <f t="shared" si="25"/>
        <v>166293.032</v>
      </c>
      <c r="O69" s="776">
        <v>1697000</v>
      </c>
      <c r="P69" s="776"/>
      <c r="Q69" s="776"/>
      <c r="R69" s="803">
        <f t="shared" si="26"/>
        <v>3941955.932</v>
      </c>
      <c r="S69" s="803">
        <f t="shared" si="27"/>
        <v>16629.3032</v>
      </c>
      <c r="T69" s="804">
        <f t="shared" si="28"/>
        <v>3958585.2352</v>
      </c>
      <c r="U69" s="805">
        <v>44348</v>
      </c>
      <c r="V69" s="806">
        <v>44439</v>
      </c>
      <c r="W69" s="808"/>
      <c r="X69" s="808"/>
      <c r="Y69" s="808"/>
    </row>
    <row r="70">
      <c r="A70" s="741" t="s">
        <v>24</v>
      </c>
      <c r="B70" s="1536" t="s">
        <v>1283</v>
      </c>
      <c r="C70" s="746" t="s">
        <v>1284</v>
      </c>
      <c r="D70" s="731" t="s">
        <v>34</v>
      </c>
      <c r="E70" s="741" t="s">
        <v>139</v>
      </c>
      <c r="F70" s="741" t="s">
        <v>140</v>
      </c>
      <c r="G70" s="743">
        <v>1861000</v>
      </c>
      <c r="H70" s="743"/>
      <c r="I70" s="775">
        <f t="shared" si="21"/>
        <v>91002.9</v>
      </c>
      <c r="J70" s="775">
        <f t="shared" si="22"/>
        <v>74440</v>
      </c>
      <c r="K70" s="775">
        <f t="shared" si="23"/>
        <v>37220</v>
      </c>
      <c r="L70" s="775">
        <f t="shared" si="24"/>
        <v>15000</v>
      </c>
      <c r="M70" s="295">
        <f t="shared" si="15"/>
        <v>2078662.9</v>
      </c>
      <c r="N70" s="776">
        <f t="shared" si="25"/>
        <v>166293.032</v>
      </c>
      <c r="O70" s="776">
        <v>1745000</v>
      </c>
      <c r="P70" s="776"/>
      <c r="Q70" s="776"/>
      <c r="R70" s="803">
        <f t="shared" si="26"/>
        <v>3989955.932</v>
      </c>
      <c r="S70" s="803">
        <f t="shared" si="27"/>
        <v>16629.3032</v>
      </c>
      <c r="T70" s="804">
        <f t="shared" si="28"/>
        <v>4006585.2352</v>
      </c>
      <c r="U70" s="805">
        <v>44348</v>
      </c>
      <c r="V70" s="806">
        <v>44439</v>
      </c>
      <c r="W70" s="808"/>
      <c r="X70" s="808"/>
      <c r="Y70" s="808"/>
    </row>
    <row r="71">
      <c r="A71" s="741" t="s">
        <v>24</v>
      </c>
      <c r="B71" s="1536" t="s">
        <v>1285</v>
      </c>
      <c r="C71" s="733" t="s">
        <v>1286</v>
      </c>
      <c r="D71" s="731" t="s">
        <v>34</v>
      </c>
      <c r="E71" s="741" t="s">
        <v>139</v>
      </c>
      <c r="F71" s="741" t="s">
        <v>140</v>
      </c>
      <c r="G71" s="743">
        <v>1861000</v>
      </c>
      <c r="H71" s="743"/>
      <c r="I71" s="775">
        <f t="shared" si="21"/>
        <v>91002.9</v>
      </c>
      <c r="J71" s="775">
        <f t="shared" si="22"/>
        <v>74440</v>
      </c>
      <c r="K71" s="775">
        <f t="shared" si="23"/>
        <v>37220</v>
      </c>
      <c r="L71" s="775">
        <f t="shared" si="24"/>
        <v>15000</v>
      </c>
      <c r="M71" s="295">
        <f t="shared" si="15"/>
        <v>2078662.9</v>
      </c>
      <c r="N71" s="776">
        <f t="shared" si="25"/>
        <v>166293.032</v>
      </c>
      <c r="O71" s="776">
        <v>1636000</v>
      </c>
      <c r="P71" s="776"/>
      <c r="Q71" s="776"/>
      <c r="R71" s="803">
        <f t="shared" si="26"/>
        <v>3880955.932</v>
      </c>
      <c r="S71" s="803">
        <f t="shared" si="27"/>
        <v>16629.3032</v>
      </c>
      <c r="T71" s="804">
        <f t="shared" si="28"/>
        <v>3897585.2352</v>
      </c>
      <c r="U71" s="805">
        <v>44348</v>
      </c>
      <c r="V71" s="806">
        <v>44439</v>
      </c>
      <c r="W71" s="808"/>
      <c r="X71" s="808"/>
      <c r="Y71" s="808"/>
    </row>
    <row r="72">
      <c r="A72" s="741" t="s">
        <v>24</v>
      </c>
      <c r="B72" s="732" t="s">
        <v>1287</v>
      </c>
      <c r="C72" s="733" t="s">
        <v>1288</v>
      </c>
      <c r="D72" s="731" t="s">
        <v>34</v>
      </c>
      <c r="E72" s="741" t="s">
        <v>139</v>
      </c>
      <c r="F72" s="741" t="s">
        <v>140</v>
      </c>
      <c r="G72" s="743">
        <v>1861000</v>
      </c>
      <c r="H72" s="743"/>
      <c r="I72" s="775">
        <f t="shared" si="21"/>
        <v>91002.9</v>
      </c>
      <c r="J72" s="775">
        <f t="shared" si="22"/>
        <v>74440</v>
      </c>
      <c r="K72" s="775">
        <f t="shared" si="23"/>
        <v>37220</v>
      </c>
      <c r="L72" s="775">
        <f t="shared" si="24"/>
        <v>15000</v>
      </c>
      <c r="M72" s="295">
        <f t="shared" si="15"/>
        <v>2078662.9</v>
      </c>
      <c r="N72" s="776">
        <f t="shared" si="25"/>
        <v>166293.032</v>
      </c>
      <c r="O72" s="776">
        <v>2005000</v>
      </c>
      <c r="P72" s="776"/>
      <c r="Q72" s="776"/>
      <c r="R72" s="803">
        <f t="shared" si="26"/>
        <v>4249955.932</v>
      </c>
      <c r="S72" s="803">
        <f t="shared" si="27"/>
        <v>16629.3032</v>
      </c>
      <c r="T72" s="804">
        <f t="shared" si="28"/>
        <v>4266585.2352</v>
      </c>
      <c r="U72" s="805">
        <v>44356</v>
      </c>
      <c r="V72" s="806">
        <v>44439</v>
      </c>
      <c r="W72" s="836"/>
      <c r="X72" s="808"/>
      <c r="Y72" s="808"/>
    </row>
    <row r="73">
      <c r="A73" s="741" t="s">
        <v>24</v>
      </c>
      <c r="B73" s="732" t="s">
        <v>543</v>
      </c>
      <c r="C73" s="733" t="s">
        <v>544</v>
      </c>
      <c r="D73" s="731" t="s">
        <v>34</v>
      </c>
      <c r="E73" s="741" t="s">
        <v>139</v>
      </c>
      <c r="F73" s="741" t="s">
        <v>140</v>
      </c>
      <c r="G73" s="743">
        <v>1861000</v>
      </c>
      <c r="H73" s="743"/>
      <c r="I73" s="775">
        <f t="shared" si="21"/>
        <v>91002.9</v>
      </c>
      <c r="J73" s="775">
        <f t="shared" si="22"/>
        <v>74440</v>
      </c>
      <c r="K73" s="775">
        <f t="shared" si="23"/>
        <v>37220</v>
      </c>
      <c r="L73" s="775">
        <f t="shared" si="24"/>
        <v>15000</v>
      </c>
      <c r="M73" s="295">
        <f t="shared" si="15"/>
        <v>2078662.9</v>
      </c>
      <c r="N73" s="776">
        <f t="shared" si="25"/>
        <v>166293.032</v>
      </c>
      <c r="O73" s="776">
        <v>1718000</v>
      </c>
      <c r="P73" s="776"/>
      <c r="Q73" s="776"/>
      <c r="R73" s="803">
        <f t="shared" si="26"/>
        <v>3962955.932</v>
      </c>
      <c r="S73" s="803">
        <f t="shared" si="27"/>
        <v>16629.3032</v>
      </c>
      <c r="T73" s="804">
        <f t="shared" si="28"/>
        <v>3979585.2352</v>
      </c>
      <c r="U73" s="816">
        <v>44348</v>
      </c>
      <c r="V73" s="806">
        <v>44439</v>
      </c>
      <c r="W73" s="808"/>
      <c r="X73" s="808"/>
      <c r="Y73" s="808"/>
    </row>
    <row r="74">
      <c r="A74" s="741" t="s">
        <v>24</v>
      </c>
      <c r="B74" s="732" t="s">
        <v>1289</v>
      </c>
      <c r="C74" s="749" t="s">
        <v>1290</v>
      </c>
      <c r="D74" s="731" t="s">
        <v>34</v>
      </c>
      <c r="E74" s="741" t="s">
        <v>139</v>
      </c>
      <c r="F74" s="741" t="s">
        <v>140</v>
      </c>
      <c r="G74" s="743">
        <v>1861000</v>
      </c>
      <c r="H74" s="743"/>
      <c r="I74" s="775">
        <f t="shared" si="21"/>
        <v>91002.9</v>
      </c>
      <c r="J74" s="775">
        <f t="shared" si="22"/>
        <v>74440</v>
      </c>
      <c r="K74" s="775">
        <f t="shared" si="23"/>
        <v>37220</v>
      </c>
      <c r="L74" s="775">
        <f t="shared" si="24"/>
        <v>15000</v>
      </c>
      <c r="M74" s="295">
        <f t="shared" si="15"/>
        <v>2078662.9</v>
      </c>
      <c r="N74" s="776">
        <f t="shared" si="25"/>
        <v>166293.032</v>
      </c>
      <c r="O74" s="776">
        <v>1375000</v>
      </c>
      <c r="P74" s="776"/>
      <c r="Q74" s="776"/>
      <c r="R74" s="803">
        <f t="shared" si="26"/>
        <v>3619955.932</v>
      </c>
      <c r="S74" s="803">
        <f t="shared" si="27"/>
        <v>16629.3032</v>
      </c>
      <c r="T74" s="804">
        <f t="shared" si="28"/>
        <v>3636585.2352</v>
      </c>
      <c r="U74" s="816">
        <v>44348</v>
      </c>
      <c r="V74" s="806">
        <v>44439</v>
      </c>
      <c r="W74" s="808"/>
      <c r="X74" s="808"/>
      <c r="Y74" s="808"/>
    </row>
    <row r="75">
      <c r="A75" s="741" t="s">
        <v>24</v>
      </c>
      <c r="B75" s="732" t="s">
        <v>524</v>
      </c>
      <c r="C75" s="749" t="s">
        <v>525</v>
      </c>
      <c r="D75" s="731" t="s">
        <v>34</v>
      </c>
      <c r="E75" s="741" t="s">
        <v>139</v>
      </c>
      <c r="F75" s="741" t="s">
        <v>140</v>
      </c>
      <c r="G75" s="743">
        <v>1861000</v>
      </c>
      <c r="H75" s="743"/>
      <c r="I75" s="775">
        <f t="shared" si="21"/>
        <v>91002.9</v>
      </c>
      <c r="J75" s="775">
        <f t="shared" si="22"/>
        <v>74440</v>
      </c>
      <c r="K75" s="775">
        <f t="shared" si="23"/>
        <v>37220</v>
      </c>
      <c r="L75" s="775">
        <f t="shared" si="24"/>
        <v>15000</v>
      </c>
      <c r="M75" s="295">
        <f t="shared" si="15"/>
        <v>2078662.9</v>
      </c>
      <c r="N75" s="776">
        <f t="shared" si="25"/>
        <v>166293.032</v>
      </c>
      <c r="O75" s="776">
        <v>1557000</v>
      </c>
      <c r="P75" s="776"/>
      <c r="Q75" s="776"/>
      <c r="R75" s="803">
        <f t="shared" si="26"/>
        <v>3801955.932</v>
      </c>
      <c r="S75" s="803">
        <f t="shared" si="27"/>
        <v>16629.3032</v>
      </c>
      <c r="T75" s="804">
        <f t="shared" si="28"/>
        <v>3818585.2352</v>
      </c>
      <c r="U75" s="814">
        <v>44348</v>
      </c>
      <c r="V75" s="806">
        <v>44439</v>
      </c>
      <c r="W75" s="808"/>
      <c r="X75" s="808"/>
      <c r="Y75" s="808"/>
    </row>
    <row r="76">
      <c r="A76" s="741" t="s">
        <v>24</v>
      </c>
      <c r="B76" s="1536" t="s">
        <v>1291</v>
      </c>
      <c r="C76" s="747" t="s">
        <v>1292</v>
      </c>
      <c r="D76" s="731" t="s">
        <v>34</v>
      </c>
      <c r="E76" s="741" t="s">
        <v>139</v>
      </c>
      <c r="F76" s="741" t="s">
        <v>140</v>
      </c>
      <c r="G76" s="743">
        <v>1861000</v>
      </c>
      <c r="H76" s="743">
        <v>-74440</v>
      </c>
      <c r="I76" s="775">
        <f t="shared" si="21"/>
        <v>91002.9</v>
      </c>
      <c r="J76" s="775">
        <f t="shared" si="22"/>
        <v>74440</v>
      </c>
      <c r="K76" s="775">
        <f t="shared" si="23"/>
        <v>37220</v>
      </c>
      <c r="L76" s="775">
        <f t="shared" si="24"/>
        <v>15000</v>
      </c>
      <c r="M76" s="295">
        <f t="shared" si="15"/>
        <v>2004222.9</v>
      </c>
      <c r="N76" s="776">
        <f t="shared" si="25"/>
        <v>160337.832</v>
      </c>
      <c r="O76" s="776">
        <v>1490000</v>
      </c>
      <c r="P76" s="776"/>
      <c r="Q76" s="776"/>
      <c r="R76" s="803">
        <f t="shared" si="26"/>
        <v>3654560.732</v>
      </c>
      <c r="S76" s="803">
        <f t="shared" si="27"/>
        <v>16033.7832</v>
      </c>
      <c r="T76" s="804">
        <f t="shared" si="28"/>
        <v>3670594.5152</v>
      </c>
      <c r="U76" s="816">
        <v>44348</v>
      </c>
      <c r="V76" s="806">
        <v>44439</v>
      </c>
      <c r="W76" s="808"/>
      <c r="X76" s="808"/>
      <c r="Y76" s="808"/>
    </row>
    <row r="77">
      <c r="A77" s="741" t="s">
        <v>24</v>
      </c>
      <c r="B77" s="1536" t="s">
        <v>1293</v>
      </c>
      <c r="C77" s="749" t="s">
        <v>1294</v>
      </c>
      <c r="D77" s="731" t="s">
        <v>34</v>
      </c>
      <c r="E77" s="741" t="s">
        <v>139</v>
      </c>
      <c r="F77" s="741" t="s">
        <v>140</v>
      </c>
      <c r="G77" s="743">
        <v>1861000</v>
      </c>
      <c r="H77" s="743"/>
      <c r="I77" s="775">
        <f t="shared" si="21"/>
        <v>91002.9</v>
      </c>
      <c r="J77" s="775">
        <f t="shared" si="22"/>
        <v>74440</v>
      </c>
      <c r="K77" s="775">
        <f t="shared" si="23"/>
        <v>37220</v>
      </c>
      <c r="L77" s="775">
        <f t="shared" si="24"/>
        <v>15000</v>
      </c>
      <c r="M77" s="295">
        <f t="shared" si="15"/>
        <v>2078662.9</v>
      </c>
      <c r="N77" s="776">
        <f t="shared" si="25"/>
        <v>166293.032</v>
      </c>
      <c r="O77" s="776">
        <v>1837000</v>
      </c>
      <c r="P77" s="776"/>
      <c r="Q77" s="776"/>
      <c r="R77" s="803">
        <f t="shared" si="26"/>
        <v>4081955.932</v>
      </c>
      <c r="S77" s="803">
        <f t="shared" si="27"/>
        <v>16629.3032</v>
      </c>
      <c r="T77" s="804">
        <f t="shared" si="28"/>
        <v>4098585.2352</v>
      </c>
      <c r="U77" s="816">
        <v>44348</v>
      </c>
      <c r="V77" s="806">
        <v>44439</v>
      </c>
      <c r="W77" s="808"/>
      <c r="X77" s="808"/>
      <c r="Y77" s="808"/>
    </row>
    <row r="78">
      <c r="A78" s="741" t="s">
        <v>24</v>
      </c>
      <c r="B78" s="1536" t="s">
        <v>1295</v>
      </c>
      <c r="C78" s="747" t="s">
        <v>1296</v>
      </c>
      <c r="D78" s="731" t="s">
        <v>34</v>
      </c>
      <c r="E78" s="741" t="s">
        <v>139</v>
      </c>
      <c r="F78" s="741" t="s">
        <v>140</v>
      </c>
      <c r="G78" s="743">
        <v>1861000</v>
      </c>
      <c r="H78" s="743"/>
      <c r="I78" s="775">
        <f t="shared" si="21"/>
        <v>91002.9</v>
      </c>
      <c r="J78" s="775">
        <f t="shared" si="22"/>
        <v>74440</v>
      </c>
      <c r="K78" s="775">
        <f t="shared" si="23"/>
        <v>37220</v>
      </c>
      <c r="L78" s="775">
        <f t="shared" si="24"/>
        <v>15000</v>
      </c>
      <c r="M78" s="295">
        <f t="shared" si="15"/>
        <v>2078662.9</v>
      </c>
      <c r="N78" s="776">
        <f t="shared" si="25"/>
        <v>166293.032</v>
      </c>
      <c r="O78" s="776">
        <v>2172000</v>
      </c>
      <c r="P78" s="776"/>
      <c r="Q78" s="776"/>
      <c r="R78" s="803">
        <f t="shared" si="26"/>
        <v>4416955.932</v>
      </c>
      <c r="S78" s="803">
        <f t="shared" si="27"/>
        <v>16629.3032</v>
      </c>
      <c r="T78" s="804">
        <f t="shared" si="28"/>
        <v>4433585.2352</v>
      </c>
      <c r="U78" s="816">
        <v>44348</v>
      </c>
      <c r="V78" s="806">
        <v>44439</v>
      </c>
      <c r="W78" s="808"/>
      <c r="X78" s="808"/>
      <c r="Y78" s="808"/>
    </row>
    <row r="79">
      <c r="A79" s="741" t="s">
        <v>24</v>
      </c>
      <c r="B79" s="732" t="s">
        <v>1297</v>
      </c>
      <c r="C79" s="749" t="s">
        <v>1298</v>
      </c>
      <c r="D79" s="731" t="s">
        <v>34</v>
      </c>
      <c r="E79" s="741" t="s">
        <v>139</v>
      </c>
      <c r="F79" s="741" t="s">
        <v>140</v>
      </c>
      <c r="G79" s="743">
        <v>1861000</v>
      </c>
      <c r="H79" s="743"/>
      <c r="I79" s="775">
        <f t="shared" si="21"/>
        <v>91002.9</v>
      </c>
      <c r="J79" s="775">
        <f t="shared" si="22"/>
        <v>74440</v>
      </c>
      <c r="K79" s="775">
        <f t="shared" si="23"/>
        <v>37220</v>
      </c>
      <c r="L79" s="775">
        <f t="shared" si="24"/>
        <v>15000</v>
      </c>
      <c r="M79" s="295">
        <f t="shared" si="15"/>
        <v>2078662.9</v>
      </c>
      <c r="N79" s="776">
        <f t="shared" si="25"/>
        <v>166293.032</v>
      </c>
      <c r="O79" s="776">
        <v>1744000</v>
      </c>
      <c r="P79" s="776"/>
      <c r="Q79" s="776"/>
      <c r="R79" s="803">
        <f t="shared" si="26"/>
        <v>3988955.932</v>
      </c>
      <c r="S79" s="803">
        <f t="shared" si="27"/>
        <v>16629.3032</v>
      </c>
      <c r="T79" s="804">
        <f t="shared" si="28"/>
        <v>4005585.2352</v>
      </c>
      <c r="U79" s="816">
        <v>44348</v>
      </c>
      <c r="V79" s="806">
        <v>44439</v>
      </c>
      <c r="W79" s="808"/>
      <c r="X79" s="808"/>
      <c r="Y79" s="808"/>
    </row>
    <row r="80">
      <c r="A80" s="741" t="s">
        <v>24</v>
      </c>
      <c r="B80" s="1536" t="s">
        <v>1299</v>
      </c>
      <c r="C80" s="749" t="s">
        <v>1300</v>
      </c>
      <c r="D80" s="731" t="s">
        <v>34</v>
      </c>
      <c r="E80" s="741" t="s">
        <v>139</v>
      </c>
      <c r="F80" s="741" t="s">
        <v>140</v>
      </c>
      <c r="G80" s="743">
        <v>1861000</v>
      </c>
      <c r="H80" s="743"/>
      <c r="I80" s="775">
        <f t="shared" si="21"/>
        <v>91002.9</v>
      </c>
      <c r="J80" s="775">
        <f t="shared" si="22"/>
        <v>74440</v>
      </c>
      <c r="K80" s="775">
        <f t="shared" si="23"/>
        <v>37220</v>
      </c>
      <c r="L80" s="775">
        <f t="shared" si="24"/>
        <v>15000</v>
      </c>
      <c r="M80" s="295">
        <f t="shared" si="15"/>
        <v>2078662.9</v>
      </c>
      <c r="N80" s="776">
        <f t="shared" si="25"/>
        <v>166293.032</v>
      </c>
      <c r="O80" s="776">
        <v>1495000</v>
      </c>
      <c r="P80" s="776"/>
      <c r="Q80" s="776"/>
      <c r="R80" s="803">
        <f t="shared" si="26"/>
        <v>3739955.932</v>
      </c>
      <c r="S80" s="803">
        <f t="shared" si="27"/>
        <v>16629.3032</v>
      </c>
      <c r="T80" s="804">
        <f t="shared" si="28"/>
        <v>3756585.2352</v>
      </c>
      <c r="U80" s="816">
        <v>44348</v>
      </c>
      <c r="V80" s="806">
        <v>44439</v>
      </c>
      <c r="W80" s="808"/>
      <c r="X80" s="808"/>
      <c r="Y80" s="808"/>
    </row>
    <row r="81">
      <c r="A81" s="741" t="s">
        <v>24</v>
      </c>
      <c r="B81" s="732" t="s">
        <v>1301</v>
      </c>
      <c r="C81" s="749" t="s">
        <v>1302</v>
      </c>
      <c r="D81" s="731" t="s">
        <v>34</v>
      </c>
      <c r="E81" s="741" t="s">
        <v>139</v>
      </c>
      <c r="F81" s="741" t="s">
        <v>140</v>
      </c>
      <c r="G81" s="743">
        <v>1861000</v>
      </c>
      <c r="H81" s="743">
        <v>-74440</v>
      </c>
      <c r="I81" s="775">
        <f t="shared" si="21"/>
        <v>91002.9</v>
      </c>
      <c r="J81" s="775">
        <f t="shared" si="22"/>
        <v>74440</v>
      </c>
      <c r="K81" s="775">
        <f t="shared" si="23"/>
        <v>37220</v>
      </c>
      <c r="L81" s="775">
        <f t="shared" si="24"/>
        <v>15000</v>
      </c>
      <c r="M81" s="295">
        <f t="shared" si="15"/>
        <v>2004222.9</v>
      </c>
      <c r="N81" s="776">
        <f t="shared" si="25"/>
        <v>160337.832</v>
      </c>
      <c r="O81" s="776">
        <v>1610000</v>
      </c>
      <c r="P81" s="776"/>
      <c r="Q81" s="776"/>
      <c r="R81" s="803">
        <f t="shared" si="26"/>
        <v>3774560.732</v>
      </c>
      <c r="S81" s="803">
        <f t="shared" si="27"/>
        <v>16033.7832</v>
      </c>
      <c r="T81" s="804">
        <f t="shared" si="28"/>
        <v>3790594.5152</v>
      </c>
      <c r="U81" s="816">
        <v>44348</v>
      </c>
      <c r="V81" s="806">
        <v>44439</v>
      </c>
      <c r="W81" s="808"/>
      <c r="X81" s="808"/>
      <c r="Y81" s="808"/>
    </row>
    <row r="82">
      <c r="A82" s="741" t="s">
        <v>24</v>
      </c>
      <c r="B82" s="1536" t="s">
        <v>1303</v>
      </c>
      <c r="C82" s="747" t="s">
        <v>1304</v>
      </c>
      <c r="D82" s="731" t="s">
        <v>34</v>
      </c>
      <c r="E82" s="741" t="s">
        <v>139</v>
      </c>
      <c r="F82" s="741" t="s">
        <v>140</v>
      </c>
      <c r="G82" s="743">
        <v>1861000</v>
      </c>
      <c r="H82" s="743"/>
      <c r="I82" s="775">
        <f t="shared" si="21"/>
        <v>91002.9</v>
      </c>
      <c r="J82" s="775">
        <f t="shared" si="22"/>
        <v>74440</v>
      </c>
      <c r="K82" s="775">
        <f t="shared" si="23"/>
        <v>37220</v>
      </c>
      <c r="L82" s="775">
        <f t="shared" si="24"/>
        <v>15000</v>
      </c>
      <c r="M82" s="295">
        <f t="shared" si="15"/>
        <v>2078662.9</v>
      </c>
      <c r="N82" s="776">
        <f t="shared" si="25"/>
        <v>166293.032</v>
      </c>
      <c r="O82" s="776">
        <v>1756000</v>
      </c>
      <c r="P82" s="776"/>
      <c r="Q82" s="776"/>
      <c r="R82" s="803">
        <f t="shared" si="26"/>
        <v>4000955.932</v>
      </c>
      <c r="S82" s="803">
        <f t="shared" si="27"/>
        <v>16629.3032</v>
      </c>
      <c r="T82" s="804">
        <f t="shared" si="28"/>
        <v>4017585.2352</v>
      </c>
      <c r="U82" s="816">
        <v>44348</v>
      </c>
      <c r="V82" s="806">
        <v>44439</v>
      </c>
      <c r="W82" s="808"/>
      <c r="X82" s="808"/>
      <c r="Y82" s="808"/>
    </row>
    <row r="83">
      <c r="A83" s="741" t="s">
        <v>24</v>
      </c>
      <c r="B83" s="1536" t="s">
        <v>1305</v>
      </c>
      <c r="C83" s="749" t="s">
        <v>357</v>
      </c>
      <c r="D83" s="731" t="s">
        <v>34</v>
      </c>
      <c r="E83" s="741" t="s">
        <v>139</v>
      </c>
      <c r="F83" s="741" t="s">
        <v>140</v>
      </c>
      <c r="G83" s="743">
        <v>1861000</v>
      </c>
      <c r="H83" s="743">
        <v>-521080</v>
      </c>
      <c r="I83" s="775">
        <f t="shared" si="21"/>
        <v>91002.9</v>
      </c>
      <c r="J83" s="775">
        <f t="shared" si="22"/>
        <v>74440</v>
      </c>
      <c r="K83" s="775">
        <f t="shared" si="23"/>
        <v>37220</v>
      </c>
      <c r="L83" s="775">
        <f t="shared" si="24"/>
        <v>15000</v>
      </c>
      <c r="M83" s="295">
        <f t="shared" si="15"/>
        <v>1557582.9</v>
      </c>
      <c r="N83" s="776">
        <f t="shared" si="25"/>
        <v>124606.632</v>
      </c>
      <c r="O83" s="776">
        <v>1138000</v>
      </c>
      <c r="P83" s="776"/>
      <c r="Q83" s="776"/>
      <c r="R83" s="803">
        <f t="shared" si="26"/>
        <v>2820189.532</v>
      </c>
      <c r="S83" s="803">
        <f t="shared" si="27"/>
        <v>12460.6632</v>
      </c>
      <c r="T83" s="804">
        <f t="shared" si="28"/>
        <v>2832650.1952</v>
      </c>
      <c r="U83" s="816">
        <v>44348</v>
      </c>
      <c r="V83" s="806">
        <v>44439</v>
      </c>
      <c r="W83" s="808"/>
      <c r="X83" s="808"/>
      <c r="Y83" s="808"/>
    </row>
    <row r="84">
      <c r="A84" s="741" t="s">
        <v>24</v>
      </c>
      <c r="B84" s="1536" t="s">
        <v>1306</v>
      </c>
      <c r="C84" s="749" t="s">
        <v>1307</v>
      </c>
      <c r="D84" s="731" t="s">
        <v>34</v>
      </c>
      <c r="E84" s="741" t="s">
        <v>139</v>
      </c>
      <c r="F84" s="741" t="s">
        <v>140</v>
      </c>
      <c r="G84" s="743">
        <v>1861000</v>
      </c>
      <c r="H84" s="743"/>
      <c r="I84" s="775">
        <f t="shared" si="21"/>
        <v>91002.9</v>
      </c>
      <c r="J84" s="775">
        <f t="shared" si="22"/>
        <v>74440</v>
      </c>
      <c r="K84" s="775">
        <f t="shared" si="23"/>
        <v>37220</v>
      </c>
      <c r="L84" s="775">
        <f t="shared" si="24"/>
        <v>15000</v>
      </c>
      <c r="M84" s="295">
        <f t="shared" si="15"/>
        <v>2078662.9</v>
      </c>
      <c r="N84" s="776">
        <f t="shared" si="25"/>
        <v>166293.032</v>
      </c>
      <c r="O84" s="776">
        <v>2056000</v>
      </c>
      <c r="P84" s="776"/>
      <c r="Q84" s="776"/>
      <c r="R84" s="803">
        <f t="shared" si="26"/>
        <v>4300955.932</v>
      </c>
      <c r="S84" s="803">
        <f t="shared" si="27"/>
        <v>16629.3032</v>
      </c>
      <c r="T84" s="804">
        <f t="shared" si="28"/>
        <v>4317585.2352</v>
      </c>
      <c r="U84" s="814">
        <v>44348</v>
      </c>
      <c r="V84" s="806">
        <v>44439</v>
      </c>
      <c r="W84" s="808"/>
      <c r="X84" s="808"/>
      <c r="Y84" s="808"/>
    </row>
    <row r="85">
      <c r="A85" s="741" t="s">
        <v>24</v>
      </c>
      <c r="B85" s="1536" t="s">
        <v>1308</v>
      </c>
      <c r="C85" s="747" t="s">
        <v>1309</v>
      </c>
      <c r="D85" s="731" t="s">
        <v>34</v>
      </c>
      <c r="E85" s="741" t="s">
        <v>139</v>
      </c>
      <c r="F85" s="741" t="s">
        <v>140</v>
      </c>
      <c r="G85" s="743">
        <v>1861000</v>
      </c>
      <c r="H85" s="743"/>
      <c r="I85" s="775">
        <f t="shared" si="21"/>
        <v>91002.9</v>
      </c>
      <c r="J85" s="775">
        <f t="shared" si="22"/>
        <v>74440</v>
      </c>
      <c r="K85" s="775">
        <f t="shared" si="23"/>
        <v>37220</v>
      </c>
      <c r="L85" s="775">
        <f t="shared" si="24"/>
        <v>15000</v>
      </c>
      <c r="M85" s="295">
        <f t="shared" si="15"/>
        <v>2078662.9</v>
      </c>
      <c r="N85" s="776">
        <f t="shared" si="25"/>
        <v>166293.032</v>
      </c>
      <c r="O85" s="776">
        <v>1629000</v>
      </c>
      <c r="P85" s="776"/>
      <c r="Q85" s="776"/>
      <c r="R85" s="803">
        <f t="shared" si="26"/>
        <v>3873955.932</v>
      </c>
      <c r="S85" s="803">
        <f t="shared" si="27"/>
        <v>16629.3032</v>
      </c>
      <c r="T85" s="804">
        <f t="shared" si="28"/>
        <v>3890585.2352</v>
      </c>
      <c r="U85" s="816">
        <v>44348</v>
      </c>
      <c r="V85" s="806">
        <v>44439</v>
      </c>
      <c r="W85" s="808"/>
      <c r="X85" s="808"/>
      <c r="Y85" s="808"/>
    </row>
    <row r="86">
      <c r="A86" s="741" t="s">
        <v>24</v>
      </c>
      <c r="B86" s="732" t="s">
        <v>1310</v>
      </c>
      <c r="C86" s="749" t="s">
        <v>1311</v>
      </c>
      <c r="D86" s="731" t="s">
        <v>34</v>
      </c>
      <c r="E86" s="741" t="s">
        <v>139</v>
      </c>
      <c r="F86" s="741" t="s">
        <v>140</v>
      </c>
      <c r="G86" s="743">
        <v>1861000</v>
      </c>
      <c r="H86" s="743"/>
      <c r="I86" s="775">
        <f t="shared" si="21"/>
        <v>91002.9</v>
      </c>
      <c r="J86" s="775">
        <f t="shared" si="22"/>
        <v>74440</v>
      </c>
      <c r="K86" s="775">
        <f t="shared" si="23"/>
        <v>37220</v>
      </c>
      <c r="L86" s="775">
        <f t="shared" si="24"/>
        <v>15000</v>
      </c>
      <c r="M86" s="295">
        <f t="shared" si="15"/>
        <v>2078662.9</v>
      </c>
      <c r="N86" s="776">
        <f t="shared" si="25"/>
        <v>166293.032</v>
      </c>
      <c r="O86" s="776">
        <v>1199000</v>
      </c>
      <c r="P86" s="776"/>
      <c r="Q86" s="776"/>
      <c r="R86" s="803">
        <f t="shared" si="26"/>
        <v>3443955.932</v>
      </c>
      <c r="S86" s="803">
        <f t="shared" si="27"/>
        <v>16629.3032</v>
      </c>
      <c r="T86" s="804">
        <f t="shared" si="28"/>
        <v>3460585.2352</v>
      </c>
      <c r="U86" s="816">
        <v>44409</v>
      </c>
      <c r="V86" s="806">
        <v>44500</v>
      </c>
      <c r="W86" s="836"/>
      <c r="X86" s="808"/>
      <c r="Y86" s="808"/>
    </row>
    <row r="87">
      <c r="A87" s="741" t="s">
        <v>24</v>
      </c>
      <c r="B87" s="1536" t="s">
        <v>1312</v>
      </c>
      <c r="C87" s="749" t="s">
        <v>1313</v>
      </c>
      <c r="D87" s="731" t="s">
        <v>34</v>
      </c>
      <c r="E87" s="741" t="s">
        <v>139</v>
      </c>
      <c r="F87" s="741" t="s">
        <v>140</v>
      </c>
      <c r="G87" s="743">
        <v>1861000</v>
      </c>
      <c r="H87" s="743"/>
      <c r="I87" s="775">
        <f t="shared" si="21"/>
        <v>91002.9</v>
      </c>
      <c r="J87" s="775">
        <f t="shared" si="22"/>
        <v>74440</v>
      </c>
      <c r="K87" s="775">
        <f t="shared" si="23"/>
        <v>37220</v>
      </c>
      <c r="L87" s="775">
        <f t="shared" si="24"/>
        <v>15000</v>
      </c>
      <c r="M87" s="295">
        <f t="shared" si="15"/>
        <v>2078662.9</v>
      </c>
      <c r="N87" s="776">
        <f t="shared" si="25"/>
        <v>166293.032</v>
      </c>
      <c r="O87" s="776">
        <v>1739000</v>
      </c>
      <c r="P87" s="776"/>
      <c r="Q87" s="776"/>
      <c r="R87" s="803">
        <f t="shared" si="26"/>
        <v>3983955.932</v>
      </c>
      <c r="S87" s="803">
        <f t="shared" si="27"/>
        <v>16629.3032</v>
      </c>
      <c r="T87" s="804">
        <f t="shared" si="28"/>
        <v>4000585.2352</v>
      </c>
      <c r="U87" s="816">
        <v>44348</v>
      </c>
      <c r="V87" s="806">
        <v>44439</v>
      </c>
      <c r="W87" s="808"/>
      <c r="X87" s="808"/>
      <c r="Y87" s="808"/>
    </row>
    <row r="88">
      <c r="A88" s="741" t="s">
        <v>24</v>
      </c>
      <c r="B88" s="732" t="s">
        <v>1314</v>
      </c>
      <c r="C88" s="749" t="s">
        <v>1315</v>
      </c>
      <c r="D88" s="731" t="s">
        <v>34</v>
      </c>
      <c r="E88" s="741" t="s">
        <v>139</v>
      </c>
      <c r="F88" s="741" t="s">
        <v>140</v>
      </c>
      <c r="G88" s="743">
        <v>1861000</v>
      </c>
      <c r="H88" s="743"/>
      <c r="I88" s="775">
        <f t="shared" si="21"/>
        <v>91002.9</v>
      </c>
      <c r="J88" s="775">
        <f t="shared" si="22"/>
        <v>74440</v>
      </c>
      <c r="K88" s="775">
        <f t="shared" si="23"/>
        <v>37220</v>
      </c>
      <c r="L88" s="775">
        <f t="shared" si="24"/>
        <v>15000</v>
      </c>
      <c r="M88" s="295">
        <f t="shared" si="15"/>
        <v>2078662.9</v>
      </c>
      <c r="N88" s="776">
        <f t="shared" si="25"/>
        <v>166293.032</v>
      </c>
      <c r="O88" s="776">
        <v>1558000</v>
      </c>
      <c r="P88" s="776"/>
      <c r="Q88" s="776"/>
      <c r="R88" s="803">
        <f t="shared" si="26"/>
        <v>3802955.932</v>
      </c>
      <c r="S88" s="803">
        <f t="shared" si="27"/>
        <v>16629.3032</v>
      </c>
      <c r="T88" s="804">
        <f t="shared" si="28"/>
        <v>3819585.2352</v>
      </c>
      <c r="U88" s="816">
        <v>44409</v>
      </c>
      <c r="V88" s="806">
        <v>44500</v>
      </c>
      <c r="W88" s="836"/>
      <c r="X88" s="808"/>
      <c r="Y88" s="808"/>
    </row>
    <row r="89">
      <c r="A89" s="741" t="s">
        <v>24</v>
      </c>
      <c r="B89" s="732" t="s">
        <v>1316</v>
      </c>
      <c r="C89" s="749" t="s">
        <v>1317</v>
      </c>
      <c r="D89" s="731" t="s">
        <v>34</v>
      </c>
      <c r="E89" s="741" t="s">
        <v>139</v>
      </c>
      <c r="F89" s="741" t="s">
        <v>140</v>
      </c>
      <c r="G89" s="743">
        <v>1861000</v>
      </c>
      <c r="H89" s="743"/>
      <c r="I89" s="775">
        <f t="shared" si="21"/>
        <v>91002.9</v>
      </c>
      <c r="J89" s="775">
        <f t="shared" si="22"/>
        <v>74440</v>
      </c>
      <c r="K89" s="775">
        <f t="shared" si="23"/>
        <v>37220</v>
      </c>
      <c r="L89" s="775">
        <f t="shared" si="24"/>
        <v>15000</v>
      </c>
      <c r="M89" s="295">
        <f t="shared" si="15"/>
        <v>2078662.9</v>
      </c>
      <c r="N89" s="776">
        <f t="shared" si="25"/>
        <v>166293.032</v>
      </c>
      <c r="O89" s="776">
        <v>1723000</v>
      </c>
      <c r="P89" s="776"/>
      <c r="Q89" s="776"/>
      <c r="R89" s="803">
        <f t="shared" si="26"/>
        <v>3967955.932</v>
      </c>
      <c r="S89" s="803">
        <f t="shared" si="27"/>
        <v>16629.3032</v>
      </c>
      <c r="T89" s="804">
        <f t="shared" si="28"/>
        <v>3984585.2352</v>
      </c>
      <c r="U89" s="816">
        <v>44348</v>
      </c>
      <c r="V89" s="806">
        <v>44439</v>
      </c>
      <c r="W89" s="808"/>
      <c r="X89" s="808"/>
      <c r="Y89" s="808"/>
    </row>
    <row r="90">
      <c r="A90" s="741" t="s">
        <v>24</v>
      </c>
      <c r="B90" s="732" t="s">
        <v>1318</v>
      </c>
      <c r="C90" s="749" t="s">
        <v>1319</v>
      </c>
      <c r="D90" s="731" t="s">
        <v>34</v>
      </c>
      <c r="E90" s="741" t="s">
        <v>139</v>
      </c>
      <c r="F90" s="741" t="s">
        <v>140</v>
      </c>
      <c r="G90" s="743">
        <v>1861000</v>
      </c>
      <c r="H90" s="743"/>
      <c r="I90" s="775">
        <f t="shared" si="21"/>
        <v>91002.9</v>
      </c>
      <c r="J90" s="775">
        <f t="shared" si="22"/>
        <v>74440</v>
      </c>
      <c r="K90" s="775">
        <f t="shared" si="23"/>
        <v>37220</v>
      </c>
      <c r="L90" s="775">
        <f t="shared" si="24"/>
        <v>15000</v>
      </c>
      <c r="M90" s="295">
        <f t="shared" si="15"/>
        <v>2078662.9</v>
      </c>
      <c r="N90" s="776">
        <f t="shared" si="25"/>
        <v>166293.032</v>
      </c>
      <c r="O90" s="776">
        <v>1602000</v>
      </c>
      <c r="P90" s="776"/>
      <c r="Q90" s="776"/>
      <c r="R90" s="803">
        <f t="shared" si="26"/>
        <v>3846955.932</v>
      </c>
      <c r="S90" s="803">
        <f t="shared" si="27"/>
        <v>16629.3032</v>
      </c>
      <c r="T90" s="804">
        <f t="shared" si="28"/>
        <v>3863585.2352</v>
      </c>
      <c r="U90" s="816">
        <v>44355</v>
      </c>
      <c r="V90" s="806">
        <v>44439</v>
      </c>
      <c r="W90" s="836"/>
      <c r="X90" s="808"/>
      <c r="Y90" s="808"/>
    </row>
    <row r="91">
      <c r="A91" s="741" t="s">
        <v>24</v>
      </c>
      <c r="B91" s="732" t="s">
        <v>535</v>
      </c>
      <c r="C91" s="749" t="s">
        <v>536</v>
      </c>
      <c r="D91" s="731" t="s">
        <v>34</v>
      </c>
      <c r="E91" s="741" t="s">
        <v>139</v>
      </c>
      <c r="F91" s="741" t="s">
        <v>140</v>
      </c>
      <c r="G91" s="743">
        <v>1861000</v>
      </c>
      <c r="H91" s="743"/>
      <c r="I91" s="775">
        <f t="shared" si="21"/>
        <v>91002.9</v>
      </c>
      <c r="J91" s="775">
        <f t="shared" si="22"/>
        <v>74440</v>
      </c>
      <c r="K91" s="775">
        <f t="shared" si="23"/>
        <v>37220</v>
      </c>
      <c r="L91" s="775">
        <f t="shared" si="24"/>
        <v>15000</v>
      </c>
      <c r="M91" s="295">
        <f t="shared" si="15"/>
        <v>2078662.9</v>
      </c>
      <c r="N91" s="776">
        <f t="shared" si="25"/>
        <v>166293.032</v>
      </c>
      <c r="O91" s="776">
        <v>1755000</v>
      </c>
      <c r="P91" s="776"/>
      <c r="Q91" s="776"/>
      <c r="R91" s="803">
        <f t="shared" si="26"/>
        <v>3999955.932</v>
      </c>
      <c r="S91" s="803">
        <f t="shared" si="27"/>
        <v>16629.3032</v>
      </c>
      <c r="T91" s="804">
        <f t="shared" si="28"/>
        <v>4016585.2352</v>
      </c>
      <c r="U91" s="816">
        <v>44348</v>
      </c>
      <c r="V91" s="806">
        <v>44439</v>
      </c>
      <c r="W91" s="808"/>
      <c r="X91" s="808"/>
      <c r="Y91" s="808"/>
    </row>
    <row r="92">
      <c r="A92" s="741" t="s">
        <v>24</v>
      </c>
      <c r="B92" s="732" t="s">
        <v>1320</v>
      </c>
      <c r="C92" s="749" t="s">
        <v>1321</v>
      </c>
      <c r="D92" s="731" t="s">
        <v>34</v>
      </c>
      <c r="E92" s="741" t="s">
        <v>139</v>
      </c>
      <c r="F92" s="741" t="s">
        <v>140</v>
      </c>
      <c r="G92" s="743">
        <v>1861000</v>
      </c>
      <c r="H92" s="743"/>
      <c r="I92" s="775">
        <f t="shared" si="21"/>
        <v>91002.9</v>
      </c>
      <c r="J92" s="775">
        <f t="shared" si="22"/>
        <v>74440</v>
      </c>
      <c r="K92" s="775">
        <f t="shared" si="23"/>
        <v>37220</v>
      </c>
      <c r="L92" s="775">
        <f t="shared" si="24"/>
        <v>15000</v>
      </c>
      <c r="M92" s="295">
        <f t="shared" si="15"/>
        <v>2078662.9</v>
      </c>
      <c r="N92" s="776">
        <f t="shared" si="25"/>
        <v>166293.032</v>
      </c>
      <c r="O92" s="776">
        <v>2184000</v>
      </c>
      <c r="P92" s="776"/>
      <c r="Q92" s="776"/>
      <c r="R92" s="803">
        <f t="shared" si="26"/>
        <v>4428955.932</v>
      </c>
      <c r="S92" s="803">
        <f t="shared" si="27"/>
        <v>16629.3032</v>
      </c>
      <c r="T92" s="804">
        <f t="shared" si="28"/>
        <v>4445585.2352</v>
      </c>
      <c r="U92" s="816">
        <v>44378</v>
      </c>
      <c r="V92" s="806">
        <v>44469</v>
      </c>
      <c r="W92" s="837"/>
      <c r="X92" s="808"/>
      <c r="Y92" s="808"/>
    </row>
    <row r="93">
      <c r="A93" s="741" t="s">
        <v>24</v>
      </c>
      <c r="B93" s="1536" t="s">
        <v>1322</v>
      </c>
      <c r="C93" s="749" t="s">
        <v>1323</v>
      </c>
      <c r="D93" s="731" t="s">
        <v>34</v>
      </c>
      <c r="E93" s="741" t="s">
        <v>139</v>
      </c>
      <c r="F93" s="741" t="s">
        <v>140</v>
      </c>
      <c r="G93" s="743">
        <v>1861000</v>
      </c>
      <c r="H93" s="743"/>
      <c r="I93" s="775">
        <f ref="I93:I119" t="shared" si="29">+$G$5*4.89%</f>
        <v>91002.9</v>
      </c>
      <c r="J93" s="775">
        <f ref="J93:J119" t="shared" si="30">+$G$5*4%</f>
        <v>74440</v>
      </c>
      <c r="K93" s="775">
        <f ref="K93:K119" t="shared" si="31">+$G$5*2%</f>
        <v>37220</v>
      </c>
      <c r="L93" s="775">
        <f ref="L93:L119" t="shared" si="32">1667+13333</f>
        <v>15000</v>
      </c>
      <c r="M93" s="295">
        <f ref="M93:M123" t="shared" si="33">SUM(G93:L93)</f>
        <v>2078662.9</v>
      </c>
      <c r="N93" s="776">
        <f ref="N93:N115" t="shared" si="34">+M93*8%</f>
        <v>166293.032</v>
      </c>
      <c r="O93" s="776">
        <v>1450000</v>
      </c>
      <c r="P93" s="776"/>
      <c r="Q93" s="776"/>
      <c r="R93" s="803">
        <f ref="R93:R115" t="shared" si="35">SUM(M93:Q93)</f>
        <v>3694955.932</v>
      </c>
      <c r="S93" s="803">
        <f ref="S93:S115" t="shared" si="36">N93*0.1</f>
        <v>16629.3032</v>
      </c>
      <c r="T93" s="804">
        <f ref="T93:T115" t="shared" si="37">R93+S93</f>
        <v>3711585.2352</v>
      </c>
      <c r="U93" s="816">
        <v>44348</v>
      </c>
      <c r="V93" s="806">
        <v>44439</v>
      </c>
      <c r="W93" s="808"/>
      <c r="X93" s="808"/>
      <c r="Y93" s="808"/>
    </row>
    <row r="94">
      <c r="A94" s="741" t="s">
        <v>24</v>
      </c>
      <c r="B94" s="1536" t="s">
        <v>1324</v>
      </c>
      <c r="C94" s="747" t="s">
        <v>1325</v>
      </c>
      <c r="D94" s="731" t="s">
        <v>34</v>
      </c>
      <c r="E94" s="741" t="s">
        <v>139</v>
      </c>
      <c r="F94" s="741" t="s">
        <v>140</v>
      </c>
      <c r="G94" s="743">
        <v>1861000</v>
      </c>
      <c r="H94" s="743"/>
      <c r="I94" s="775">
        <f t="shared" si="29"/>
        <v>91002.9</v>
      </c>
      <c r="J94" s="775">
        <f t="shared" si="30"/>
        <v>74440</v>
      </c>
      <c r="K94" s="775">
        <f t="shared" si="31"/>
        <v>37220</v>
      </c>
      <c r="L94" s="775">
        <f t="shared" si="32"/>
        <v>15000</v>
      </c>
      <c r="M94" s="295">
        <f t="shared" si="33"/>
        <v>2078662.9</v>
      </c>
      <c r="N94" s="776">
        <f t="shared" si="34"/>
        <v>166293.032</v>
      </c>
      <c r="O94" s="776">
        <v>1829000</v>
      </c>
      <c r="P94" s="776"/>
      <c r="Q94" s="776"/>
      <c r="R94" s="803">
        <f t="shared" si="35"/>
        <v>4073955.932</v>
      </c>
      <c r="S94" s="803">
        <f t="shared" si="36"/>
        <v>16629.3032</v>
      </c>
      <c r="T94" s="804">
        <f t="shared" si="37"/>
        <v>4090585.2352</v>
      </c>
      <c r="U94" s="816">
        <v>44348</v>
      </c>
      <c r="V94" s="806">
        <v>44439</v>
      </c>
      <c r="W94" s="808"/>
      <c r="X94" s="808"/>
      <c r="Y94" s="808"/>
    </row>
    <row r="95">
      <c r="A95" s="741" t="s">
        <v>24</v>
      </c>
      <c r="B95" s="732" t="s">
        <v>1326</v>
      </c>
      <c r="C95" s="749" t="s">
        <v>1327</v>
      </c>
      <c r="D95" s="731" t="s">
        <v>34</v>
      </c>
      <c r="E95" s="741" t="s">
        <v>139</v>
      </c>
      <c r="F95" s="741" t="s">
        <v>140</v>
      </c>
      <c r="G95" s="743">
        <v>1861000</v>
      </c>
      <c r="H95" s="743"/>
      <c r="I95" s="775">
        <f t="shared" si="29"/>
        <v>91002.9</v>
      </c>
      <c r="J95" s="775">
        <f t="shared" si="30"/>
        <v>74440</v>
      </c>
      <c r="K95" s="775">
        <f t="shared" si="31"/>
        <v>37220</v>
      </c>
      <c r="L95" s="775">
        <f t="shared" si="32"/>
        <v>15000</v>
      </c>
      <c r="M95" s="295">
        <f t="shared" si="33"/>
        <v>2078662.9</v>
      </c>
      <c r="N95" s="776">
        <f t="shared" si="34"/>
        <v>166293.032</v>
      </c>
      <c r="O95" s="776">
        <v>1523000</v>
      </c>
      <c r="P95" s="776"/>
      <c r="Q95" s="776"/>
      <c r="R95" s="803">
        <f t="shared" si="35"/>
        <v>3767955.932</v>
      </c>
      <c r="S95" s="803">
        <f t="shared" si="36"/>
        <v>16629.3032</v>
      </c>
      <c r="T95" s="804">
        <f t="shared" si="37"/>
        <v>3784585.2352</v>
      </c>
      <c r="U95" s="816">
        <v>44378</v>
      </c>
      <c r="V95" s="806">
        <v>44469</v>
      </c>
      <c r="W95" s="837"/>
      <c r="X95" s="808"/>
      <c r="Y95" s="808"/>
    </row>
    <row r="96">
      <c r="A96" s="741" t="s">
        <v>24</v>
      </c>
      <c r="B96" s="1536" t="s">
        <v>1328</v>
      </c>
      <c r="C96" s="747" t="s">
        <v>1329</v>
      </c>
      <c r="D96" s="731" t="s">
        <v>34</v>
      </c>
      <c r="E96" s="741" t="s">
        <v>139</v>
      </c>
      <c r="F96" s="741" t="s">
        <v>140</v>
      </c>
      <c r="G96" s="743">
        <v>1861000</v>
      </c>
      <c r="H96" s="743"/>
      <c r="I96" s="775">
        <f t="shared" si="29"/>
        <v>91002.9</v>
      </c>
      <c r="J96" s="775">
        <f t="shared" si="30"/>
        <v>74440</v>
      </c>
      <c r="K96" s="775">
        <f t="shared" si="31"/>
        <v>37220</v>
      </c>
      <c r="L96" s="775">
        <f t="shared" si="32"/>
        <v>15000</v>
      </c>
      <c r="M96" s="295">
        <f t="shared" si="33"/>
        <v>2078662.9</v>
      </c>
      <c r="N96" s="776">
        <f t="shared" si="34"/>
        <v>166293.032</v>
      </c>
      <c r="O96" s="776">
        <v>1434000</v>
      </c>
      <c r="P96" s="776"/>
      <c r="Q96" s="776"/>
      <c r="R96" s="803">
        <f t="shared" si="35"/>
        <v>3678955.932</v>
      </c>
      <c r="S96" s="803">
        <f t="shared" si="36"/>
        <v>16629.3032</v>
      </c>
      <c r="T96" s="804">
        <f t="shared" si="37"/>
        <v>3695585.2352</v>
      </c>
      <c r="U96" s="816">
        <v>44348</v>
      </c>
      <c r="V96" s="806">
        <v>44439</v>
      </c>
      <c r="W96" s="808"/>
      <c r="X96" s="808"/>
      <c r="Y96" s="808"/>
    </row>
    <row r="97">
      <c r="A97" s="741" t="s">
        <v>24</v>
      </c>
      <c r="B97" s="732" t="s">
        <v>1330</v>
      </c>
      <c r="C97" s="749" t="s">
        <v>1331</v>
      </c>
      <c r="D97" s="731" t="s">
        <v>34</v>
      </c>
      <c r="E97" s="741" t="s">
        <v>139</v>
      </c>
      <c r="F97" s="741" t="s">
        <v>140</v>
      </c>
      <c r="G97" s="743">
        <v>1861000</v>
      </c>
      <c r="H97" s="743"/>
      <c r="I97" s="775">
        <f t="shared" si="29"/>
        <v>91002.9</v>
      </c>
      <c r="J97" s="775">
        <f t="shared" si="30"/>
        <v>74440</v>
      </c>
      <c r="K97" s="775">
        <f t="shared" si="31"/>
        <v>37220</v>
      </c>
      <c r="L97" s="775">
        <f t="shared" si="32"/>
        <v>15000</v>
      </c>
      <c r="M97" s="295">
        <f t="shared" si="33"/>
        <v>2078662.9</v>
      </c>
      <c r="N97" s="776">
        <f t="shared" si="34"/>
        <v>166293.032</v>
      </c>
      <c r="O97" s="776">
        <v>1508000</v>
      </c>
      <c r="P97" s="776"/>
      <c r="Q97" s="776"/>
      <c r="R97" s="803">
        <f t="shared" si="35"/>
        <v>3752955.932</v>
      </c>
      <c r="S97" s="803">
        <f t="shared" si="36"/>
        <v>16629.3032</v>
      </c>
      <c r="T97" s="804">
        <f t="shared" si="37"/>
        <v>3769585.2352</v>
      </c>
      <c r="U97" s="816">
        <v>44348</v>
      </c>
      <c r="V97" s="806">
        <v>44439</v>
      </c>
      <c r="W97" s="808"/>
      <c r="X97" s="808"/>
      <c r="Y97" s="808"/>
    </row>
    <row r="98">
      <c r="A98" s="741" t="s">
        <v>24</v>
      </c>
      <c r="B98" s="732" t="s">
        <v>1332</v>
      </c>
      <c r="C98" s="749" t="s">
        <v>1333</v>
      </c>
      <c r="D98" s="731" t="s">
        <v>34</v>
      </c>
      <c r="E98" s="741" t="s">
        <v>139</v>
      </c>
      <c r="F98" s="741" t="s">
        <v>140</v>
      </c>
      <c r="G98" s="743">
        <v>1861000</v>
      </c>
      <c r="H98" s="743"/>
      <c r="I98" s="775">
        <f t="shared" si="29"/>
        <v>91002.9</v>
      </c>
      <c r="J98" s="775">
        <f t="shared" si="30"/>
        <v>74440</v>
      </c>
      <c r="K98" s="775">
        <f t="shared" si="31"/>
        <v>37220</v>
      </c>
      <c r="L98" s="775">
        <f t="shared" si="32"/>
        <v>15000</v>
      </c>
      <c r="M98" s="295">
        <f t="shared" si="33"/>
        <v>2078662.9</v>
      </c>
      <c r="N98" s="776">
        <f t="shared" si="34"/>
        <v>166293.032</v>
      </c>
      <c r="O98" s="776">
        <v>1775000</v>
      </c>
      <c r="P98" s="776"/>
      <c r="Q98" s="776"/>
      <c r="R98" s="803">
        <f t="shared" si="35"/>
        <v>4019955.932</v>
      </c>
      <c r="S98" s="803">
        <f t="shared" si="36"/>
        <v>16629.3032</v>
      </c>
      <c r="T98" s="804">
        <f t="shared" si="37"/>
        <v>4036585.2352</v>
      </c>
      <c r="U98" s="816">
        <v>44348</v>
      </c>
      <c r="V98" s="806">
        <v>44439</v>
      </c>
      <c r="W98" s="808"/>
      <c r="X98" s="808"/>
      <c r="Y98" s="808"/>
    </row>
    <row r="99">
      <c r="A99" s="741" t="s">
        <v>24</v>
      </c>
      <c r="B99" s="1536" t="s">
        <v>1334</v>
      </c>
      <c r="C99" s="749" t="s">
        <v>1335</v>
      </c>
      <c r="D99" s="731" t="s">
        <v>34</v>
      </c>
      <c r="E99" s="741" t="s">
        <v>139</v>
      </c>
      <c r="F99" s="741" t="s">
        <v>140</v>
      </c>
      <c r="G99" s="743">
        <v>1861000</v>
      </c>
      <c r="H99" s="743"/>
      <c r="I99" s="775">
        <f t="shared" si="29"/>
        <v>91002.9</v>
      </c>
      <c r="J99" s="775">
        <f t="shared" si="30"/>
        <v>74440</v>
      </c>
      <c r="K99" s="775">
        <f t="shared" si="31"/>
        <v>37220</v>
      </c>
      <c r="L99" s="775">
        <f t="shared" si="32"/>
        <v>15000</v>
      </c>
      <c r="M99" s="295">
        <f t="shared" si="33"/>
        <v>2078662.9</v>
      </c>
      <c r="N99" s="776">
        <f t="shared" si="34"/>
        <v>166293.032</v>
      </c>
      <c r="O99" s="776">
        <v>1441000</v>
      </c>
      <c r="P99" s="776"/>
      <c r="Q99" s="776"/>
      <c r="R99" s="803">
        <f t="shared" si="35"/>
        <v>3685955.932</v>
      </c>
      <c r="S99" s="803">
        <f t="shared" si="36"/>
        <v>16629.3032</v>
      </c>
      <c r="T99" s="804">
        <f t="shared" si="37"/>
        <v>3702585.2352</v>
      </c>
      <c r="U99" s="816">
        <v>44348</v>
      </c>
      <c r="V99" s="806">
        <v>44439</v>
      </c>
      <c r="W99" s="808"/>
      <c r="X99" s="808"/>
      <c r="Y99" s="808"/>
    </row>
    <row r="100">
      <c r="A100" s="741" t="s">
        <v>24</v>
      </c>
      <c r="B100" s="732" t="s">
        <v>1336</v>
      </c>
      <c r="C100" s="749" t="s">
        <v>1337</v>
      </c>
      <c r="D100" s="731" t="s">
        <v>34</v>
      </c>
      <c r="E100" s="741" t="s">
        <v>139</v>
      </c>
      <c r="F100" s="741" t="s">
        <v>140</v>
      </c>
      <c r="G100" s="743">
        <v>1861000</v>
      </c>
      <c r="H100" s="743"/>
      <c r="I100" s="775">
        <f t="shared" si="29"/>
        <v>91002.9</v>
      </c>
      <c r="J100" s="775">
        <f t="shared" si="30"/>
        <v>74440</v>
      </c>
      <c r="K100" s="775">
        <f t="shared" si="31"/>
        <v>37220</v>
      </c>
      <c r="L100" s="775">
        <f t="shared" si="32"/>
        <v>15000</v>
      </c>
      <c r="M100" s="295">
        <f t="shared" si="33"/>
        <v>2078662.9</v>
      </c>
      <c r="N100" s="776">
        <f t="shared" si="34"/>
        <v>166293.032</v>
      </c>
      <c r="O100" s="776">
        <v>1535000</v>
      </c>
      <c r="P100" s="776"/>
      <c r="Q100" s="776"/>
      <c r="R100" s="803">
        <f t="shared" si="35"/>
        <v>3779955.932</v>
      </c>
      <c r="S100" s="803">
        <f t="shared" si="36"/>
        <v>16629.3032</v>
      </c>
      <c r="T100" s="804">
        <f t="shared" si="37"/>
        <v>3796585.2352</v>
      </c>
      <c r="U100" s="816">
        <v>44348</v>
      </c>
      <c r="V100" s="806">
        <v>44439</v>
      </c>
      <c r="W100" s="808"/>
      <c r="X100" s="808"/>
      <c r="Y100" s="808"/>
    </row>
    <row r="101">
      <c r="A101" s="741" t="s">
        <v>24</v>
      </c>
      <c r="B101" s="1536" t="s">
        <v>1338</v>
      </c>
      <c r="C101" s="747" t="s">
        <v>1339</v>
      </c>
      <c r="D101" s="731" t="s">
        <v>34</v>
      </c>
      <c r="E101" s="741" t="s">
        <v>139</v>
      </c>
      <c r="F101" s="741" t="s">
        <v>140</v>
      </c>
      <c r="G101" s="743">
        <v>1861000</v>
      </c>
      <c r="H101" s="743"/>
      <c r="I101" s="775">
        <f t="shared" si="29"/>
        <v>91002.9</v>
      </c>
      <c r="J101" s="775">
        <f t="shared" si="30"/>
        <v>74440</v>
      </c>
      <c r="K101" s="775">
        <f t="shared" si="31"/>
        <v>37220</v>
      </c>
      <c r="L101" s="775">
        <f t="shared" si="32"/>
        <v>15000</v>
      </c>
      <c r="M101" s="295">
        <f t="shared" si="33"/>
        <v>2078662.9</v>
      </c>
      <c r="N101" s="776">
        <f t="shared" si="34"/>
        <v>166293.032</v>
      </c>
      <c r="O101" s="776">
        <v>1283000</v>
      </c>
      <c r="P101" s="776"/>
      <c r="Q101" s="776"/>
      <c r="R101" s="803">
        <f t="shared" si="35"/>
        <v>3527955.932</v>
      </c>
      <c r="S101" s="803">
        <f t="shared" si="36"/>
        <v>16629.3032</v>
      </c>
      <c r="T101" s="804">
        <f t="shared" si="37"/>
        <v>3544585.2352</v>
      </c>
      <c r="U101" s="816">
        <v>44348</v>
      </c>
      <c r="V101" s="806">
        <v>44439</v>
      </c>
      <c r="W101" s="808"/>
      <c r="X101" s="808"/>
      <c r="Y101" s="808"/>
    </row>
    <row r="102">
      <c r="A102" s="741" t="s">
        <v>24</v>
      </c>
      <c r="B102" s="732" t="s">
        <v>547</v>
      </c>
      <c r="C102" s="749" t="s">
        <v>548</v>
      </c>
      <c r="D102" s="731" t="s">
        <v>34</v>
      </c>
      <c r="E102" s="741" t="s">
        <v>139</v>
      </c>
      <c r="F102" s="741" t="s">
        <v>140</v>
      </c>
      <c r="G102" s="743">
        <v>1861000</v>
      </c>
      <c r="H102" s="743"/>
      <c r="I102" s="775">
        <f t="shared" si="29"/>
        <v>91002.9</v>
      </c>
      <c r="J102" s="775">
        <f t="shared" si="30"/>
        <v>74440</v>
      </c>
      <c r="K102" s="775">
        <f t="shared" si="31"/>
        <v>37220</v>
      </c>
      <c r="L102" s="775">
        <f t="shared" si="32"/>
        <v>15000</v>
      </c>
      <c r="M102" s="295">
        <f t="shared" si="33"/>
        <v>2078662.9</v>
      </c>
      <c r="N102" s="776">
        <f t="shared" si="34"/>
        <v>166293.032</v>
      </c>
      <c r="O102" s="776">
        <v>1780000</v>
      </c>
      <c r="P102" s="776"/>
      <c r="Q102" s="776"/>
      <c r="R102" s="803">
        <f t="shared" si="35"/>
        <v>4024955.932</v>
      </c>
      <c r="S102" s="803">
        <f t="shared" si="36"/>
        <v>16629.3032</v>
      </c>
      <c r="T102" s="804">
        <f t="shared" si="37"/>
        <v>4041585.2352</v>
      </c>
      <c r="U102" s="816">
        <v>44348</v>
      </c>
      <c r="V102" s="806">
        <v>44439</v>
      </c>
      <c r="W102" s="808"/>
      <c r="X102" s="808"/>
      <c r="Y102" s="808"/>
    </row>
    <row r="103">
      <c r="A103" s="741" t="s">
        <v>24</v>
      </c>
      <c r="B103" s="1536" t="s">
        <v>1340</v>
      </c>
      <c r="C103" s="747" t="s">
        <v>1341</v>
      </c>
      <c r="D103" s="731" t="s">
        <v>34</v>
      </c>
      <c r="E103" s="741" t="s">
        <v>139</v>
      </c>
      <c r="F103" s="741" t="s">
        <v>140</v>
      </c>
      <c r="G103" s="743">
        <v>1861000</v>
      </c>
      <c r="H103" s="743"/>
      <c r="I103" s="775">
        <f t="shared" si="29"/>
        <v>91002.9</v>
      </c>
      <c r="J103" s="775">
        <f t="shared" si="30"/>
        <v>74440</v>
      </c>
      <c r="K103" s="775">
        <f t="shared" si="31"/>
        <v>37220</v>
      </c>
      <c r="L103" s="775">
        <f t="shared" si="32"/>
        <v>15000</v>
      </c>
      <c r="M103" s="295">
        <f t="shared" si="33"/>
        <v>2078662.9</v>
      </c>
      <c r="N103" s="776">
        <f t="shared" si="34"/>
        <v>166293.032</v>
      </c>
      <c r="O103" s="776">
        <v>1677000</v>
      </c>
      <c r="P103" s="776"/>
      <c r="Q103" s="776"/>
      <c r="R103" s="803">
        <f t="shared" si="35"/>
        <v>3921955.932</v>
      </c>
      <c r="S103" s="803">
        <f t="shared" si="36"/>
        <v>16629.3032</v>
      </c>
      <c r="T103" s="804">
        <f t="shared" si="37"/>
        <v>3938585.2352</v>
      </c>
      <c r="U103" s="816">
        <v>44348</v>
      </c>
      <c r="V103" s="806">
        <v>44439</v>
      </c>
      <c r="W103" s="808"/>
      <c r="X103" s="808"/>
      <c r="Y103" s="808"/>
    </row>
    <row r="104">
      <c r="A104" s="741" t="s">
        <v>24</v>
      </c>
      <c r="B104" s="1536" t="s">
        <v>1342</v>
      </c>
      <c r="C104" s="747" t="s">
        <v>1343</v>
      </c>
      <c r="D104" s="731" t="s">
        <v>34</v>
      </c>
      <c r="E104" s="741" t="s">
        <v>139</v>
      </c>
      <c r="F104" s="741" t="s">
        <v>140</v>
      </c>
      <c r="G104" s="743">
        <v>1861000</v>
      </c>
      <c r="H104" s="743"/>
      <c r="I104" s="775">
        <f t="shared" si="29"/>
        <v>91002.9</v>
      </c>
      <c r="J104" s="775">
        <f t="shared" si="30"/>
        <v>74440</v>
      </c>
      <c r="K104" s="775">
        <f t="shared" si="31"/>
        <v>37220</v>
      </c>
      <c r="L104" s="775">
        <f t="shared" si="32"/>
        <v>15000</v>
      </c>
      <c r="M104" s="295">
        <f t="shared" si="33"/>
        <v>2078662.9</v>
      </c>
      <c r="N104" s="776">
        <f t="shared" si="34"/>
        <v>166293.032</v>
      </c>
      <c r="O104" s="776">
        <v>1913000</v>
      </c>
      <c r="P104" s="776"/>
      <c r="Q104" s="776"/>
      <c r="R104" s="803">
        <f t="shared" si="35"/>
        <v>4157955.932</v>
      </c>
      <c r="S104" s="803">
        <f t="shared" si="36"/>
        <v>16629.3032</v>
      </c>
      <c r="T104" s="804">
        <f t="shared" si="37"/>
        <v>4174585.2352</v>
      </c>
      <c r="U104" s="816">
        <v>44348</v>
      </c>
      <c r="V104" s="806">
        <v>44439</v>
      </c>
      <c r="W104" s="808"/>
      <c r="X104" s="808"/>
      <c r="Y104" s="808"/>
    </row>
    <row r="105">
      <c r="A105" s="741" t="s">
        <v>24</v>
      </c>
      <c r="B105" s="732" t="s">
        <v>1344</v>
      </c>
      <c r="C105" s="749" t="s">
        <v>556</v>
      </c>
      <c r="D105" s="731" t="s">
        <v>34</v>
      </c>
      <c r="E105" s="741" t="s">
        <v>139</v>
      </c>
      <c r="F105" s="741" t="s">
        <v>140</v>
      </c>
      <c r="G105" s="743">
        <v>1861000</v>
      </c>
      <c r="H105" s="743"/>
      <c r="I105" s="775">
        <f t="shared" si="29"/>
        <v>91002.9</v>
      </c>
      <c r="J105" s="775">
        <f t="shared" si="30"/>
        <v>74440</v>
      </c>
      <c r="K105" s="775">
        <f t="shared" si="31"/>
        <v>37220</v>
      </c>
      <c r="L105" s="775">
        <f t="shared" si="32"/>
        <v>15000</v>
      </c>
      <c r="M105" s="295">
        <f t="shared" si="33"/>
        <v>2078662.9</v>
      </c>
      <c r="N105" s="776">
        <f t="shared" si="34"/>
        <v>166293.032</v>
      </c>
      <c r="O105" s="776">
        <v>553000</v>
      </c>
      <c r="P105" s="776"/>
      <c r="Q105" s="776"/>
      <c r="R105" s="803">
        <f t="shared" si="35"/>
        <v>2797955.932</v>
      </c>
      <c r="S105" s="803">
        <f t="shared" si="36"/>
        <v>16629.3032</v>
      </c>
      <c r="T105" s="804">
        <f t="shared" si="37"/>
        <v>2814585.2352</v>
      </c>
      <c r="U105" s="816">
        <v>44348</v>
      </c>
      <c r="V105" s="806">
        <v>44439</v>
      </c>
      <c r="W105" s="808"/>
      <c r="X105" s="808"/>
      <c r="Y105" s="808"/>
    </row>
    <row r="106">
      <c r="A106" s="741" t="s">
        <v>24</v>
      </c>
      <c r="B106" s="732" t="s">
        <v>404</v>
      </c>
      <c r="C106" s="749" t="s">
        <v>387</v>
      </c>
      <c r="D106" s="731" t="s">
        <v>34</v>
      </c>
      <c r="E106" s="741" t="s">
        <v>139</v>
      </c>
      <c r="F106" s="741" t="s">
        <v>140</v>
      </c>
      <c r="G106" s="743">
        <v>1861000</v>
      </c>
      <c r="H106" s="743"/>
      <c r="I106" s="775">
        <f t="shared" si="29"/>
        <v>91002.9</v>
      </c>
      <c r="J106" s="775">
        <f t="shared" si="30"/>
        <v>74440</v>
      </c>
      <c r="K106" s="775">
        <f t="shared" si="31"/>
        <v>37220</v>
      </c>
      <c r="L106" s="775">
        <f t="shared" si="32"/>
        <v>15000</v>
      </c>
      <c r="M106" s="295">
        <f t="shared" si="33"/>
        <v>2078662.9</v>
      </c>
      <c r="N106" s="776">
        <f t="shared" si="34"/>
        <v>166293.032</v>
      </c>
      <c r="O106" s="776">
        <v>1430000</v>
      </c>
      <c r="P106" s="776"/>
      <c r="Q106" s="776"/>
      <c r="R106" s="803">
        <f t="shared" si="35"/>
        <v>3674955.932</v>
      </c>
      <c r="S106" s="803">
        <f t="shared" si="36"/>
        <v>16629.3032</v>
      </c>
      <c r="T106" s="804">
        <f t="shared" si="37"/>
        <v>3691585.2352</v>
      </c>
      <c r="U106" s="816">
        <v>44348</v>
      </c>
      <c r="V106" s="806">
        <v>44439</v>
      </c>
      <c r="W106" s="808"/>
      <c r="X106" s="808"/>
      <c r="Y106" s="808"/>
    </row>
    <row r="107">
      <c r="A107" s="741" t="s">
        <v>24</v>
      </c>
      <c r="B107" s="732" t="s">
        <v>539</v>
      </c>
      <c r="C107" s="749" t="s">
        <v>540</v>
      </c>
      <c r="D107" s="731" t="s">
        <v>34</v>
      </c>
      <c r="E107" s="741" t="s">
        <v>139</v>
      </c>
      <c r="F107" s="741" t="s">
        <v>140</v>
      </c>
      <c r="G107" s="743">
        <v>1861000</v>
      </c>
      <c r="H107" s="743"/>
      <c r="I107" s="775">
        <f t="shared" si="29"/>
        <v>91002.9</v>
      </c>
      <c r="J107" s="775">
        <f t="shared" si="30"/>
        <v>74440</v>
      </c>
      <c r="K107" s="775">
        <f t="shared" si="31"/>
        <v>37220</v>
      </c>
      <c r="L107" s="775">
        <f t="shared" si="32"/>
        <v>15000</v>
      </c>
      <c r="M107" s="295">
        <f t="shared" si="33"/>
        <v>2078662.9</v>
      </c>
      <c r="N107" s="776">
        <f t="shared" si="34"/>
        <v>166293.032</v>
      </c>
      <c r="O107" s="776">
        <v>2026000</v>
      </c>
      <c r="P107" s="776"/>
      <c r="Q107" s="776"/>
      <c r="R107" s="803">
        <f t="shared" si="35"/>
        <v>4270955.932</v>
      </c>
      <c r="S107" s="803">
        <f t="shared" si="36"/>
        <v>16629.3032</v>
      </c>
      <c r="T107" s="804">
        <f t="shared" si="37"/>
        <v>4287585.2352</v>
      </c>
      <c r="U107" s="816">
        <v>44348</v>
      </c>
      <c r="V107" s="806">
        <v>44439</v>
      </c>
      <c r="W107" s="808"/>
      <c r="X107" s="808"/>
      <c r="Y107" s="808"/>
    </row>
    <row r="108">
      <c r="A108" s="741" t="s">
        <v>24</v>
      </c>
      <c r="B108" s="1536" t="s">
        <v>1345</v>
      </c>
      <c r="C108" s="749" t="s">
        <v>1346</v>
      </c>
      <c r="D108" s="731" t="s">
        <v>34</v>
      </c>
      <c r="E108" s="741" t="s">
        <v>139</v>
      </c>
      <c r="F108" s="741" t="s">
        <v>140</v>
      </c>
      <c r="G108" s="743">
        <v>1861000</v>
      </c>
      <c r="H108" s="743"/>
      <c r="I108" s="775">
        <f t="shared" si="29"/>
        <v>91002.9</v>
      </c>
      <c r="J108" s="775">
        <f t="shared" si="30"/>
        <v>74440</v>
      </c>
      <c r="K108" s="775">
        <f t="shared" si="31"/>
        <v>37220</v>
      </c>
      <c r="L108" s="775">
        <f t="shared" si="32"/>
        <v>15000</v>
      </c>
      <c r="M108" s="295">
        <f t="shared" si="33"/>
        <v>2078662.9</v>
      </c>
      <c r="N108" s="776">
        <f t="shared" si="34"/>
        <v>166293.032</v>
      </c>
      <c r="O108" s="776">
        <v>1497000</v>
      </c>
      <c r="P108" s="776"/>
      <c r="Q108" s="776"/>
      <c r="R108" s="803">
        <f t="shared" si="35"/>
        <v>3741955.932</v>
      </c>
      <c r="S108" s="803">
        <f t="shared" si="36"/>
        <v>16629.3032</v>
      </c>
      <c r="T108" s="804">
        <f t="shared" si="37"/>
        <v>3758585.2352</v>
      </c>
      <c r="U108" s="816">
        <v>44348</v>
      </c>
      <c r="V108" s="806">
        <v>44439</v>
      </c>
      <c r="W108" s="808"/>
      <c r="X108" s="808"/>
      <c r="Y108" s="808"/>
    </row>
    <row r="109">
      <c r="A109" s="741" t="s">
        <v>24</v>
      </c>
      <c r="B109" s="1536" t="s">
        <v>1347</v>
      </c>
      <c r="C109" s="749" t="s">
        <v>1348</v>
      </c>
      <c r="D109" s="731" t="s">
        <v>34</v>
      </c>
      <c r="E109" s="741" t="s">
        <v>139</v>
      </c>
      <c r="F109" s="741" t="s">
        <v>140</v>
      </c>
      <c r="G109" s="743">
        <v>1861000</v>
      </c>
      <c r="H109" s="743"/>
      <c r="I109" s="775">
        <f t="shared" si="29"/>
        <v>91002.9</v>
      </c>
      <c r="J109" s="775">
        <f t="shared" si="30"/>
        <v>74440</v>
      </c>
      <c r="K109" s="775">
        <f t="shared" si="31"/>
        <v>37220</v>
      </c>
      <c r="L109" s="775">
        <f t="shared" si="32"/>
        <v>15000</v>
      </c>
      <c r="M109" s="295">
        <f t="shared" si="33"/>
        <v>2078662.9</v>
      </c>
      <c r="N109" s="776">
        <f t="shared" si="34"/>
        <v>166293.032</v>
      </c>
      <c r="O109" s="776">
        <v>1445000</v>
      </c>
      <c r="P109" s="776"/>
      <c r="Q109" s="776"/>
      <c r="R109" s="803">
        <f t="shared" si="35"/>
        <v>3689955.932</v>
      </c>
      <c r="S109" s="803">
        <f t="shared" si="36"/>
        <v>16629.3032</v>
      </c>
      <c r="T109" s="804">
        <f t="shared" si="37"/>
        <v>3706585.2352</v>
      </c>
      <c r="U109" s="816">
        <v>44348</v>
      </c>
      <c r="V109" s="806">
        <v>44439</v>
      </c>
      <c r="W109" s="808"/>
      <c r="X109" s="808"/>
      <c r="Y109" s="808"/>
    </row>
    <row r="110">
      <c r="A110" s="741" t="s">
        <v>24</v>
      </c>
      <c r="B110" s="732" t="s">
        <v>1349</v>
      </c>
      <c r="C110" s="749" t="s">
        <v>1350</v>
      </c>
      <c r="D110" s="731" t="s">
        <v>34</v>
      </c>
      <c r="E110" s="741" t="s">
        <v>139</v>
      </c>
      <c r="F110" s="741" t="s">
        <v>140</v>
      </c>
      <c r="G110" s="743">
        <v>1861000</v>
      </c>
      <c r="H110" s="743">
        <v>-74440</v>
      </c>
      <c r="I110" s="775">
        <f t="shared" si="29"/>
        <v>91002.9</v>
      </c>
      <c r="J110" s="775">
        <f t="shared" si="30"/>
        <v>74440</v>
      </c>
      <c r="K110" s="775">
        <f t="shared" si="31"/>
        <v>37220</v>
      </c>
      <c r="L110" s="775">
        <f t="shared" si="32"/>
        <v>15000</v>
      </c>
      <c r="M110" s="295">
        <f t="shared" si="33"/>
        <v>2004222.9</v>
      </c>
      <c r="N110" s="776">
        <f t="shared" si="34"/>
        <v>160337.832</v>
      </c>
      <c r="O110" s="776">
        <v>1747000</v>
      </c>
      <c r="P110" s="776"/>
      <c r="Q110" s="776"/>
      <c r="R110" s="803">
        <f t="shared" si="35"/>
        <v>3911560.732</v>
      </c>
      <c r="S110" s="803">
        <f t="shared" si="36"/>
        <v>16033.7832</v>
      </c>
      <c r="T110" s="804">
        <f t="shared" si="37"/>
        <v>3927594.5152</v>
      </c>
      <c r="U110" s="816">
        <v>44348</v>
      </c>
      <c r="V110" s="806">
        <v>44439</v>
      </c>
      <c r="W110" s="808"/>
      <c r="X110" s="808"/>
      <c r="Y110" s="808"/>
    </row>
    <row r="111">
      <c r="A111" s="741" t="s">
        <v>24</v>
      </c>
      <c r="B111" s="1536" t="s">
        <v>1351</v>
      </c>
      <c r="C111" s="747" t="s">
        <v>1352</v>
      </c>
      <c r="D111" s="731" t="s">
        <v>34</v>
      </c>
      <c r="E111" s="741" t="s">
        <v>139</v>
      </c>
      <c r="F111" s="741" t="s">
        <v>140</v>
      </c>
      <c r="G111" s="743">
        <v>1861000</v>
      </c>
      <c r="H111" s="743"/>
      <c r="I111" s="775">
        <f t="shared" si="29"/>
        <v>91002.9</v>
      </c>
      <c r="J111" s="775">
        <f t="shared" si="30"/>
        <v>74440</v>
      </c>
      <c r="K111" s="775">
        <f t="shared" si="31"/>
        <v>37220</v>
      </c>
      <c r="L111" s="775">
        <f t="shared" si="32"/>
        <v>15000</v>
      </c>
      <c r="M111" s="295">
        <f t="shared" si="33"/>
        <v>2078662.9</v>
      </c>
      <c r="N111" s="776">
        <f t="shared" si="34"/>
        <v>166293.032</v>
      </c>
      <c r="O111" s="776">
        <v>1567000</v>
      </c>
      <c r="P111" s="776"/>
      <c r="Q111" s="776"/>
      <c r="R111" s="803">
        <f t="shared" si="35"/>
        <v>3811955.932</v>
      </c>
      <c r="S111" s="803">
        <f t="shared" si="36"/>
        <v>16629.3032</v>
      </c>
      <c r="T111" s="804">
        <f t="shared" si="37"/>
        <v>3828585.2352</v>
      </c>
      <c r="U111" s="816">
        <v>44348</v>
      </c>
      <c r="V111" s="806">
        <v>44439</v>
      </c>
      <c r="W111" s="808"/>
      <c r="X111" s="808"/>
      <c r="Y111" s="808"/>
    </row>
    <row r="112">
      <c r="A112" s="741" t="s">
        <v>24</v>
      </c>
      <c r="B112" s="1536" t="s">
        <v>1353</v>
      </c>
      <c r="C112" s="749" t="s">
        <v>1354</v>
      </c>
      <c r="D112" s="731" t="s">
        <v>34</v>
      </c>
      <c r="E112" s="741" t="s">
        <v>139</v>
      </c>
      <c r="F112" s="741" t="s">
        <v>140</v>
      </c>
      <c r="G112" s="743">
        <v>1861000</v>
      </c>
      <c r="H112" s="743"/>
      <c r="I112" s="775">
        <f t="shared" si="29"/>
        <v>91002.9</v>
      </c>
      <c r="J112" s="775">
        <f t="shared" si="30"/>
        <v>74440</v>
      </c>
      <c r="K112" s="775">
        <f t="shared" si="31"/>
        <v>37220</v>
      </c>
      <c r="L112" s="775">
        <f t="shared" si="32"/>
        <v>15000</v>
      </c>
      <c r="M112" s="295">
        <f t="shared" si="33"/>
        <v>2078662.9</v>
      </c>
      <c r="N112" s="776">
        <f t="shared" si="34"/>
        <v>166293.032</v>
      </c>
      <c r="O112" s="776">
        <v>1777000</v>
      </c>
      <c r="P112" s="776"/>
      <c r="Q112" s="776"/>
      <c r="R112" s="803">
        <f t="shared" si="35"/>
        <v>4021955.932</v>
      </c>
      <c r="S112" s="803">
        <f t="shared" si="36"/>
        <v>16629.3032</v>
      </c>
      <c r="T112" s="804">
        <f t="shared" si="37"/>
        <v>4038585.2352</v>
      </c>
      <c r="U112" s="816">
        <v>44348</v>
      </c>
      <c r="V112" s="806">
        <v>44439</v>
      </c>
      <c r="W112" s="808"/>
      <c r="X112" s="808"/>
      <c r="Y112" s="808"/>
    </row>
    <row r="113">
      <c r="A113" s="741" t="s">
        <v>24</v>
      </c>
      <c r="B113" s="1536" t="s">
        <v>1355</v>
      </c>
      <c r="C113" s="747" t="s">
        <v>1210</v>
      </c>
      <c r="D113" s="731" t="s">
        <v>34</v>
      </c>
      <c r="E113" s="741" t="s">
        <v>139</v>
      </c>
      <c r="F113" s="741" t="s">
        <v>140</v>
      </c>
      <c r="G113" s="743">
        <v>1861000</v>
      </c>
      <c r="H113" s="743"/>
      <c r="I113" s="775">
        <f t="shared" si="29"/>
        <v>91002.9</v>
      </c>
      <c r="J113" s="775">
        <f t="shared" si="30"/>
        <v>74440</v>
      </c>
      <c r="K113" s="775">
        <f t="shared" si="31"/>
        <v>37220</v>
      </c>
      <c r="L113" s="775">
        <f t="shared" si="32"/>
        <v>15000</v>
      </c>
      <c r="M113" s="295">
        <f t="shared" si="33"/>
        <v>2078662.9</v>
      </c>
      <c r="N113" s="776">
        <f t="shared" si="34"/>
        <v>166293.032</v>
      </c>
      <c r="O113" s="776">
        <v>1516000</v>
      </c>
      <c r="P113" s="776"/>
      <c r="Q113" s="776"/>
      <c r="R113" s="803">
        <f t="shared" si="35"/>
        <v>3760955.932</v>
      </c>
      <c r="S113" s="803">
        <f t="shared" si="36"/>
        <v>16629.3032</v>
      </c>
      <c r="T113" s="804">
        <f t="shared" si="37"/>
        <v>3777585.2352</v>
      </c>
      <c r="U113" s="816">
        <v>44348</v>
      </c>
      <c r="V113" s="806">
        <v>44439</v>
      </c>
      <c r="W113" s="808"/>
      <c r="X113" s="808"/>
      <c r="Y113" s="808"/>
    </row>
    <row r="114">
      <c r="A114" s="741" t="s">
        <v>24</v>
      </c>
      <c r="B114" s="1536" t="s">
        <v>1356</v>
      </c>
      <c r="C114" s="747" t="s">
        <v>1357</v>
      </c>
      <c r="D114" s="731" t="s">
        <v>34</v>
      </c>
      <c r="E114" s="741" t="s">
        <v>139</v>
      </c>
      <c r="F114" s="741" t="s">
        <v>140</v>
      </c>
      <c r="G114" s="743">
        <v>1861000</v>
      </c>
      <c r="H114" s="743"/>
      <c r="I114" s="775">
        <f t="shared" si="29"/>
        <v>91002.9</v>
      </c>
      <c r="J114" s="775">
        <f t="shared" si="30"/>
        <v>74440</v>
      </c>
      <c r="K114" s="775">
        <f t="shared" si="31"/>
        <v>37220</v>
      </c>
      <c r="L114" s="775">
        <f t="shared" si="32"/>
        <v>15000</v>
      </c>
      <c r="M114" s="295">
        <f t="shared" si="33"/>
        <v>2078662.9</v>
      </c>
      <c r="N114" s="776">
        <f t="shared" si="34"/>
        <v>166293.032</v>
      </c>
      <c r="O114" s="776">
        <v>1396000</v>
      </c>
      <c r="P114" s="776"/>
      <c r="Q114" s="776"/>
      <c r="R114" s="803">
        <f t="shared" si="35"/>
        <v>3640955.932</v>
      </c>
      <c r="S114" s="803">
        <f t="shared" si="36"/>
        <v>16629.3032</v>
      </c>
      <c r="T114" s="804">
        <f t="shared" si="37"/>
        <v>3657585.2352</v>
      </c>
      <c r="U114" s="816">
        <v>44348</v>
      </c>
      <c r="V114" s="806">
        <v>44439</v>
      </c>
      <c r="W114" s="808"/>
      <c r="X114" s="808"/>
      <c r="Y114" s="808"/>
    </row>
    <row r="115">
      <c r="A115" s="741" t="s">
        <v>24</v>
      </c>
      <c r="B115" s="732" t="s">
        <v>1358</v>
      </c>
      <c r="C115" s="749" t="s">
        <v>1359</v>
      </c>
      <c r="D115" s="731" t="s">
        <v>34</v>
      </c>
      <c r="E115" s="741" t="s">
        <v>139</v>
      </c>
      <c r="F115" s="741" t="s">
        <v>140</v>
      </c>
      <c r="G115" s="743">
        <v>1861000</v>
      </c>
      <c r="H115" s="743"/>
      <c r="I115" s="775">
        <f t="shared" si="29"/>
        <v>91002.9</v>
      </c>
      <c r="J115" s="775">
        <f t="shared" si="30"/>
        <v>74440</v>
      </c>
      <c r="K115" s="775">
        <f t="shared" si="31"/>
        <v>37220</v>
      </c>
      <c r="L115" s="775">
        <f t="shared" si="32"/>
        <v>15000</v>
      </c>
      <c r="M115" s="295">
        <f t="shared" si="33"/>
        <v>2078662.9</v>
      </c>
      <c r="N115" s="776">
        <f t="shared" si="34"/>
        <v>166293.032</v>
      </c>
      <c r="O115" s="776">
        <v>1572000</v>
      </c>
      <c r="P115" s="776"/>
      <c r="Q115" s="776"/>
      <c r="R115" s="803">
        <f t="shared" si="35"/>
        <v>3816955.932</v>
      </c>
      <c r="S115" s="803">
        <f t="shared" si="36"/>
        <v>16629.3032</v>
      </c>
      <c r="T115" s="804">
        <f t="shared" si="37"/>
        <v>3833585.2352</v>
      </c>
      <c r="U115" s="816">
        <v>44348</v>
      </c>
      <c r="V115" s="806">
        <v>44439</v>
      </c>
      <c r="W115" s="808"/>
      <c r="X115" s="808"/>
      <c r="Y115" s="808"/>
    </row>
    <row r="116">
      <c r="A116" s="741" t="s">
        <v>24</v>
      </c>
      <c r="B116" s="838" t="s">
        <v>1360</v>
      </c>
      <c r="C116" s="839" t="s">
        <v>1361</v>
      </c>
      <c r="D116" s="840" t="s">
        <v>34</v>
      </c>
      <c r="E116" s="841" t="s">
        <v>139</v>
      </c>
      <c r="F116" s="841" t="s">
        <v>140</v>
      </c>
      <c r="G116" s="842">
        <f>1861000/31*22</f>
        <v>1320709.67741935</v>
      </c>
      <c r="H116" s="842"/>
      <c r="I116" s="860">
        <f ref="I116:I118" t="shared" si="39">+$G$5*4.89%</f>
        <v>91002.9</v>
      </c>
      <c r="J116" s="860">
        <f ref="J116:J118" t="shared" si="40">+$G$5*4%</f>
        <v>74440</v>
      </c>
      <c r="K116" s="860">
        <f ref="K116:K118" t="shared" si="41">+$G$5*2%</f>
        <v>37220</v>
      </c>
      <c r="L116" s="860">
        <f ref="L116:L118" t="shared" si="42">1667+13333</f>
        <v>15000</v>
      </c>
      <c r="M116" s="295">
        <f t="shared" si="33"/>
        <v>1538372.57741935</v>
      </c>
      <c r="N116" s="861">
        <f ref="N116:N122" t="shared" si="43">+M116*8%</f>
        <v>123069.806193548</v>
      </c>
      <c r="O116" s="776">
        <v>251000</v>
      </c>
      <c r="P116" s="861"/>
      <c r="Q116" s="861"/>
      <c r="R116" s="867">
        <f ref="R116:R123" t="shared" si="44">SUM(M116:Q116)</f>
        <v>1912442.3836129</v>
      </c>
      <c r="S116" s="867">
        <f ref="S116:S123" t="shared" si="45">N116*0.1</f>
        <v>12306.9806193548</v>
      </c>
      <c r="T116" s="868">
        <f ref="T116:T122" t="shared" si="46">R116+S116</f>
        <v>1924749.36423226</v>
      </c>
      <c r="U116" s="869">
        <v>44402</v>
      </c>
      <c r="V116" s="870">
        <v>44500</v>
      </c>
      <c r="W116" s="871"/>
      <c r="X116" s="872"/>
    </row>
    <row r="117">
      <c r="A117" s="741" t="s">
        <v>24</v>
      </c>
      <c r="B117" s="838" t="s">
        <v>1362</v>
      </c>
      <c r="C117" s="839" t="s">
        <v>1363</v>
      </c>
      <c r="D117" s="840" t="s">
        <v>34</v>
      </c>
      <c r="E117" s="841" t="s">
        <v>139</v>
      </c>
      <c r="F117" s="841" t="s">
        <v>140</v>
      </c>
      <c r="G117" s="842">
        <f>1861000/31*22</f>
        <v>1320709.67741935</v>
      </c>
      <c r="H117" s="842"/>
      <c r="I117" s="860">
        <f t="shared" si="39"/>
        <v>91002.9</v>
      </c>
      <c r="J117" s="860">
        <f t="shared" si="40"/>
        <v>74440</v>
      </c>
      <c r="K117" s="860">
        <f t="shared" si="41"/>
        <v>37220</v>
      </c>
      <c r="L117" s="860">
        <f t="shared" si="42"/>
        <v>15000</v>
      </c>
      <c r="M117" s="295">
        <f t="shared" si="33"/>
        <v>1538372.57741935</v>
      </c>
      <c r="N117" s="861">
        <f t="shared" si="43"/>
        <v>123069.806193548</v>
      </c>
      <c r="O117" s="776">
        <v>0</v>
      </c>
      <c r="P117" s="861"/>
      <c r="Q117" s="861"/>
      <c r="R117" s="867">
        <f t="shared" si="44"/>
        <v>1661442.3836129</v>
      </c>
      <c r="S117" s="867">
        <f t="shared" si="45"/>
        <v>12306.9806193548</v>
      </c>
      <c r="T117" s="868">
        <f t="shared" si="46"/>
        <v>1673749.36423226</v>
      </c>
      <c r="U117" s="869">
        <v>44402</v>
      </c>
      <c r="V117" s="870">
        <v>44500</v>
      </c>
      <c r="W117" s="871"/>
      <c r="X117" s="872"/>
    </row>
    <row r="118">
      <c r="A118" s="741" t="s">
        <v>31</v>
      </c>
      <c r="B118" s="1917">
        <v>2879</v>
      </c>
      <c r="C118" s="839" t="s">
        <v>1364</v>
      </c>
      <c r="D118" s="840" t="s">
        <v>34</v>
      </c>
      <c r="E118" s="841" t="s">
        <v>139</v>
      </c>
      <c r="F118" s="841" t="s">
        <v>140</v>
      </c>
      <c r="G118" s="842">
        <f>1861000/31*4</f>
        <v>240129.032258065</v>
      </c>
      <c r="H118" s="842"/>
      <c r="I118" s="860">
        <f t="shared" si="39"/>
        <v>91002.9</v>
      </c>
      <c r="J118" s="860">
        <f t="shared" si="40"/>
        <v>74440</v>
      </c>
      <c r="K118" s="860">
        <f t="shared" si="41"/>
        <v>37220</v>
      </c>
      <c r="L118" s="860">
        <f t="shared" si="42"/>
        <v>15000</v>
      </c>
      <c r="M118" s="295">
        <f t="shared" si="33"/>
        <v>457791.932258065</v>
      </c>
      <c r="N118" s="861">
        <f t="shared" si="43"/>
        <v>36623.3545806452</v>
      </c>
      <c r="O118" s="776"/>
      <c r="P118" s="861"/>
      <c r="Q118" s="861"/>
      <c r="R118" s="867">
        <f t="shared" si="44"/>
        <v>494415.28683871</v>
      </c>
      <c r="S118" s="867">
        <f t="shared" si="45"/>
        <v>3662.33545806452</v>
      </c>
      <c r="T118" s="868">
        <f t="shared" si="46"/>
        <v>498077.622296774</v>
      </c>
      <c r="U118" s="869">
        <v>44420</v>
      </c>
      <c r="V118" s="870">
        <v>44500</v>
      </c>
      <c r="W118" s="871"/>
      <c r="X118" s="872"/>
    </row>
    <row r="119">
      <c r="A119" s="741" t="s">
        <v>24</v>
      </c>
      <c r="B119" s="843" t="s">
        <v>1365</v>
      </c>
      <c r="C119" s="844" t="s">
        <v>853</v>
      </c>
      <c r="D119" s="845" t="s">
        <v>34</v>
      </c>
      <c r="E119" s="846" t="s">
        <v>139</v>
      </c>
      <c r="F119" s="846" t="s">
        <v>140</v>
      </c>
      <c r="G119" s="847">
        <f>1861000/31*26</f>
        <v>1560838.70967742</v>
      </c>
      <c r="H119" s="847"/>
      <c r="I119" s="862">
        <f t="shared" si="29"/>
        <v>91002.9</v>
      </c>
      <c r="J119" s="862">
        <f t="shared" si="30"/>
        <v>74440</v>
      </c>
      <c r="K119" s="862">
        <f t="shared" si="31"/>
        <v>37220</v>
      </c>
      <c r="L119" s="862">
        <f t="shared" si="32"/>
        <v>15000</v>
      </c>
      <c r="M119" s="289">
        <f t="shared" si="33"/>
        <v>1778501.60967742</v>
      </c>
      <c r="N119" s="863">
        <f t="shared" si="43"/>
        <v>142280.128774194</v>
      </c>
      <c r="O119" s="863">
        <v>1702000</v>
      </c>
      <c r="P119" s="863"/>
      <c r="Q119" s="863"/>
      <c r="R119" s="873">
        <f t="shared" si="44"/>
        <v>3622781.73845161</v>
      </c>
      <c r="S119" s="873">
        <f t="shared" si="45"/>
        <v>14228.0128774194</v>
      </c>
      <c r="T119" s="874">
        <f t="shared" si="46"/>
        <v>3637009.75132903</v>
      </c>
      <c r="U119" s="875">
        <v>44348</v>
      </c>
      <c r="V119" s="876">
        <v>44418</v>
      </c>
      <c r="W119" s="877" t="s">
        <v>1366</v>
      </c>
      <c r="X119" s="877"/>
      <c r="Y119" s="877"/>
    </row>
    <row r="120">
      <c r="A120" s="741" t="s">
        <v>31</v>
      </c>
      <c r="B120" s="1918" t="s">
        <v>1367</v>
      </c>
      <c r="C120" s="848" t="s">
        <v>1368</v>
      </c>
      <c r="D120" s="845" t="s">
        <v>34</v>
      </c>
      <c r="E120" s="845" t="s">
        <v>139</v>
      </c>
      <c r="F120" s="845" t="s">
        <v>140</v>
      </c>
      <c r="G120" s="847"/>
      <c r="H120" s="847">
        <v>-74440</v>
      </c>
      <c r="I120" s="862"/>
      <c r="J120" s="862"/>
      <c r="K120" s="862"/>
      <c r="L120" s="862"/>
      <c r="M120" s="289">
        <f t="shared" si="33"/>
        <v>-74440</v>
      </c>
      <c r="N120" s="863">
        <f t="shared" si="43"/>
        <v>-5955.2</v>
      </c>
      <c r="O120" s="863">
        <v>701000</v>
      </c>
      <c r="P120" s="863"/>
      <c r="Q120" s="863"/>
      <c r="R120" s="873">
        <f t="shared" si="44"/>
        <v>620604.8</v>
      </c>
      <c r="S120" s="873">
        <f t="shared" si="45"/>
        <v>-595.52</v>
      </c>
      <c r="T120" s="874">
        <f t="shared" si="46"/>
        <v>620009.28</v>
      </c>
      <c r="U120" s="878">
        <v>44348</v>
      </c>
      <c r="V120" s="876">
        <v>44392</v>
      </c>
      <c r="W120" s="877" t="s">
        <v>1369</v>
      </c>
      <c r="X120" s="877" t="s">
        <v>1370</v>
      </c>
    </row>
    <row r="121">
      <c r="A121" s="741" t="s">
        <v>31</v>
      </c>
      <c r="B121" s="1873" t="s">
        <v>1371</v>
      </c>
      <c r="C121" s="844" t="s">
        <v>1372</v>
      </c>
      <c r="D121" s="845" t="s">
        <v>34</v>
      </c>
      <c r="E121" s="846" t="s">
        <v>139</v>
      </c>
      <c r="F121" s="846" t="s">
        <v>140</v>
      </c>
      <c r="G121" s="847"/>
      <c r="H121" s="847"/>
      <c r="I121" s="862"/>
      <c r="J121" s="862"/>
      <c r="K121" s="862"/>
      <c r="L121" s="862"/>
      <c r="M121" s="289">
        <f t="shared" si="33"/>
        <v>0</v>
      </c>
      <c r="N121" s="863">
        <f t="shared" si="43"/>
        <v>0</v>
      </c>
      <c r="O121" s="863">
        <v>381000</v>
      </c>
      <c r="P121" s="863"/>
      <c r="Q121" s="863"/>
      <c r="R121" s="873">
        <f t="shared" si="44"/>
        <v>381000</v>
      </c>
      <c r="S121" s="873">
        <f t="shared" si="45"/>
        <v>0</v>
      </c>
      <c r="T121" s="874">
        <f t="shared" si="46"/>
        <v>381000</v>
      </c>
      <c r="U121" s="875">
        <v>44376</v>
      </c>
      <c r="V121" s="876">
        <v>44392</v>
      </c>
      <c r="W121" s="877" t="s">
        <v>1373</v>
      </c>
      <c r="X121" s="877" t="s">
        <v>1370</v>
      </c>
    </row>
    <row r="122">
      <c r="A122" s="741" t="s">
        <v>31</v>
      </c>
      <c r="B122" s="1873" t="s">
        <v>1374</v>
      </c>
      <c r="C122" s="844" t="s">
        <v>1375</v>
      </c>
      <c r="D122" s="845" t="s">
        <v>34</v>
      </c>
      <c r="E122" s="846" t="s">
        <v>139</v>
      </c>
      <c r="F122" s="846" t="s">
        <v>140</v>
      </c>
      <c r="G122" s="847"/>
      <c r="H122" s="847"/>
      <c r="I122" s="862"/>
      <c r="J122" s="862"/>
      <c r="K122" s="862"/>
      <c r="L122" s="862"/>
      <c r="M122" s="289">
        <f t="shared" si="33"/>
        <v>0</v>
      </c>
      <c r="N122" s="863">
        <f t="shared" si="43"/>
        <v>0</v>
      </c>
      <c r="O122" s="863">
        <v>41000</v>
      </c>
      <c r="P122" s="863"/>
      <c r="Q122" s="863"/>
      <c r="R122" s="873">
        <f t="shared" si="44"/>
        <v>41000</v>
      </c>
      <c r="S122" s="873">
        <f t="shared" si="45"/>
        <v>0</v>
      </c>
      <c r="T122" s="874">
        <f t="shared" si="46"/>
        <v>41000</v>
      </c>
      <c r="U122" s="875">
        <v>44348</v>
      </c>
      <c r="V122" s="876">
        <v>44387</v>
      </c>
      <c r="W122" s="877" t="s">
        <v>1376</v>
      </c>
      <c r="X122" s="877"/>
    </row>
    <row r="123">
      <c r="A123" s="849" t="s">
        <v>30</v>
      </c>
      <c r="B123" s="1919"/>
      <c r="C123" s="850" t="s">
        <v>1058</v>
      </c>
      <c r="D123" s="851" t="s">
        <v>34</v>
      </c>
      <c r="E123" s="851" t="s">
        <v>139</v>
      </c>
      <c r="F123" s="851" t="s">
        <v>140</v>
      </c>
      <c r="G123" s="852">
        <f>1861000/31*21</f>
        <v>1260677.41935484</v>
      </c>
      <c r="H123" s="852"/>
      <c r="I123" s="864">
        <f>+$G$5*4.89%</f>
        <v>91002.9</v>
      </c>
      <c r="J123" s="864">
        <f>+$G$5*4%</f>
        <v>74440</v>
      </c>
      <c r="K123" s="864">
        <f>+$G$5*2%</f>
        <v>37220</v>
      </c>
      <c r="L123" s="864">
        <f>1667+13333</f>
        <v>15000</v>
      </c>
      <c r="M123" s="865">
        <f t="shared" si="33"/>
        <v>1478340.31935484</v>
      </c>
      <c r="N123" s="866">
        <f>+M123*8%</f>
        <v>118267.225548387</v>
      </c>
      <c r="O123" s="866">
        <v>1455000</v>
      </c>
      <c r="P123" s="866"/>
      <c r="Q123" s="866"/>
      <c r="R123" s="879">
        <f t="shared" si="44"/>
        <v>3051607.54490323</v>
      </c>
      <c r="S123" s="879">
        <f t="shared" si="45"/>
        <v>11826.7225548387</v>
      </c>
      <c r="T123" s="880">
        <f>R123+S123</f>
        <v>3063434.26745806</v>
      </c>
      <c r="U123" s="881">
        <v>44317</v>
      </c>
      <c r="V123" s="882">
        <v>44414</v>
      </c>
      <c r="W123" s="883" t="s">
        <v>1377</v>
      </c>
      <c r="X123" s="884"/>
    </row>
    <row r="124">
      <c r="A124" s="741" t="s">
        <v>30</v>
      </c>
      <c r="B124" s="1920"/>
      <c r="C124" s="749"/>
      <c r="D124" s="731"/>
      <c r="E124" s="741"/>
      <c r="F124" s="741"/>
      <c r="G124" s="743"/>
      <c r="H124" s="743"/>
      <c r="I124" s="775"/>
      <c r="J124" s="775"/>
      <c r="K124" s="775"/>
      <c r="L124" s="775"/>
      <c r="M124" s="776"/>
      <c r="N124" s="776"/>
      <c r="O124" s="776"/>
      <c r="P124" s="776"/>
      <c r="Q124" s="776"/>
      <c r="R124" s="803"/>
      <c r="S124" s="803"/>
      <c r="T124" s="804"/>
      <c r="U124" s="816"/>
      <c r="V124" s="806"/>
      <c r="W124" s="808"/>
      <c r="X124" s="808"/>
    </row>
    <row r="125">
      <c r="A125" s="1765" t="s">
        <v>30</v>
      </c>
      <c r="B125" s="1921"/>
      <c r="C125" s="1766"/>
      <c r="D125" s="1767"/>
      <c r="E125" s="853"/>
      <c r="F125" s="853"/>
      <c r="G125" s="854">
        <f ref="G125:T125" t="shared" si="49">SUM(G29:G124)</f>
        <v>167610064.516129</v>
      </c>
      <c r="H125" s="854">
        <f t="shared" si="49"/>
        <v>-893280</v>
      </c>
      <c r="I125" s="854">
        <f t="shared" si="49"/>
        <v>8372266.80000001</v>
      </c>
      <c r="J125" s="854">
        <f t="shared" si="49"/>
        <v>6848480</v>
      </c>
      <c r="K125" s="854">
        <f t="shared" si="49"/>
        <v>3424240</v>
      </c>
      <c r="L125" s="854">
        <f t="shared" si="49"/>
        <v>1380000</v>
      </c>
      <c r="M125" s="854">
        <f t="shared" si="49"/>
        <v>186741771.316129</v>
      </c>
      <c r="N125" s="854">
        <f t="shared" si="49"/>
        <v>14939341.7052903</v>
      </c>
      <c r="O125" s="854">
        <f t="shared" si="49"/>
        <v>146273000</v>
      </c>
      <c r="P125" s="854">
        <f t="shared" si="49"/>
        <v>0</v>
      </c>
      <c r="Q125" s="854">
        <f t="shared" si="49"/>
        <v>0</v>
      </c>
      <c r="R125" s="854">
        <f t="shared" si="49"/>
        <v>347954113.021419</v>
      </c>
      <c r="S125" s="854">
        <f t="shared" si="49"/>
        <v>1493934.17052903</v>
      </c>
      <c r="T125" s="854">
        <f t="shared" si="49"/>
        <v>349448047.191948</v>
      </c>
      <c r="U125" s="854"/>
      <c r="V125" s="854"/>
    </row>
    <row r="126">
      <c r="A126" s="768" t="s">
        <v>30</v>
      </c>
      <c r="B126" s="1922"/>
      <c r="C126" s="855"/>
      <c r="D126" s="718"/>
      <c r="E126" s="719"/>
      <c r="F126" s="719"/>
      <c r="G126" s="856"/>
      <c r="H126" s="856"/>
      <c r="I126" s="856"/>
      <c r="J126" s="856"/>
      <c r="K126" s="856"/>
      <c r="L126" s="856"/>
      <c r="M126" s="856"/>
      <c r="N126" s="856"/>
      <c r="O126" s="856"/>
      <c r="P126" s="856"/>
      <c r="Q126" s="856"/>
      <c r="R126" s="856"/>
      <c r="S126" s="856"/>
      <c r="T126" s="856"/>
      <c r="U126" s="885"/>
      <c r="V126" s="885"/>
    </row>
    <row r="127">
      <c r="A127" s="1768" t="s">
        <v>30</v>
      </c>
      <c r="B127" s="1923"/>
      <c r="C127" s="1769"/>
      <c r="D127" s="1769"/>
      <c r="E127" s="1769"/>
      <c r="F127" s="1770"/>
      <c r="G127" s="857">
        <f ref="G127:T127" t="shared" si="50">+G125+G26</f>
        <v>205608064.516129</v>
      </c>
      <c r="H127" s="857">
        <f t="shared" si="50"/>
        <v>-893280</v>
      </c>
      <c r="I127" s="857">
        <f t="shared" si="50"/>
        <v>10101321.9</v>
      </c>
      <c r="J127" s="857">
        <f t="shared" si="50"/>
        <v>8262840</v>
      </c>
      <c r="K127" s="857">
        <f t="shared" si="50"/>
        <v>4131420</v>
      </c>
      <c r="L127" s="857">
        <f t="shared" si="50"/>
        <v>1411666.66666667</v>
      </c>
      <c r="M127" s="857">
        <f t="shared" si="50"/>
        <v>228622033.082796</v>
      </c>
      <c r="N127" s="857">
        <f t="shared" si="50"/>
        <v>18289762.6466236</v>
      </c>
      <c r="O127" s="857">
        <f t="shared" si="50"/>
        <v>156773000</v>
      </c>
      <c r="P127" s="857">
        <f t="shared" si="50"/>
        <v>900000</v>
      </c>
      <c r="Q127" s="857">
        <f t="shared" si="50"/>
        <v>5080000</v>
      </c>
      <c r="R127" s="857">
        <f t="shared" si="50"/>
        <v>409664795.729419</v>
      </c>
      <c r="S127" s="857">
        <f t="shared" si="50"/>
        <v>1828976.26466236</v>
      </c>
      <c r="T127" s="857">
        <f t="shared" si="50"/>
        <v>411493771.994081</v>
      </c>
      <c r="U127" s="857"/>
      <c r="V127" s="886"/>
    </row>
    <row r="128">
      <c r="A128" s="858" t="s">
        <v>30</v>
      </c>
      <c r="B128" s="1891"/>
      <c r="C128" s="858"/>
      <c r="D128" s="858"/>
      <c r="E128" s="858"/>
      <c r="F128" s="858"/>
      <c r="G128" s="859"/>
      <c r="H128" s="859"/>
      <c r="I128" s="859"/>
      <c r="J128" s="859"/>
      <c r="K128" s="859"/>
      <c r="L128" s="859"/>
      <c r="M128" s="859"/>
      <c r="N128" s="859"/>
      <c r="O128" s="859"/>
      <c r="P128" s="859"/>
      <c r="Q128" s="859"/>
      <c r="R128" s="859"/>
      <c r="S128" s="859"/>
      <c r="T128" s="859"/>
      <c r="U128" s="887"/>
      <c r="V128" s="887"/>
    </row>
    <row r="129">
      <c r="A129" s="858" t="s">
        <v>30</v>
      </c>
      <c r="B129" s="1891"/>
      <c r="C129" s="858"/>
      <c r="D129" s="858"/>
      <c r="E129" s="858"/>
      <c r="F129" s="858"/>
      <c r="G129" s="859"/>
      <c r="H129" s="859"/>
      <c r="I129" s="859"/>
      <c r="J129" s="859"/>
      <c r="K129" s="859"/>
      <c r="L129" s="859"/>
      <c r="M129" s="859"/>
      <c r="N129" s="859"/>
      <c r="O129" s="859"/>
      <c r="P129" s="859"/>
      <c r="Q129" s="859"/>
      <c r="R129" s="859"/>
      <c r="S129" s="859"/>
      <c r="T129" s="859"/>
      <c r="U129" s="887"/>
      <c r="V129" s="887"/>
    </row>
    <row r="130">
      <c r="A130" s="0" t="s">
        <v>30</v>
      </c>
      <c r="B130" s="1924"/>
      <c r="C130" s="889" t="str">
        <f>+'MATARAM ANTERAJA AGUSTUS - OK'!C16</f>
        <v>Karawang, 16 Agustus 2021</v>
      </c>
      <c r="D130" s="768"/>
      <c r="E130" s="768"/>
      <c r="F130" s="768"/>
      <c r="G130" s="890"/>
      <c r="H130" s="890"/>
      <c r="I130" s="894"/>
      <c r="J130" s="894"/>
      <c r="K130" s="894"/>
      <c r="L130" s="894"/>
      <c r="M130" s="894"/>
      <c r="N130" s="894"/>
      <c r="O130" s="894"/>
      <c r="P130" s="894"/>
      <c r="Q130" s="894"/>
      <c r="R130" s="894"/>
      <c r="S130" s="894"/>
      <c r="T130" s="894"/>
      <c r="U130" s="885"/>
      <c r="V130" s="795"/>
    </row>
    <row r="131">
      <c r="A131" s="0" t="s">
        <v>30</v>
      </c>
      <c r="B131" s="1861"/>
      <c r="D131" s="891"/>
      <c r="E131" s="889"/>
      <c r="F131" s="889"/>
      <c r="G131" s="720"/>
      <c r="H131" s="720"/>
      <c r="I131" s="768"/>
      <c r="J131" s="768"/>
      <c r="K131" s="768"/>
      <c r="L131" s="768"/>
      <c r="M131" s="768"/>
      <c r="N131" s="894"/>
      <c r="O131" s="894"/>
      <c r="P131" s="894"/>
      <c r="Q131" s="894"/>
      <c r="R131" s="768"/>
      <c r="S131" s="768"/>
      <c r="T131" s="894"/>
      <c r="U131" s="885"/>
      <c r="V131" s="795"/>
    </row>
    <row r="132">
      <c r="A132" s="0" t="s">
        <v>30</v>
      </c>
      <c r="B132" s="1861"/>
      <c r="C132" s="889" t="s">
        <v>916</v>
      </c>
      <c r="D132" s="892"/>
      <c r="E132" s="889"/>
      <c r="F132" s="889"/>
      <c r="G132" s="856"/>
      <c r="H132" s="856"/>
      <c r="I132" s="895"/>
      <c r="J132" s="895"/>
      <c r="K132" s="895"/>
      <c r="L132" s="896"/>
      <c r="M132" s="891" t="s">
        <v>39</v>
      </c>
      <c r="N132" s="797"/>
      <c r="O132" s="797"/>
      <c r="P132" s="855"/>
      <c r="Q132" s="855"/>
      <c r="R132" s="898"/>
      <c r="S132" s="768"/>
      <c r="T132" s="797"/>
      <c r="U132" s="885"/>
      <c r="V132" s="885"/>
    </row>
    <row r="133">
      <c r="A133" s="0" t="s">
        <v>30</v>
      </c>
      <c r="B133" s="1861"/>
      <c r="C133" s="717"/>
      <c r="D133" s="718"/>
      <c r="E133" s="719"/>
      <c r="F133" s="719"/>
      <c r="G133" s="856"/>
      <c r="H133" s="856"/>
      <c r="I133" s="895"/>
      <c r="J133" s="897"/>
      <c r="K133" s="895"/>
      <c r="L133" s="896"/>
      <c r="M133" s="895"/>
      <c r="N133" s="768"/>
      <c r="O133" s="720"/>
      <c r="P133" s="768"/>
      <c r="Q133" s="768"/>
      <c r="R133" s="898"/>
      <c r="S133" s="768"/>
      <c r="T133" s="768"/>
      <c r="U133" s="885"/>
      <c r="V133" s="885"/>
    </row>
    <row r="134">
      <c r="A134" s="0" t="s">
        <v>30</v>
      </c>
      <c r="B134" s="1861"/>
      <c r="C134" s="717"/>
      <c r="D134" s="718"/>
      <c r="E134" s="719"/>
      <c r="F134" s="719"/>
      <c r="G134" s="720"/>
      <c r="H134" s="720"/>
      <c r="I134" s="720"/>
      <c r="J134" s="768"/>
      <c r="K134" s="768"/>
      <c r="L134" s="894"/>
      <c r="M134" s="768"/>
      <c r="N134" s="768"/>
      <c r="O134" s="797"/>
      <c r="P134" s="768"/>
      <c r="Q134" s="768"/>
      <c r="R134" s="719"/>
      <c r="S134" s="768"/>
      <c r="T134" s="768"/>
      <c r="U134" s="885"/>
      <c r="V134" s="885"/>
    </row>
    <row r="135">
      <c r="A135" s="0" t="s">
        <v>30</v>
      </c>
      <c r="B135" s="1861"/>
      <c r="C135" s="888"/>
      <c r="D135" s="892"/>
      <c r="E135" s="889"/>
      <c r="F135" s="889"/>
      <c r="G135" s="856"/>
      <c r="H135" s="856"/>
      <c r="I135" s="856"/>
      <c r="J135" s="895"/>
      <c r="K135" s="895"/>
      <c r="L135" s="896"/>
      <c r="M135" s="895"/>
      <c r="N135" s="895"/>
      <c r="O135" s="895"/>
      <c r="P135" s="895"/>
      <c r="Q135" s="895"/>
      <c r="R135" s="889"/>
      <c r="S135" s="768"/>
      <c r="T135" s="768"/>
      <c r="U135" s="885"/>
      <c r="V135" s="885"/>
    </row>
    <row r="136">
      <c r="A136" s="0" t="s">
        <v>30</v>
      </c>
      <c r="B136" s="1861"/>
      <c r="C136" s="888"/>
      <c r="D136" s="892"/>
      <c r="E136" s="889"/>
      <c r="F136" s="889"/>
      <c r="G136" s="856"/>
      <c r="H136" s="856"/>
      <c r="I136" s="856"/>
      <c r="J136" s="895"/>
      <c r="K136" s="895"/>
      <c r="L136" s="896"/>
      <c r="M136" s="895"/>
      <c r="N136" s="895"/>
      <c r="O136" s="895"/>
      <c r="P136" s="895"/>
      <c r="Q136" s="895"/>
      <c r="R136" s="889"/>
      <c r="S136" s="768"/>
      <c r="T136" s="768"/>
      <c r="U136" s="885"/>
      <c r="V136" s="885"/>
    </row>
    <row r="137">
      <c r="A137" s="0" t="s">
        <v>30</v>
      </c>
      <c r="B137" s="1861"/>
      <c r="C137" s="889"/>
      <c r="D137" s="889"/>
      <c r="E137" s="889"/>
      <c r="F137" s="889"/>
      <c r="G137" s="856"/>
      <c r="H137" s="856"/>
      <c r="I137" s="856"/>
      <c r="J137" s="895"/>
      <c r="K137" s="895"/>
      <c r="L137" s="896"/>
      <c r="M137" s="895"/>
      <c r="N137" s="895"/>
      <c r="O137" s="895"/>
      <c r="P137" s="895"/>
      <c r="Q137" s="895"/>
      <c r="R137" s="889"/>
      <c r="S137" s="719"/>
      <c r="T137" s="768"/>
      <c r="U137" s="885"/>
      <c r="V137" s="885"/>
    </row>
    <row r="138">
      <c r="A138" s="0" t="s">
        <v>30</v>
      </c>
      <c r="B138" s="1861"/>
      <c r="C138" s="889"/>
      <c r="D138" s="889"/>
      <c r="E138" s="889"/>
      <c r="F138" s="889"/>
      <c r="G138" s="856"/>
      <c r="H138" s="856"/>
      <c r="I138" s="856"/>
      <c r="J138" s="895"/>
      <c r="K138" s="895"/>
      <c r="L138" s="896"/>
      <c r="M138" s="895"/>
      <c r="N138" s="895"/>
      <c r="O138" s="895"/>
      <c r="P138" s="895"/>
      <c r="Q138" s="895"/>
      <c r="R138" s="889"/>
      <c r="S138" s="768"/>
      <c r="T138" s="855"/>
      <c r="U138" s="885"/>
      <c r="V138" s="885"/>
    </row>
    <row r="139">
      <c r="A139" s="0" t="s">
        <v>30</v>
      </c>
      <c r="B139" s="1861"/>
      <c r="C139" s="889" t="s">
        <v>40</v>
      </c>
      <c r="D139" s="855"/>
      <c r="E139" s="889"/>
      <c r="F139" s="889"/>
      <c r="G139" s="856"/>
      <c r="H139" s="856"/>
      <c r="I139" s="856"/>
      <c r="J139" s="896" t="s">
        <v>41</v>
      </c>
      <c r="K139" s="891"/>
      <c r="L139" s="891"/>
      <c r="M139" s="891" t="s">
        <v>42</v>
      </c>
      <c r="N139" s="891"/>
      <c r="O139" s="891"/>
      <c r="P139" s="889" t="s">
        <v>43</v>
      </c>
      <c r="Q139" s="891"/>
      <c r="R139" s="855"/>
      <c r="S139" s="855"/>
      <c r="T139" s="855"/>
      <c r="U139" s="899"/>
      <c r="V139" s="899"/>
    </row>
    <row r="140">
      <c r="A140" s="891" t="s">
        <v>30</v>
      </c>
      <c r="B140" s="1891"/>
      <c r="C140" s="892"/>
      <c r="D140" s="889"/>
      <c r="E140" s="889"/>
      <c r="F140" s="893"/>
      <c r="G140" s="856"/>
      <c r="H140" s="856"/>
      <c r="I140" s="891"/>
      <c r="J140" s="891"/>
      <c r="K140" s="891"/>
      <c r="L140" s="891"/>
      <c r="M140" s="856"/>
      <c r="N140" s="891"/>
      <c r="O140" s="891"/>
      <c r="P140" s="891"/>
      <c r="Q140" s="891"/>
      <c r="R140" s="891"/>
      <c r="S140" s="855"/>
      <c r="T140" s="855"/>
      <c r="U140" s="899"/>
      <c r="V140" s="899"/>
    </row>
    <row r="141">
      <c r="A141" s="855" t="s">
        <v>30</v>
      </c>
      <c r="B141" s="1925"/>
      <c r="C141" s="718"/>
      <c r="D141" s="719"/>
      <c r="E141" s="719"/>
      <c r="F141" s="719"/>
      <c r="G141" s="720"/>
      <c r="H141" s="720"/>
      <c r="I141" s="855"/>
      <c r="J141" s="855"/>
      <c r="K141" s="855"/>
      <c r="L141" s="855"/>
      <c r="M141" s="720"/>
      <c r="N141" s="855"/>
      <c r="O141" s="855"/>
      <c r="P141" s="855"/>
      <c r="Q141" s="855"/>
      <c r="R141" s="855"/>
      <c r="S141" s="855"/>
      <c r="T141" s="855"/>
    </row>
  </sheetData>
  <autoFilter ref="A6:V26"/>
  <mergeCells>
    <mergeCell ref="A26:D26"/>
    <mergeCell ref="A125:D125"/>
    <mergeCell ref="A127:F127"/>
  </mergeCells>
  <printOptions horizontalCentered="1"/>
  <pageMargins left="0" right="0" top="0" bottom="0" header="0.3" footer="0.179166666666667"/>
  <pageSetup paperSize="9" scale="62" fitToHeight="0" orientation="landscape"/>
  <headerFooter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AA39"/>
  <sheetViews>
    <sheetView zoomScale="85" zoomScaleNormal="85" workbookViewId="0">
      <pane xSplit="7" ySplit="6" topLeftCell="H7" activePane="bottomRight" state="frozen"/>
      <selection activeCell="M59" sqref="M59"/>
      <selection pane="topRight" activeCell="M59" sqref="M59"/>
      <selection pane="bottomLeft" activeCell="M59" sqref="M59"/>
      <selection pane="bottomRight" activeCell="M59" sqref="M59"/>
    </sheetView>
  </sheetViews>
  <sheetFormatPr defaultColWidth="9.140625" defaultRowHeight="15"/>
  <cols>
    <col min="1" max="2" width="4.5703125" customWidth="1"/>
    <col min="3" max="3" width="21.7109375" customWidth="1"/>
    <col min="4" max="4" width="12.28515625" customWidth="1"/>
    <col min="5" max="5" hidden="1" width="11.28515625" customWidth="1"/>
    <col min="6" max="6" hidden="1" width="10.5703125" customWidth="1"/>
    <col min="7" max="7" width="12.7109375" customWidth="1"/>
    <col min="8" max="8" width="11.85546875" customWidth="1"/>
    <col min="9" max="9" width="11.5703125" customWidth="1"/>
    <col min="10" max="10" width="14.28515625" customWidth="1"/>
    <col min="11" max="11" width="13.140625" customWidth="1"/>
    <col min="12" max="12" width="14.5703125" customWidth="1"/>
    <col min="13" max="13" width="14.7109375" customWidth="1"/>
    <col min="14" max="14" width="12.28515625" customWidth="1"/>
    <col min="15" max="15" width="12.42578125" customWidth="1"/>
    <col min="16" max="16" width="11.7109375" customWidth="1"/>
    <col min="17" max="17" width="12.28515625" customWidth="1"/>
    <col min="18" max="18" width="12.7109375" customWidth="1"/>
    <col min="19" max="19" width="10" customWidth="1"/>
    <col min="20" max="20" width="12.85546875" customWidth="1"/>
    <col min="21" max="21" width="7.85546875" customWidth="1"/>
    <col min="22" max="22" width="8.140625" customWidth="1"/>
    <col min="23" max="23" width="12.7109375" customWidth="1"/>
    <col min="24" max="24" width="9.140625" customWidth="1"/>
  </cols>
  <sheetData>
    <row r="1">
      <c r="A1" s="550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550" t="s">
        <v>1378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550" t="s">
        <v>1379</v>
      </c>
      <c r="B3" s="211"/>
      <c r="C3" s="212"/>
      <c r="D3" s="211"/>
      <c r="E3" s="211"/>
      <c r="F3" s="211"/>
      <c r="G3" s="213"/>
      <c r="H3" s="213"/>
      <c r="I3" s="281"/>
      <c r="J3" s="280"/>
      <c r="K3" s="280"/>
      <c r="L3" s="280"/>
      <c r="M3" s="210"/>
      <c r="N3" s="280"/>
      <c r="O3" s="280"/>
      <c r="P3" s="280"/>
      <c r="Q3" s="280"/>
      <c r="R3" s="280"/>
      <c r="S3" s="280"/>
      <c r="T3" s="280"/>
      <c r="U3" s="280"/>
      <c r="V3" s="318"/>
      <c r="W3" s="656"/>
      <c r="X3" s="280"/>
    </row>
    <row r="4">
      <c r="A4" s="550"/>
      <c r="B4" s="208"/>
      <c r="C4" s="209"/>
      <c r="D4" s="208"/>
      <c r="E4" s="208"/>
      <c r="F4" s="211"/>
      <c r="G4" s="213"/>
      <c r="H4" s="213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11"/>
      <c r="G5" s="214">
        <v>2810025</v>
      </c>
      <c r="H5" s="214"/>
      <c r="I5" s="281"/>
      <c r="M5" s="210"/>
      <c r="U5" s="316"/>
      <c r="V5" s="317"/>
    </row>
    <row r="6" ht="21.75" customHeight="1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639" t="s">
        <v>11</v>
      </c>
      <c r="K6" s="283" t="s">
        <v>12</v>
      </c>
      <c r="L6" s="284" t="s">
        <v>13</v>
      </c>
      <c r="M6" s="284" t="s">
        <v>14</v>
      </c>
      <c r="N6" s="285" t="s">
        <v>15</v>
      </c>
      <c r="O6" s="285" t="s">
        <v>32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227" t="s">
        <v>24</v>
      </c>
      <c r="B7" s="1538" t="s">
        <v>1380</v>
      </c>
      <c r="C7" s="678" t="s">
        <v>1381</v>
      </c>
      <c r="D7" s="677" t="s">
        <v>26</v>
      </c>
      <c r="E7" s="679" t="s">
        <v>176</v>
      </c>
      <c r="F7" s="677" t="s">
        <v>261</v>
      </c>
      <c r="G7" s="680">
        <v>2810025</v>
      </c>
      <c r="H7" s="680"/>
      <c r="I7" s="293">
        <f>+$G$5*4.89%</f>
        <v>137410.2225</v>
      </c>
      <c r="J7" s="293">
        <f>+$G$5*4%</f>
        <v>112401</v>
      </c>
      <c r="K7" s="293">
        <f>+$G$5*2%</f>
        <v>56200.5</v>
      </c>
      <c r="L7" s="701">
        <v>1667</v>
      </c>
      <c r="M7" s="295">
        <f>SUM(G7:L7)</f>
        <v>3117703.7225</v>
      </c>
      <c r="N7" s="296">
        <f>+M7*8%</f>
        <v>249416.29780000003</v>
      </c>
      <c r="O7" s="702">
        <v>500000</v>
      </c>
      <c r="P7" s="702">
        <v>100000</v>
      </c>
      <c r="Q7" s="296">
        <f>19*12000</f>
        <v>228000</v>
      </c>
      <c r="R7" s="328">
        <f>SUM(M7:Q7)</f>
        <v>4195120.0203</v>
      </c>
      <c r="S7" s="328">
        <f>N7*0.1</f>
        <v>24941.629780000003</v>
      </c>
      <c r="T7" s="329">
        <f>R7+S7</f>
        <v>4220061.65008</v>
      </c>
      <c r="U7" s="703">
        <v>44348</v>
      </c>
      <c r="V7" s="580">
        <v>44439</v>
      </c>
      <c r="W7" s="704"/>
      <c r="X7" s="664"/>
      <c r="Y7" s="664"/>
      <c r="Z7" s="1539" t="s">
        <v>1382</v>
      </c>
      <c r="AA7" s="387" t="str">
        <f ref="AA7:AA15" t="shared" si="0">+Z7&amp;B7</f>
        <v>00369</v>
      </c>
    </row>
    <row r="8" ht="18" customHeight="1">
      <c r="A8" s="1771" t="s">
        <v>30</v>
      </c>
      <c r="B8" s="1926"/>
      <c r="C8" s="1772"/>
      <c r="D8" s="1772"/>
      <c r="E8" s="1772"/>
      <c r="F8" s="1772"/>
      <c r="G8" s="681">
        <f ref="G8:T8" t="shared" si="1">SUM(G7:G7)</f>
        <v>2810025</v>
      </c>
      <c r="H8" s="681">
        <f t="shared" si="1"/>
        <v>0</v>
      </c>
      <c r="I8" s="681">
        <f t="shared" si="1"/>
        <v>137410.2225</v>
      </c>
      <c r="J8" s="681">
        <f t="shared" si="1"/>
        <v>112401</v>
      </c>
      <c r="K8" s="681">
        <f t="shared" si="1"/>
        <v>56200.5</v>
      </c>
      <c r="L8" s="681">
        <f t="shared" si="1"/>
        <v>1667</v>
      </c>
      <c r="M8" s="681">
        <f t="shared" si="1"/>
        <v>3117703.7225</v>
      </c>
      <c r="N8" s="681">
        <f t="shared" si="1"/>
        <v>249416.29780000003</v>
      </c>
      <c r="O8" s="681">
        <f t="shared" si="1"/>
        <v>500000</v>
      </c>
      <c r="P8" s="681">
        <f t="shared" si="1"/>
        <v>100000</v>
      </c>
      <c r="Q8" s="681">
        <f t="shared" si="1"/>
        <v>228000</v>
      </c>
      <c r="R8" s="681">
        <f t="shared" si="1"/>
        <v>4195120.0203</v>
      </c>
      <c r="S8" s="681">
        <f t="shared" si="1"/>
        <v>24941.629780000003</v>
      </c>
      <c r="T8" s="681">
        <f t="shared" si="1"/>
        <v>4220061.65008</v>
      </c>
      <c r="U8" s="681"/>
      <c r="V8" s="705"/>
    </row>
    <row r="9" ht="11.25" customHeight="1">
      <c r="A9" s="682" t="s">
        <v>30</v>
      </c>
      <c r="B9" s="1927"/>
      <c r="C9" s="682"/>
      <c r="D9" s="682"/>
      <c r="E9" s="682"/>
      <c r="F9" s="682"/>
      <c r="G9" s="683"/>
      <c r="H9" s="683"/>
      <c r="I9" s="683"/>
      <c r="J9" s="683"/>
      <c r="K9" s="683"/>
      <c r="L9" s="683"/>
      <c r="M9" s="683"/>
      <c r="N9" s="683"/>
      <c r="O9" s="683"/>
      <c r="P9" s="683"/>
      <c r="Q9" s="683"/>
      <c r="R9" s="683"/>
      <c r="S9" s="683"/>
      <c r="T9" s="683"/>
      <c r="U9" s="683"/>
      <c r="V9" s="683"/>
    </row>
    <row r="10" ht="21.75" customHeight="1">
      <c r="A10" s="215" t="s">
        <v>31</v>
      </c>
      <c r="B10" s="1908" t="s">
        <v>3</v>
      </c>
      <c r="C10" s="216" t="s">
        <v>4</v>
      </c>
      <c r="D10" s="216" t="s">
        <v>5</v>
      </c>
      <c r="E10" s="216" t="s">
        <v>6</v>
      </c>
      <c r="F10" s="217" t="s">
        <v>7</v>
      </c>
      <c r="G10" s="218" t="s">
        <v>8</v>
      </c>
      <c r="H10" s="219" t="s">
        <v>9</v>
      </c>
      <c r="I10" s="282" t="s">
        <v>10</v>
      </c>
      <c r="J10" s="639" t="s">
        <v>11</v>
      </c>
      <c r="K10" s="283" t="s">
        <v>12</v>
      </c>
      <c r="L10" s="284" t="s">
        <v>13</v>
      </c>
      <c r="M10" s="284" t="s">
        <v>14</v>
      </c>
      <c r="N10" s="285" t="s">
        <v>15</v>
      </c>
      <c r="O10" s="285" t="s">
        <v>32</v>
      </c>
      <c r="P10" s="285" t="s">
        <v>17</v>
      </c>
      <c r="Q10" s="285" t="s">
        <v>18</v>
      </c>
      <c r="R10" s="319" t="s">
        <v>19</v>
      </c>
      <c r="S10" s="320" t="s">
        <v>20</v>
      </c>
      <c r="T10" s="320" t="s">
        <v>21</v>
      </c>
      <c r="U10" s="321" t="s">
        <v>22</v>
      </c>
      <c r="V10" s="322" t="s">
        <v>23</v>
      </c>
    </row>
    <row r="11" ht="18" customHeight="1">
      <c r="A11" s="684" t="s">
        <v>24</v>
      </c>
      <c r="B11" s="1540" t="s">
        <v>1383</v>
      </c>
      <c r="C11" s="678" t="s">
        <v>1384</v>
      </c>
      <c r="D11" s="685" t="s">
        <v>34</v>
      </c>
      <c r="E11" s="686" t="s">
        <v>176</v>
      </c>
      <c r="F11" s="685" t="s">
        <v>261</v>
      </c>
      <c r="G11" s="621">
        <v>2810025</v>
      </c>
      <c r="H11" s="621"/>
      <c r="I11" s="647">
        <f ref="I11:I22" t="shared" si="2">+$G$5*4.89%</f>
        <v>137410.2225</v>
      </c>
      <c r="J11" s="647">
        <f ref="J11:J22" t="shared" si="3">+$G$5*4%</f>
        <v>112401</v>
      </c>
      <c r="K11" s="647">
        <f ref="K11:K22" t="shared" si="4">+$G$5*2%</f>
        <v>56200.5</v>
      </c>
      <c r="L11" s="647">
        <v>15000</v>
      </c>
      <c r="M11" s="295">
        <f ref="M11:M22" t="shared" si="5">SUM(G11:L11)</f>
        <v>3131036.7225</v>
      </c>
      <c r="N11" s="296">
        <f ref="N11:N22" t="shared" si="6">+M11*8%</f>
        <v>250482.9378</v>
      </c>
      <c r="O11" s="296">
        <v>40000</v>
      </c>
      <c r="P11" s="296"/>
      <c r="Q11" s="296"/>
      <c r="R11" s="328">
        <f ref="R11:R22" t="shared" si="7">SUM(M11:Q11)</f>
        <v>3421519.6603</v>
      </c>
      <c r="S11" s="328">
        <f ref="S11:S22" t="shared" si="8">N11*0.1</f>
        <v>25048.293780000004</v>
      </c>
      <c r="T11" s="329">
        <f ref="T11:T22" t="shared" si="9">R11+S11</f>
        <v>3446567.95408</v>
      </c>
      <c r="U11" s="579">
        <v>44378</v>
      </c>
      <c r="V11" s="580">
        <v>44469</v>
      </c>
      <c r="W11" s="664"/>
      <c r="X11" s="664"/>
      <c r="Y11" s="664"/>
      <c r="Z11" s="1539" t="s">
        <v>1382</v>
      </c>
      <c r="AA11" s="387" t="str">
        <f t="shared" si="0"/>
        <v>00211</v>
      </c>
    </row>
    <row r="12" ht="18" customHeight="1">
      <c r="A12" s="687" t="s">
        <v>24</v>
      </c>
      <c r="B12" s="1541" t="s">
        <v>1385</v>
      </c>
      <c r="C12" s="688" t="s">
        <v>1386</v>
      </c>
      <c r="D12" s="689" t="s">
        <v>34</v>
      </c>
      <c r="E12" s="690" t="s">
        <v>176</v>
      </c>
      <c r="F12" s="689" t="s">
        <v>261</v>
      </c>
      <c r="G12" s="621">
        <v>2810025</v>
      </c>
      <c r="H12" s="621"/>
      <c r="I12" s="647">
        <f t="shared" si="2"/>
        <v>137410.2225</v>
      </c>
      <c r="J12" s="647">
        <f t="shared" si="3"/>
        <v>112401</v>
      </c>
      <c r="K12" s="647">
        <f t="shared" si="4"/>
        <v>56200.5</v>
      </c>
      <c r="L12" s="647">
        <v>15000</v>
      </c>
      <c r="M12" s="295">
        <f t="shared" si="5"/>
        <v>3131036.7225</v>
      </c>
      <c r="N12" s="296">
        <f t="shared" si="6"/>
        <v>250482.9378</v>
      </c>
      <c r="O12" s="296"/>
      <c r="P12" s="296"/>
      <c r="Q12" s="296"/>
      <c r="R12" s="328">
        <f t="shared" si="7"/>
        <v>3381519.6603</v>
      </c>
      <c r="S12" s="706">
        <f t="shared" si="8"/>
        <v>25048.293780000004</v>
      </c>
      <c r="T12" s="329">
        <f t="shared" si="9"/>
        <v>3406567.95408</v>
      </c>
      <c r="U12" s="579">
        <v>44378</v>
      </c>
      <c r="V12" s="580">
        <v>44469</v>
      </c>
      <c r="W12" s="664"/>
      <c r="X12" s="664"/>
      <c r="Y12" s="664"/>
      <c r="Z12" s="1539" t="s">
        <v>1382</v>
      </c>
      <c r="AA12" s="387" t="str">
        <f t="shared" si="0"/>
        <v>00212</v>
      </c>
    </row>
    <row r="13" ht="18" customHeight="1">
      <c r="A13" s="687" t="s">
        <v>24</v>
      </c>
      <c r="B13" s="1540" t="s">
        <v>1387</v>
      </c>
      <c r="C13" s="691" t="s">
        <v>1388</v>
      </c>
      <c r="D13" s="692" t="s">
        <v>34</v>
      </c>
      <c r="E13" s="693" t="s">
        <v>176</v>
      </c>
      <c r="F13" s="692" t="s">
        <v>261</v>
      </c>
      <c r="G13" s="621">
        <v>2810025</v>
      </c>
      <c r="H13" s="621"/>
      <c r="I13" s="647">
        <f t="shared" si="2"/>
        <v>137410.2225</v>
      </c>
      <c r="J13" s="647">
        <f t="shared" si="3"/>
        <v>112401</v>
      </c>
      <c r="K13" s="647">
        <f t="shared" si="4"/>
        <v>56200.5</v>
      </c>
      <c r="L13" s="647">
        <v>15000</v>
      </c>
      <c r="M13" s="295">
        <f t="shared" si="5"/>
        <v>3131036.7225</v>
      </c>
      <c r="N13" s="296">
        <f t="shared" si="6"/>
        <v>250482.9378</v>
      </c>
      <c r="O13" s="296"/>
      <c r="P13" s="296"/>
      <c r="Q13" s="296"/>
      <c r="R13" s="328">
        <f t="shared" si="7"/>
        <v>3381519.6603</v>
      </c>
      <c r="S13" s="707">
        <f t="shared" si="8"/>
        <v>25048.293780000004</v>
      </c>
      <c r="T13" s="329">
        <f t="shared" si="9"/>
        <v>3406567.95408</v>
      </c>
      <c r="U13" s="579">
        <v>44378</v>
      </c>
      <c r="V13" s="580">
        <v>44469</v>
      </c>
      <c r="W13" s="664"/>
      <c r="X13" s="664"/>
      <c r="Y13" s="664"/>
      <c r="Z13" s="1539" t="s">
        <v>1382</v>
      </c>
      <c r="AA13" s="387" t="str">
        <f t="shared" si="0"/>
        <v>00215</v>
      </c>
    </row>
    <row r="14" ht="18" customHeight="1">
      <c r="A14" s="687" t="s">
        <v>24</v>
      </c>
      <c r="B14" s="1540" t="s">
        <v>1389</v>
      </c>
      <c r="C14" s="691" t="s">
        <v>1390</v>
      </c>
      <c r="D14" s="692" t="s">
        <v>34</v>
      </c>
      <c r="E14" s="693" t="s">
        <v>176</v>
      </c>
      <c r="F14" s="692" t="s">
        <v>261</v>
      </c>
      <c r="G14" s="621">
        <v>2810025</v>
      </c>
      <c r="H14" s="621"/>
      <c r="I14" s="647">
        <f t="shared" si="2"/>
        <v>137410.2225</v>
      </c>
      <c r="J14" s="647">
        <f t="shared" si="3"/>
        <v>112401</v>
      </c>
      <c r="K14" s="647">
        <f t="shared" si="4"/>
        <v>56200.5</v>
      </c>
      <c r="L14" s="647">
        <v>15000</v>
      </c>
      <c r="M14" s="295">
        <f t="shared" si="5"/>
        <v>3131036.7225</v>
      </c>
      <c r="N14" s="296">
        <f t="shared" si="6"/>
        <v>250482.9378</v>
      </c>
      <c r="O14" s="296"/>
      <c r="P14" s="296"/>
      <c r="Q14" s="296"/>
      <c r="R14" s="328">
        <f t="shared" si="7"/>
        <v>3381519.6603</v>
      </c>
      <c r="S14" s="707">
        <f t="shared" si="8"/>
        <v>25048.293780000004</v>
      </c>
      <c r="T14" s="329">
        <f t="shared" si="9"/>
        <v>3406567.95408</v>
      </c>
      <c r="U14" s="579">
        <v>44378</v>
      </c>
      <c r="V14" s="580">
        <v>44469</v>
      </c>
      <c r="W14" s="664"/>
      <c r="X14" s="664"/>
      <c r="Y14" s="664"/>
      <c r="Z14" s="1539" t="s">
        <v>1382</v>
      </c>
      <c r="AA14" s="387" t="str">
        <f t="shared" si="0"/>
        <v>00217</v>
      </c>
    </row>
    <row r="15" ht="18" customHeight="1">
      <c r="A15" s="687" t="s">
        <v>24</v>
      </c>
      <c r="B15" s="1540" t="s">
        <v>1391</v>
      </c>
      <c r="C15" s="694" t="s">
        <v>1392</v>
      </c>
      <c r="D15" s="692" t="s">
        <v>34</v>
      </c>
      <c r="E15" s="693" t="s">
        <v>176</v>
      </c>
      <c r="F15" s="692" t="s">
        <v>261</v>
      </c>
      <c r="G15" s="621">
        <v>2810025</v>
      </c>
      <c r="H15" s="621"/>
      <c r="I15" s="647">
        <f t="shared" si="2"/>
        <v>137410.2225</v>
      </c>
      <c r="J15" s="647">
        <f t="shared" si="3"/>
        <v>112401</v>
      </c>
      <c r="K15" s="647">
        <f t="shared" si="4"/>
        <v>56200.5</v>
      </c>
      <c r="L15" s="647">
        <v>15000</v>
      </c>
      <c r="M15" s="295">
        <f t="shared" si="5"/>
        <v>3131036.7225</v>
      </c>
      <c r="N15" s="296">
        <f t="shared" si="6"/>
        <v>250482.9378</v>
      </c>
      <c r="O15" s="296"/>
      <c r="P15" s="296"/>
      <c r="Q15" s="296"/>
      <c r="R15" s="328">
        <f t="shared" si="7"/>
        <v>3381519.6603</v>
      </c>
      <c r="S15" s="707">
        <f t="shared" si="8"/>
        <v>25048.293780000004</v>
      </c>
      <c r="T15" s="329">
        <f t="shared" si="9"/>
        <v>3406567.95408</v>
      </c>
      <c r="U15" s="579">
        <v>44378</v>
      </c>
      <c r="V15" s="580">
        <v>44469</v>
      </c>
      <c r="W15" s="664"/>
      <c r="X15" s="664"/>
      <c r="Y15" s="664"/>
      <c r="Z15" s="1539" t="s">
        <v>1382</v>
      </c>
      <c r="AA15" s="387" t="str">
        <f t="shared" si="0"/>
        <v>00296</v>
      </c>
    </row>
    <row r="16" ht="18" customHeight="1">
      <c r="A16" s="687" t="s">
        <v>24</v>
      </c>
      <c r="B16" s="677" t="s">
        <v>1393</v>
      </c>
      <c r="C16" s="694" t="s">
        <v>269</v>
      </c>
      <c r="D16" s="695" t="s">
        <v>34</v>
      </c>
      <c r="E16" s="589" t="s">
        <v>176</v>
      </c>
      <c r="F16" s="695" t="s">
        <v>261</v>
      </c>
      <c r="G16" s="621">
        <v>2810025</v>
      </c>
      <c r="H16" s="621"/>
      <c r="I16" s="647">
        <f t="shared" si="2"/>
        <v>137410.2225</v>
      </c>
      <c r="J16" s="647">
        <f t="shared" si="3"/>
        <v>112401</v>
      </c>
      <c r="K16" s="647">
        <f t="shared" si="4"/>
        <v>56200.5</v>
      </c>
      <c r="L16" s="647">
        <v>15000</v>
      </c>
      <c r="M16" s="295">
        <f t="shared" si="5"/>
        <v>3131036.7225</v>
      </c>
      <c r="N16" s="296">
        <f t="shared" si="6"/>
        <v>250482.9378</v>
      </c>
      <c r="O16" s="296"/>
      <c r="P16" s="296"/>
      <c r="Q16" s="296"/>
      <c r="R16" s="328">
        <f t="shared" si="7"/>
        <v>3381519.6603</v>
      </c>
      <c r="S16" s="663">
        <f t="shared" si="8"/>
        <v>25048.293780000004</v>
      </c>
      <c r="T16" s="329">
        <f t="shared" si="9"/>
        <v>3406567.95408</v>
      </c>
      <c r="U16" s="579">
        <v>44378</v>
      </c>
      <c r="V16" s="580">
        <v>44469</v>
      </c>
      <c r="W16" s="664"/>
      <c r="X16" s="664"/>
      <c r="Y16" s="664"/>
    </row>
    <row r="17" ht="18" customHeight="1">
      <c r="A17" s="687" t="s">
        <v>24</v>
      </c>
      <c r="B17" s="677" t="s">
        <v>1394</v>
      </c>
      <c r="C17" s="694" t="s">
        <v>1395</v>
      </c>
      <c r="D17" s="695" t="s">
        <v>34</v>
      </c>
      <c r="E17" s="589" t="s">
        <v>176</v>
      </c>
      <c r="F17" s="695" t="s">
        <v>261</v>
      </c>
      <c r="G17" s="621">
        <v>2810025</v>
      </c>
      <c r="H17" s="621"/>
      <c r="I17" s="293">
        <f t="shared" si="2"/>
        <v>137410.2225</v>
      </c>
      <c r="J17" s="293">
        <f t="shared" si="3"/>
        <v>112401</v>
      </c>
      <c r="K17" s="293">
        <f t="shared" si="4"/>
        <v>56200.5</v>
      </c>
      <c r="L17" s="293">
        <v>15000</v>
      </c>
      <c r="M17" s="295">
        <f t="shared" si="5"/>
        <v>3131036.7225</v>
      </c>
      <c r="N17" s="296">
        <f t="shared" si="6"/>
        <v>250482.9378</v>
      </c>
      <c r="O17" s="296"/>
      <c r="P17" s="296"/>
      <c r="Q17" s="296"/>
      <c r="R17" s="328">
        <f t="shared" si="7"/>
        <v>3381519.6603</v>
      </c>
      <c r="S17" s="663">
        <f t="shared" si="8"/>
        <v>25048.293780000004</v>
      </c>
      <c r="T17" s="329">
        <f t="shared" si="9"/>
        <v>3406567.95408</v>
      </c>
      <c r="U17" s="579">
        <v>44348</v>
      </c>
      <c r="V17" s="580">
        <v>44439</v>
      </c>
      <c r="W17" s="664"/>
      <c r="X17" s="664"/>
      <c r="Y17" s="664"/>
    </row>
    <row r="18" ht="18" customHeight="1">
      <c r="A18" s="687" t="s">
        <v>24</v>
      </c>
      <c r="B18" s="677" t="s">
        <v>1396</v>
      </c>
      <c r="C18" s="694" t="s">
        <v>1397</v>
      </c>
      <c r="D18" s="695" t="s">
        <v>34</v>
      </c>
      <c r="E18" s="589" t="s">
        <v>176</v>
      </c>
      <c r="F18" s="695" t="s">
        <v>261</v>
      </c>
      <c r="G18" s="680">
        <v>2810025</v>
      </c>
      <c r="H18" s="680"/>
      <c r="I18" s="293">
        <f t="shared" si="2"/>
        <v>137410.2225</v>
      </c>
      <c r="J18" s="293">
        <f t="shared" si="3"/>
        <v>112401</v>
      </c>
      <c r="K18" s="293">
        <f t="shared" si="4"/>
        <v>56200.5</v>
      </c>
      <c r="L18" s="293">
        <v>15000</v>
      </c>
      <c r="M18" s="295">
        <f t="shared" si="5"/>
        <v>3131036.7225</v>
      </c>
      <c r="N18" s="296">
        <f t="shared" si="6"/>
        <v>250482.9378</v>
      </c>
      <c r="O18" s="296"/>
      <c r="P18" s="296"/>
      <c r="Q18" s="296"/>
      <c r="R18" s="328">
        <f t="shared" si="7"/>
        <v>3381519.6603</v>
      </c>
      <c r="S18" s="663">
        <f t="shared" si="8"/>
        <v>25048.293780000004</v>
      </c>
      <c r="T18" s="329">
        <f t="shared" si="9"/>
        <v>3406567.95408</v>
      </c>
      <c r="U18" s="579">
        <v>44348</v>
      </c>
      <c r="V18" s="580">
        <v>44439</v>
      </c>
      <c r="W18" s="664"/>
      <c r="X18" s="664"/>
      <c r="Y18" s="664"/>
    </row>
    <row r="19" ht="18" customHeight="1">
      <c r="A19" s="687" t="s">
        <v>24</v>
      </c>
      <c r="B19" s="677" t="s">
        <v>1398</v>
      </c>
      <c r="C19" s="694" t="s">
        <v>1399</v>
      </c>
      <c r="D19" s="695" t="s">
        <v>34</v>
      </c>
      <c r="E19" s="589" t="s">
        <v>176</v>
      </c>
      <c r="F19" s="695" t="s">
        <v>261</v>
      </c>
      <c r="G19" s="680">
        <v>2810025</v>
      </c>
      <c r="H19" s="680"/>
      <c r="I19" s="293">
        <f t="shared" si="2"/>
        <v>137410.2225</v>
      </c>
      <c r="J19" s="293">
        <f t="shared" si="3"/>
        <v>112401</v>
      </c>
      <c r="K19" s="293">
        <f t="shared" si="4"/>
        <v>56200.5</v>
      </c>
      <c r="L19" s="293">
        <v>15000</v>
      </c>
      <c r="M19" s="295">
        <f t="shared" si="5"/>
        <v>3131036.7225</v>
      </c>
      <c r="N19" s="296">
        <f t="shared" si="6"/>
        <v>250482.9378</v>
      </c>
      <c r="O19" s="296">
        <v>40000</v>
      </c>
      <c r="P19" s="296"/>
      <c r="Q19" s="296"/>
      <c r="R19" s="328">
        <f t="shared" si="7"/>
        <v>3421519.6603</v>
      </c>
      <c r="S19" s="663">
        <f t="shared" si="8"/>
        <v>25048.293780000004</v>
      </c>
      <c r="T19" s="329">
        <f t="shared" si="9"/>
        <v>3446567.95408</v>
      </c>
      <c r="U19" s="579">
        <v>44358</v>
      </c>
      <c r="V19" s="580">
        <v>44439</v>
      </c>
      <c r="W19" s="664"/>
      <c r="X19" s="664"/>
      <c r="Y19" s="664"/>
    </row>
    <row r="20" ht="18" customHeight="1">
      <c r="A20" s="687" t="s">
        <v>24</v>
      </c>
      <c r="B20" s="677" t="s">
        <v>1400</v>
      </c>
      <c r="C20" s="694" t="s">
        <v>1401</v>
      </c>
      <c r="D20" s="695" t="s">
        <v>34</v>
      </c>
      <c r="E20" s="589" t="s">
        <v>176</v>
      </c>
      <c r="F20" s="695" t="s">
        <v>261</v>
      </c>
      <c r="G20" s="680">
        <v>2810025</v>
      </c>
      <c r="H20" s="680"/>
      <c r="I20" s="293">
        <f t="shared" si="2"/>
        <v>137410.2225</v>
      </c>
      <c r="J20" s="293">
        <f t="shared" si="3"/>
        <v>112401</v>
      </c>
      <c r="K20" s="293">
        <f t="shared" si="4"/>
        <v>56200.5</v>
      </c>
      <c r="L20" s="293">
        <v>15000</v>
      </c>
      <c r="M20" s="295">
        <f t="shared" si="5"/>
        <v>3131036.7225</v>
      </c>
      <c r="N20" s="296">
        <f t="shared" si="6"/>
        <v>250482.9378</v>
      </c>
      <c r="O20" s="296"/>
      <c r="P20" s="296"/>
      <c r="Q20" s="296"/>
      <c r="R20" s="328">
        <f t="shared" si="7"/>
        <v>3381519.6603</v>
      </c>
      <c r="S20" s="663">
        <f t="shared" si="8"/>
        <v>25048.293780000004</v>
      </c>
      <c r="T20" s="329">
        <f t="shared" si="9"/>
        <v>3406567.95408</v>
      </c>
      <c r="U20" s="579">
        <v>44360</v>
      </c>
      <c r="V20" s="580">
        <v>44439</v>
      </c>
      <c r="W20" s="664"/>
      <c r="X20" s="664"/>
      <c r="Y20" s="664"/>
    </row>
    <row r="21" ht="18" customHeight="1">
      <c r="A21" s="687" t="s">
        <v>24</v>
      </c>
      <c r="B21" s="677" t="s">
        <v>1402</v>
      </c>
      <c r="C21" s="691" t="s">
        <v>1403</v>
      </c>
      <c r="D21" s="695" t="s">
        <v>34</v>
      </c>
      <c r="E21" s="589" t="s">
        <v>176</v>
      </c>
      <c r="F21" s="695" t="s">
        <v>261</v>
      </c>
      <c r="G21" s="680">
        <v>2810025</v>
      </c>
      <c r="H21" s="680"/>
      <c r="I21" s="293">
        <f t="shared" si="2"/>
        <v>137410.2225</v>
      </c>
      <c r="J21" s="293">
        <f t="shared" si="3"/>
        <v>112401</v>
      </c>
      <c r="K21" s="293">
        <f t="shared" si="4"/>
        <v>56200.5</v>
      </c>
      <c r="L21" s="293">
        <v>15000</v>
      </c>
      <c r="M21" s="295">
        <f t="shared" si="5"/>
        <v>3131036.7225</v>
      </c>
      <c r="N21" s="296">
        <f t="shared" si="6"/>
        <v>250482.9378</v>
      </c>
      <c r="O21" s="296"/>
      <c r="P21" s="296"/>
      <c r="Q21" s="296"/>
      <c r="R21" s="328">
        <f t="shared" si="7"/>
        <v>3381519.6603</v>
      </c>
      <c r="S21" s="663">
        <f t="shared" si="8"/>
        <v>25048.293780000004</v>
      </c>
      <c r="T21" s="329">
        <f t="shared" si="9"/>
        <v>3406567.95408</v>
      </c>
      <c r="U21" s="579">
        <v>44389</v>
      </c>
      <c r="V21" s="580">
        <v>44469</v>
      </c>
      <c r="W21" s="664"/>
      <c r="X21" s="664"/>
      <c r="Y21" s="664"/>
    </row>
    <row r="22" ht="18" customHeight="1">
      <c r="A22" s="687" t="s">
        <v>30</v>
      </c>
      <c r="B22" s="1928"/>
      <c r="C22" s="696" t="s">
        <v>1404</v>
      </c>
      <c r="D22" s="697" t="s">
        <v>34</v>
      </c>
      <c r="E22" s="698" t="s">
        <v>176</v>
      </c>
      <c r="F22" s="697" t="s">
        <v>261</v>
      </c>
      <c r="G22" s="699">
        <f>2810025/31*10</f>
        <v>906459.677419355</v>
      </c>
      <c r="H22" s="699"/>
      <c r="I22" s="449">
        <f t="shared" si="2"/>
        <v>137410.2225</v>
      </c>
      <c r="J22" s="449">
        <f t="shared" si="3"/>
        <v>112401</v>
      </c>
      <c r="K22" s="449">
        <f t="shared" si="4"/>
        <v>56200.5</v>
      </c>
      <c r="L22" s="449">
        <v>15000</v>
      </c>
      <c r="M22" s="295">
        <f t="shared" si="5"/>
        <v>1227471.399919355</v>
      </c>
      <c r="N22" s="406">
        <f t="shared" si="6"/>
        <v>98197.71199354841</v>
      </c>
      <c r="O22" s="406"/>
      <c r="P22" s="406"/>
      <c r="Q22" s="406"/>
      <c r="R22" s="454">
        <f t="shared" si="7"/>
        <v>1325669.1119129034</v>
      </c>
      <c r="S22" s="708">
        <f t="shared" si="8"/>
        <v>9819.771199354842</v>
      </c>
      <c r="T22" s="455">
        <f t="shared" si="9"/>
        <v>1335488.8831122583</v>
      </c>
      <c r="U22" s="581">
        <v>44414</v>
      </c>
      <c r="V22" s="582">
        <v>44500</v>
      </c>
      <c r="W22" s="709"/>
    </row>
    <row r="23" ht="18" customHeight="1">
      <c r="A23" s="1744" t="s">
        <v>30</v>
      </c>
      <c r="B23" s="1867"/>
      <c r="C23" s="1745"/>
      <c r="D23" s="1745"/>
      <c r="E23" s="1745"/>
      <c r="F23" s="1745"/>
      <c r="G23" s="234">
        <f ref="G23:T23" t="shared" si="11">SUM(G11:G22)</f>
        <v>31816734.6774194</v>
      </c>
      <c r="H23" s="234">
        <f t="shared" si="11"/>
        <v>0</v>
      </c>
      <c r="I23" s="234">
        <f t="shared" si="11"/>
        <v>1648922.67</v>
      </c>
      <c r="J23" s="234">
        <f t="shared" si="11"/>
        <v>1348812</v>
      </c>
      <c r="K23" s="234">
        <f t="shared" si="11"/>
        <v>674406</v>
      </c>
      <c r="L23" s="234">
        <f t="shared" si="11"/>
        <v>180000</v>
      </c>
      <c r="M23" s="234">
        <f t="shared" si="11"/>
        <v>35668875.34741936</v>
      </c>
      <c r="N23" s="234">
        <f t="shared" si="11"/>
        <v>2853510.0277935485</v>
      </c>
      <c r="O23" s="234">
        <f t="shared" si="11"/>
        <v>80000</v>
      </c>
      <c r="P23" s="234">
        <f t="shared" si="11"/>
        <v>0</v>
      </c>
      <c r="Q23" s="234">
        <f t="shared" si="11"/>
        <v>0</v>
      </c>
      <c r="R23" s="234">
        <f t="shared" si="11"/>
        <v>38602385.375212915</v>
      </c>
      <c r="S23" s="234">
        <f t="shared" si="11"/>
        <v>285351.00277935487</v>
      </c>
      <c r="T23" s="234">
        <f t="shared" si="11"/>
        <v>38887736.37799226</v>
      </c>
      <c r="U23" s="710"/>
      <c r="V23" s="711"/>
    </row>
    <row r="24" ht="18" customHeight="1">
      <c r="A24" s="0" t="s">
        <v>30</v>
      </c>
      <c r="B24" s="1861"/>
      <c r="D24" s="353"/>
      <c r="E24" s="353"/>
      <c r="F24" s="353"/>
      <c r="G24" s="391"/>
      <c r="H24" s="391"/>
      <c r="I24" s="391"/>
      <c r="J24" s="391"/>
      <c r="K24" s="391"/>
      <c r="L24" s="391"/>
      <c r="M24" s="391"/>
      <c r="N24" s="391"/>
      <c r="O24" s="391"/>
      <c r="P24" s="391"/>
      <c r="Q24" s="391"/>
      <c r="R24" s="391"/>
      <c r="S24" s="391"/>
      <c r="T24" s="391"/>
      <c r="V24" s="317"/>
    </row>
    <row r="25" ht="18" customHeight="1">
      <c r="A25" s="1760" t="s">
        <v>30</v>
      </c>
      <c r="B25" s="1890"/>
      <c r="C25" s="1749"/>
      <c r="D25" s="1749"/>
      <c r="E25" s="1749"/>
      <c r="F25" s="1749"/>
      <c r="G25" s="700">
        <f ref="G25:T25" t="shared" si="12">+G23+G8</f>
        <v>34626759.6774193</v>
      </c>
      <c r="H25" s="700">
        <f t="shared" si="12"/>
        <v>0</v>
      </c>
      <c r="I25" s="700">
        <f t="shared" si="12"/>
        <v>1786332.8925</v>
      </c>
      <c r="J25" s="700">
        <f t="shared" si="12"/>
        <v>1461213</v>
      </c>
      <c r="K25" s="700">
        <f t="shared" si="12"/>
        <v>730606.5</v>
      </c>
      <c r="L25" s="700">
        <f t="shared" si="12"/>
        <v>181667</v>
      </c>
      <c r="M25" s="700">
        <f t="shared" si="12"/>
        <v>38786579.06991936</v>
      </c>
      <c r="N25" s="700">
        <f t="shared" si="12"/>
        <v>3102926.3255935484</v>
      </c>
      <c r="O25" s="700">
        <f t="shared" si="12"/>
        <v>580000</v>
      </c>
      <c r="P25" s="700">
        <f t="shared" si="12"/>
        <v>100000</v>
      </c>
      <c r="Q25" s="700">
        <f t="shared" si="12"/>
        <v>228000</v>
      </c>
      <c r="R25" s="700">
        <f t="shared" si="12"/>
        <v>42797505.395512916</v>
      </c>
      <c r="S25" s="700">
        <f t="shared" si="12"/>
        <v>310292.6325593549</v>
      </c>
      <c r="T25" s="700">
        <f t="shared" si="12"/>
        <v>43107798.02807226</v>
      </c>
      <c r="U25" s="712"/>
      <c r="V25" s="713"/>
    </row>
    <row r="26" ht="15.75" customHeight="1">
      <c r="A26" s="266" t="s">
        <v>30</v>
      </c>
      <c r="B26" s="1868"/>
      <c r="C26" s="266"/>
      <c r="D26" s="266"/>
      <c r="E26" s="266"/>
      <c r="F26" s="266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714"/>
      <c r="V26" s="714"/>
    </row>
    <row r="27" ht="15.75" customHeight="1">
      <c r="A27" s="266" t="s">
        <v>30</v>
      </c>
      <c r="B27" s="1868"/>
      <c r="C27" s="266"/>
      <c r="D27" s="266"/>
      <c r="E27" s="266"/>
      <c r="F27" s="266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714"/>
      <c r="V27" s="714"/>
    </row>
    <row r="28">
      <c r="A28" s="0" t="s">
        <v>30</v>
      </c>
      <c r="B28" s="1869"/>
      <c r="C28" s="263"/>
      <c r="D28" s="270"/>
      <c r="E28" s="270"/>
      <c r="F28" s="446"/>
      <c r="G28" s="271"/>
      <c r="H28" s="271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48"/>
      <c r="V28" s="317"/>
    </row>
    <row r="29">
      <c r="A29" s="0" t="s">
        <v>30</v>
      </c>
      <c r="B29" s="1870"/>
      <c r="C29" s="264" t="str">
        <f>+'MALANG BAT AGUSTUS - OK'!C26</f>
        <v>Karawang, 16 Agustus 2021</v>
      </c>
      <c r="D29" s="263"/>
      <c r="E29" s="264"/>
      <c r="F29" s="264"/>
      <c r="G29" s="210"/>
      <c r="H29" s="210"/>
      <c r="I29" s="270"/>
      <c r="J29" s="270"/>
      <c r="K29" s="270"/>
      <c r="L29" s="270"/>
      <c r="M29" s="270"/>
      <c r="N29" s="310"/>
      <c r="O29" s="310"/>
      <c r="P29" s="310"/>
      <c r="Q29" s="310"/>
      <c r="R29" s="270"/>
      <c r="S29" s="270"/>
      <c r="T29" s="310"/>
      <c r="U29" s="348"/>
      <c r="V29" s="317"/>
    </row>
    <row r="30">
      <c r="A30" s="0" t="s">
        <v>30</v>
      </c>
      <c r="B30" s="1869"/>
      <c r="C30" s="264" t="s">
        <v>38</v>
      </c>
      <c r="D30" s="274"/>
      <c r="E30" s="264"/>
      <c r="F30" s="264"/>
      <c r="G30" s="275"/>
      <c r="H30" s="275"/>
      <c r="I30" s="262"/>
      <c r="J30" s="262"/>
      <c r="K30" s="262"/>
      <c r="L30" s="312"/>
      <c r="M30" s="263" t="s">
        <v>39</v>
      </c>
      <c r="N30" s="313"/>
      <c r="P30" s="313"/>
      <c r="R30" s="349"/>
      <c r="S30" s="270"/>
      <c r="T30" s="313"/>
      <c r="U30" s="348"/>
      <c r="V30" s="348"/>
    </row>
    <row r="31">
      <c r="A31" s="0" t="s">
        <v>30</v>
      </c>
      <c r="B31" s="1871"/>
      <c r="C31" s="445"/>
      <c r="D31" s="209"/>
      <c r="E31" s="208"/>
      <c r="F31" s="208"/>
      <c r="G31" s="275"/>
      <c r="H31" s="275"/>
      <c r="I31" s="262"/>
      <c r="J31" s="315"/>
      <c r="K31" s="262"/>
      <c r="L31" s="312"/>
      <c r="M31" s="262"/>
      <c r="N31" s="270"/>
      <c r="O31" s="270"/>
      <c r="P31" s="270"/>
      <c r="Q31" s="270"/>
      <c r="R31" s="349"/>
      <c r="S31" s="270"/>
      <c r="T31" s="270"/>
      <c r="U31" s="348"/>
      <c r="V31" s="348"/>
    </row>
    <row r="32">
      <c r="A32" s="0" t="s">
        <v>30</v>
      </c>
      <c r="B32" s="1871"/>
      <c r="C32" s="446"/>
      <c r="D32" s="209"/>
      <c r="E32" s="208"/>
      <c r="F32" s="208"/>
      <c r="G32" s="210"/>
      <c r="H32" s="210"/>
      <c r="I32" s="210"/>
      <c r="J32" s="270"/>
      <c r="K32" s="270"/>
      <c r="L32" s="310"/>
      <c r="M32" s="270"/>
      <c r="N32" s="270"/>
      <c r="O32" s="270"/>
      <c r="P32" s="270"/>
      <c r="Q32" s="270"/>
      <c r="R32" s="208"/>
      <c r="S32" s="270"/>
      <c r="T32" s="270"/>
      <c r="U32" s="348"/>
      <c r="V32" s="348"/>
    </row>
    <row r="33">
      <c r="A33" s="0" t="s">
        <v>30</v>
      </c>
      <c r="B33" s="1869"/>
      <c r="C33" s="446"/>
      <c r="D33" s="274"/>
      <c r="E33" s="264"/>
      <c r="F33" s="264"/>
      <c r="G33" s="275"/>
      <c r="H33" s="275"/>
      <c r="I33" s="275"/>
      <c r="J33" s="262"/>
      <c r="K33" s="262"/>
      <c r="L33" s="312"/>
      <c r="M33" s="262"/>
      <c r="N33" s="262"/>
      <c r="O33" s="262"/>
      <c r="P33" s="262"/>
      <c r="Q33" s="262"/>
      <c r="R33" s="264"/>
      <c r="S33" s="270"/>
      <c r="T33" s="270"/>
      <c r="U33" s="348"/>
      <c r="V33" s="348"/>
    </row>
    <row r="34">
      <c r="A34" s="0" t="s">
        <v>30</v>
      </c>
      <c r="B34" s="1870"/>
      <c r="C34" s="445"/>
      <c r="D34" s="264"/>
      <c r="E34" s="264"/>
      <c r="F34" s="264"/>
      <c r="G34" s="275"/>
      <c r="H34" s="275"/>
      <c r="I34" s="275"/>
      <c r="J34" s="262"/>
      <c r="K34" s="262"/>
      <c r="L34" s="312"/>
      <c r="M34" s="262"/>
      <c r="N34" s="262"/>
      <c r="O34" s="262"/>
      <c r="P34" s="262"/>
      <c r="Q34" s="262"/>
      <c r="R34" s="264"/>
      <c r="S34" s="208"/>
      <c r="T34" s="270"/>
      <c r="U34" s="348"/>
      <c r="V34" s="348"/>
    </row>
    <row r="35">
      <c r="A35" s="0" t="s">
        <v>30</v>
      </c>
      <c r="B35" s="1870"/>
      <c r="C35" s="264"/>
      <c r="D35" s="264"/>
      <c r="E35" s="264"/>
      <c r="F35" s="264"/>
      <c r="G35" s="275"/>
      <c r="H35" s="275"/>
      <c r="I35" s="275"/>
      <c r="J35" s="262"/>
      <c r="K35" s="262"/>
      <c r="L35" s="312"/>
      <c r="M35" s="262"/>
      <c r="N35" s="262"/>
      <c r="O35" s="262"/>
      <c r="P35" s="262"/>
      <c r="Q35" s="262"/>
      <c r="R35" s="264"/>
      <c r="S35" s="270"/>
      <c r="U35" s="348"/>
      <c r="V35" s="348"/>
    </row>
    <row r="36">
      <c r="A36" s="0" t="s">
        <v>30</v>
      </c>
      <c r="B36" s="1870"/>
      <c r="C36" s="264" t="s">
        <v>40</v>
      </c>
      <c r="E36" s="264"/>
      <c r="F36" s="264"/>
      <c r="G36" s="275"/>
      <c r="H36" s="275"/>
      <c r="I36" s="275"/>
      <c r="J36" s="312" t="s">
        <v>41</v>
      </c>
      <c r="K36" s="263"/>
      <c r="L36" s="263"/>
      <c r="M36" s="263" t="s">
        <v>42</v>
      </c>
      <c r="O36" s="264" t="s">
        <v>43</v>
      </c>
      <c r="Q36" s="263"/>
      <c r="U36" s="350"/>
      <c r="V36" s="350"/>
    </row>
    <row r="37">
      <c r="A37" s="263" t="s">
        <v>30</v>
      </c>
      <c r="B37" s="1868"/>
      <c r="D37" s="264"/>
      <c r="E37" s="264"/>
      <c r="F37" s="279"/>
      <c r="G37" s="275"/>
      <c r="H37" s="275"/>
      <c r="I37" s="263"/>
      <c r="J37" s="263"/>
      <c r="K37" s="263"/>
      <c r="L37" s="263"/>
      <c r="M37" s="275"/>
      <c r="N37" s="263"/>
      <c r="O37" s="263"/>
      <c r="P37" s="263"/>
      <c r="Q37" s="263"/>
      <c r="R37" s="263"/>
      <c r="U37" s="350"/>
      <c r="V37" s="350"/>
    </row>
    <row r="38">
      <c r="A38" s="0" t="s">
        <v>30</v>
      </c>
      <c r="B38" s="1910"/>
      <c r="C38" s="209"/>
      <c r="D38" s="208"/>
      <c r="E38" s="208"/>
      <c r="F38" s="208"/>
      <c r="G38" s="210"/>
      <c r="H38" s="210"/>
      <c r="M38" s="210"/>
      <c r="U38" s="316"/>
      <c r="V38" s="316"/>
    </row>
    <row r="39">
      <c r="A39" s="0" t="s">
        <v>30</v>
      </c>
      <c r="B39" s="1910"/>
      <c r="C39" s="209"/>
      <c r="D39" s="208"/>
      <c r="E39" s="208"/>
      <c r="F39" s="208"/>
      <c r="G39" s="210"/>
      <c r="H39" s="210"/>
      <c r="M39" s="210"/>
      <c r="U39" s="316"/>
      <c r="V39" s="316"/>
    </row>
  </sheetData>
  <mergeCells>
    <mergeCell ref="A8:F8"/>
    <mergeCell ref="A23:F23"/>
    <mergeCell ref="A25:F25"/>
  </mergeCells>
  <printOptions horizontalCentered="1"/>
  <pageMargins left="0" right="0" top="0.80902777777777801" bottom="0.75" header="0.3" footer="0.3"/>
  <pageSetup paperSize="9" scale="60" orientation="landscape"/>
  <headerFooter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AA65"/>
  <sheetViews>
    <sheetView zoomScale="90" zoomScaleNormal="90" workbookViewId="0">
      <pane xSplit="7" ySplit="6" topLeftCell="H43" activePane="bottomRight" state="frozen"/>
      <selection activeCell="M32" sqref="M32"/>
      <selection pane="topRight" activeCell="M32" sqref="M32"/>
      <selection pane="bottomLeft" activeCell="M32" sqref="M32"/>
      <selection pane="bottomRight" activeCell="M59" sqref="M59"/>
    </sheetView>
  </sheetViews>
  <sheetFormatPr defaultColWidth="9.140625" defaultRowHeight="15"/>
  <cols>
    <col min="1" max="2" width="4.7109375" customWidth="1"/>
    <col min="3" max="3" width="25.85546875" customWidth="1"/>
    <col min="4" max="4" width="11.28515625" customWidth="1"/>
    <col min="5" max="5" hidden="1" width="10.5703125" customWidth="1"/>
    <col min="6" max="6" hidden="1" width="10.85546875" customWidth="1"/>
    <col min="7" max="7" width="12.7109375" customWidth="1"/>
    <col min="8" max="8" width="11.42578125" customWidth="1"/>
    <col min="9" max="9" width="11.5703125" customWidth="1"/>
    <col min="10" max="10" width="13.28515625" customWidth="1"/>
    <col min="11" max="11" width="10.85546875" customWidth="1"/>
    <col min="12" max="12" width="13.28515625" customWidth="1"/>
    <col min="13" max="13" width="12.7109375" customWidth="1"/>
    <col min="14" max="14" width="13.140625" customWidth="1"/>
    <col min="15" max="15" width="13.7109375" customWidth="1"/>
    <col min="16" max="16" width="10.85546875" customWidth="1"/>
    <col min="17" max="17" width="10" customWidth="1"/>
    <col min="18" max="18" width="13" customWidth="1"/>
    <col min="19" max="19" width="10" customWidth="1"/>
    <col min="20" max="20" width="13.42578125" customWidth="1"/>
    <col min="21" max="21" width="8.140625" customWidth="1"/>
    <col min="22" max="22" width="8.28515625" customWidth="1"/>
    <col min="23" max="23" width="11.42578125" customWidth="1"/>
    <col min="24" max="24" width="9.140625" customWidth="1"/>
  </cols>
  <sheetData>
    <row r="1">
      <c r="A1" s="599" t="s">
        <v>0</v>
      </c>
      <c r="C1" s="600"/>
      <c r="G1" s="210"/>
      <c r="H1" s="210"/>
      <c r="M1" s="210"/>
      <c r="U1" s="656"/>
    </row>
    <row r="2">
      <c r="A2" s="599" t="s">
        <v>1405</v>
      </c>
      <c r="C2" s="600"/>
      <c r="G2" s="213"/>
      <c r="H2" s="213"/>
      <c r="M2" s="213"/>
      <c r="N2" s="213"/>
      <c r="O2" s="213"/>
      <c r="P2" s="213"/>
    </row>
    <row r="3">
      <c r="A3" s="599" t="str">
        <f>+'SOLO ANTERAJA AGUSTUS - OK'!A3</f>
        <v>Periode Bulan Agustus  2021</v>
      </c>
      <c r="C3" s="600"/>
      <c r="G3" s="213"/>
      <c r="H3" s="213"/>
      <c r="I3" s="281"/>
      <c r="M3" s="210"/>
      <c r="U3" s="656"/>
    </row>
    <row r="4">
      <c r="A4" s="601"/>
      <c r="C4" s="600"/>
      <c r="G4" s="357">
        <v>2810025</v>
      </c>
      <c r="H4" s="357"/>
      <c r="I4" s="281"/>
      <c r="M4" s="210"/>
      <c r="U4" s="656"/>
    </row>
    <row r="5">
      <c r="A5" s="601"/>
      <c r="C5" s="600"/>
      <c r="G5" s="357"/>
      <c r="H5" s="357"/>
      <c r="I5" s="281"/>
      <c r="M5" s="210"/>
      <c r="U5" s="656"/>
    </row>
    <row r="6" ht="23.25" customHeight="1">
      <c r="A6" s="602" t="s">
        <v>2</v>
      </c>
      <c r="B6" s="603" t="s">
        <v>3</v>
      </c>
      <c r="C6" s="603" t="s">
        <v>4</v>
      </c>
      <c r="D6" s="603" t="s">
        <v>5</v>
      </c>
      <c r="E6" s="603" t="s">
        <v>6</v>
      </c>
      <c r="F6" s="604" t="s">
        <v>7</v>
      </c>
      <c r="G6" s="218" t="s">
        <v>8</v>
      </c>
      <c r="H6" s="219" t="s">
        <v>9</v>
      </c>
      <c r="I6" s="638" t="s">
        <v>10</v>
      </c>
      <c r="J6" s="639" t="s">
        <v>11</v>
      </c>
      <c r="K6" s="639" t="s">
        <v>12</v>
      </c>
      <c r="L6" s="640" t="s">
        <v>13</v>
      </c>
      <c r="M6" s="641" t="s">
        <v>14</v>
      </c>
      <c r="N6" s="596" t="s">
        <v>15</v>
      </c>
      <c r="O6" s="596" t="s">
        <v>32</v>
      </c>
      <c r="P6" s="596" t="s">
        <v>918</v>
      </c>
      <c r="Q6" s="596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605" t="s">
        <v>24</v>
      </c>
      <c r="B7" s="245" t="s">
        <v>1406</v>
      </c>
      <c r="C7" s="246" t="s">
        <v>1407</v>
      </c>
      <c r="D7" s="245" t="s">
        <v>26</v>
      </c>
      <c r="E7" s="606" t="s">
        <v>176</v>
      </c>
      <c r="F7" s="245" t="s">
        <v>177</v>
      </c>
      <c r="G7" s="607">
        <v>2810025</v>
      </c>
      <c r="H7" s="607"/>
      <c r="I7" s="607">
        <f>+$G$4*4.89%</f>
        <v>137410.2225</v>
      </c>
      <c r="J7" s="607">
        <f>+$G$4*4%</f>
        <v>112401</v>
      </c>
      <c r="K7" s="607">
        <f>+$G$4*2%</f>
        <v>56200.5</v>
      </c>
      <c r="L7" s="642">
        <v>1667</v>
      </c>
      <c r="M7" s="295">
        <f ref="M7:M10" t="shared" si="0">SUM(G7:L7)</f>
        <v>3117703.7225</v>
      </c>
      <c r="N7" s="643">
        <f ref="N7:N10" t="shared" si="1">+M7*8%</f>
        <v>249416.29780000003</v>
      </c>
      <c r="O7" s="643">
        <f>500000+430000</f>
        <v>930000</v>
      </c>
      <c r="P7" s="643">
        <v>100000</v>
      </c>
      <c r="Q7" s="643">
        <f>29*12000</f>
        <v>348000</v>
      </c>
      <c r="R7" s="643">
        <f ref="R7:R10" t="shared" si="2">SUM(M7:Q7)</f>
        <v>4745120.0203</v>
      </c>
      <c r="S7" s="643">
        <f ref="S7:S10" t="shared" si="3">N7*0.1</f>
        <v>24941.629780000003</v>
      </c>
      <c r="T7" s="657">
        <f ref="T7:T10" t="shared" si="4">R7+S7</f>
        <v>4770061.65008</v>
      </c>
      <c r="U7" s="339">
        <v>44409</v>
      </c>
      <c r="V7" s="340">
        <v>44500</v>
      </c>
      <c r="W7" s="490"/>
      <c r="X7" s="658"/>
      <c r="Y7" s="658"/>
    </row>
    <row r="8" ht="18" customHeight="1">
      <c r="A8" s="605" t="s">
        <v>24</v>
      </c>
      <c r="B8" s="239" t="s">
        <v>1408</v>
      </c>
      <c r="C8" s="240" t="s">
        <v>1409</v>
      </c>
      <c r="D8" s="239" t="s">
        <v>26</v>
      </c>
      <c r="E8" s="606" t="s">
        <v>176</v>
      </c>
      <c r="F8" s="239" t="s">
        <v>177</v>
      </c>
      <c r="G8" s="608">
        <v>2810025</v>
      </c>
      <c r="H8" s="608"/>
      <c r="I8" s="607">
        <f>+$G$4*4.89%</f>
        <v>137410.2225</v>
      </c>
      <c r="J8" s="607">
        <f>+$G$4*4%</f>
        <v>112401</v>
      </c>
      <c r="K8" s="607">
        <f>+$G$4*2%</f>
        <v>56200.5</v>
      </c>
      <c r="L8" s="642">
        <v>1667</v>
      </c>
      <c r="M8" s="295">
        <f t="shared" si="0"/>
        <v>3117703.7225</v>
      </c>
      <c r="N8" s="643">
        <f t="shared" si="1"/>
        <v>249416.29780000003</v>
      </c>
      <c r="O8" s="644">
        <f>500000+430000</f>
        <v>930000</v>
      </c>
      <c r="P8" s="644">
        <v>100000</v>
      </c>
      <c r="Q8" s="644">
        <f>23*12000</f>
        <v>276000</v>
      </c>
      <c r="R8" s="643">
        <f t="shared" si="2"/>
        <v>4673120.0203</v>
      </c>
      <c r="S8" s="643">
        <f t="shared" si="3"/>
        <v>24941.629780000003</v>
      </c>
      <c r="T8" s="657">
        <f t="shared" si="4"/>
        <v>4698061.65008</v>
      </c>
      <c r="U8" s="337">
        <v>44348</v>
      </c>
      <c r="V8" s="338">
        <v>44439</v>
      </c>
      <c r="W8" s="490"/>
      <c r="X8" s="658"/>
      <c r="Y8" s="658"/>
    </row>
    <row r="9" ht="18" customHeight="1">
      <c r="A9" s="605" t="s">
        <v>24</v>
      </c>
      <c r="B9" s="1533" t="s">
        <v>1410</v>
      </c>
      <c r="C9" s="242" t="s">
        <v>1411</v>
      </c>
      <c r="D9" s="609" t="s">
        <v>1412</v>
      </c>
      <c r="E9" s="491" t="s">
        <v>176</v>
      </c>
      <c r="F9" s="610" t="s">
        <v>177</v>
      </c>
      <c r="G9" s="244">
        <v>2810025</v>
      </c>
      <c r="H9" s="244"/>
      <c r="I9" s="304">
        <f>+$G$4*4.89%</f>
        <v>137410.2225</v>
      </c>
      <c r="J9" s="304">
        <f>+$G$4*4%</f>
        <v>112401</v>
      </c>
      <c r="K9" s="304">
        <f>+$G$4*2%</f>
        <v>56200.5</v>
      </c>
      <c r="L9" s="607">
        <v>1667</v>
      </c>
      <c r="M9" s="295">
        <f t="shared" si="0"/>
        <v>3117703.7225</v>
      </c>
      <c r="N9" s="303">
        <f t="shared" si="1"/>
        <v>249416.29780000003</v>
      </c>
      <c r="O9" s="644">
        <v>500000</v>
      </c>
      <c r="P9" s="644"/>
      <c r="Q9" s="303">
        <f>26*10000</f>
        <v>260000</v>
      </c>
      <c r="R9" s="643">
        <f t="shared" si="2"/>
        <v>4127120.0203</v>
      </c>
      <c r="S9" s="335">
        <f t="shared" si="3"/>
        <v>24941.629780000003</v>
      </c>
      <c r="T9" s="336">
        <f t="shared" si="4"/>
        <v>4152061.65008</v>
      </c>
      <c r="U9" s="339">
        <v>44378</v>
      </c>
      <c r="V9" s="340">
        <v>44469</v>
      </c>
      <c r="X9" s="658"/>
      <c r="Y9" s="658"/>
    </row>
    <row r="10" ht="18" customHeight="1">
      <c r="A10" s="605" t="s">
        <v>24</v>
      </c>
      <c r="B10" s="1533" t="s">
        <v>1413</v>
      </c>
      <c r="C10" s="242" t="s">
        <v>1414</v>
      </c>
      <c r="D10" s="609" t="s">
        <v>1412</v>
      </c>
      <c r="E10" s="366" t="s">
        <v>176</v>
      </c>
      <c r="F10" s="240" t="s">
        <v>177</v>
      </c>
      <c r="G10" s="244">
        <v>2810025</v>
      </c>
      <c r="H10" s="244"/>
      <c r="I10" s="304">
        <f>+$G$4*4.89%</f>
        <v>137410.2225</v>
      </c>
      <c r="J10" s="304">
        <f>+$G$4*4%</f>
        <v>112401</v>
      </c>
      <c r="K10" s="304">
        <f>+$G$4*2%</f>
        <v>56200.5</v>
      </c>
      <c r="L10" s="607">
        <v>1667</v>
      </c>
      <c r="M10" s="295">
        <f t="shared" si="0"/>
        <v>3117703.7225</v>
      </c>
      <c r="N10" s="303">
        <f t="shared" si="1"/>
        <v>249416.29780000003</v>
      </c>
      <c r="O10" s="645">
        <v>500000</v>
      </c>
      <c r="P10" s="303"/>
      <c r="Q10" s="303">
        <f>26*10000</f>
        <v>260000</v>
      </c>
      <c r="R10" s="300">
        <f t="shared" si="2"/>
        <v>4127120.0203</v>
      </c>
      <c r="S10" s="300">
        <f t="shared" si="3"/>
        <v>24941.629780000003</v>
      </c>
      <c r="T10" s="416">
        <f t="shared" si="4"/>
        <v>4152061.65008</v>
      </c>
      <c r="U10" s="339">
        <v>44370</v>
      </c>
      <c r="V10" s="340">
        <v>44469</v>
      </c>
      <c r="W10" s="659" t="s">
        <v>1415</v>
      </c>
      <c r="X10" s="658"/>
      <c r="Y10" s="658"/>
    </row>
    <row r="11" ht="18" customHeight="1">
      <c r="A11" s="611" t="s">
        <v>30</v>
      </c>
      <c r="B11" s="1929"/>
      <c r="C11" s="612"/>
      <c r="D11" s="612"/>
      <c r="E11" s="612"/>
      <c r="F11" s="613"/>
      <c r="G11" s="234">
        <f ref="G11:T11" t="shared" si="6">SUM(G7:G10)</f>
        <v>11240100</v>
      </c>
      <c r="H11" s="234">
        <f t="shared" si="6"/>
        <v>0</v>
      </c>
      <c r="I11" s="234">
        <f t="shared" si="6"/>
        <v>549640.89</v>
      </c>
      <c r="J11" s="234">
        <f t="shared" si="6"/>
        <v>449604</v>
      </c>
      <c r="K11" s="234">
        <f t="shared" si="6"/>
        <v>224802</v>
      </c>
      <c r="L11" s="234">
        <f t="shared" si="6"/>
        <v>6668</v>
      </c>
      <c r="M11" s="234">
        <f t="shared" si="6"/>
        <v>12470814.89</v>
      </c>
      <c r="N11" s="234">
        <f t="shared" si="6"/>
        <v>997665.1912000001</v>
      </c>
      <c r="O11" s="234">
        <f t="shared" si="6"/>
        <v>2860000</v>
      </c>
      <c r="P11" s="234">
        <f t="shared" si="6"/>
        <v>200000</v>
      </c>
      <c r="Q11" s="234">
        <f t="shared" si="6"/>
        <v>1144000</v>
      </c>
      <c r="R11" s="234">
        <f t="shared" si="6"/>
        <v>17672480.0812</v>
      </c>
      <c r="S11" s="234">
        <f t="shared" si="6"/>
        <v>99766.51912000001</v>
      </c>
      <c r="T11" s="234">
        <f t="shared" si="6"/>
        <v>17772246.60032</v>
      </c>
      <c r="U11" s="660"/>
      <c r="V11" s="661"/>
      <c r="X11" s="662"/>
    </row>
    <row r="12">
      <c r="A12" s="614" t="s">
        <v>30</v>
      </c>
      <c r="B12" s="1861"/>
      <c r="D12" s="615"/>
      <c r="E12" s="615"/>
      <c r="F12" s="615"/>
      <c r="I12" s="281"/>
      <c r="M12" s="391"/>
      <c r="U12" s="656"/>
      <c r="X12" s="662"/>
    </row>
    <row r="13" ht="25.5" customHeight="1">
      <c r="A13" s="602" t="s">
        <v>31</v>
      </c>
      <c r="B13" s="1930" t="s">
        <v>3</v>
      </c>
      <c r="C13" s="603" t="s">
        <v>4</v>
      </c>
      <c r="D13" s="603" t="s">
        <v>5</v>
      </c>
      <c r="E13" s="603" t="s">
        <v>6</v>
      </c>
      <c r="F13" s="604" t="s">
        <v>7</v>
      </c>
      <c r="G13" s="218" t="s">
        <v>8</v>
      </c>
      <c r="H13" s="219" t="s">
        <v>9</v>
      </c>
      <c r="I13" s="638" t="s">
        <v>10</v>
      </c>
      <c r="J13" s="639" t="s">
        <v>11</v>
      </c>
      <c r="K13" s="639" t="s">
        <v>12</v>
      </c>
      <c r="L13" s="640" t="s">
        <v>13</v>
      </c>
      <c r="M13" s="641" t="s">
        <v>14</v>
      </c>
      <c r="N13" s="596" t="s">
        <v>15</v>
      </c>
      <c r="O13" s="596" t="s">
        <v>32</v>
      </c>
      <c r="P13" s="596" t="s">
        <v>918</v>
      </c>
      <c r="Q13" s="596" t="s">
        <v>18</v>
      </c>
      <c r="R13" s="319" t="s">
        <v>19</v>
      </c>
      <c r="S13" s="320" t="s">
        <v>20</v>
      </c>
      <c r="T13" s="320" t="s">
        <v>21</v>
      </c>
      <c r="U13" s="321" t="s">
        <v>22</v>
      </c>
      <c r="V13" s="322" t="s">
        <v>23</v>
      </c>
      <c r="X13" s="662"/>
    </row>
    <row r="14" ht="18" customHeight="1">
      <c r="A14" s="616" t="s">
        <v>24</v>
      </c>
      <c r="B14" s="1533" t="s">
        <v>1416</v>
      </c>
      <c r="C14" s="617" t="s">
        <v>175</v>
      </c>
      <c r="D14" s="239" t="s">
        <v>34</v>
      </c>
      <c r="E14" s="618" t="s">
        <v>176</v>
      </c>
      <c r="F14" s="240" t="s">
        <v>177</v>
      </c>
      <c r="G14" s="244">
        <v>2810025</v>
      </c>
      <c r="H14" s="244"/>
      <c r="I14" s="304">
        <f ref="I14:I24" t="shared" si="7">+$G$4*4.89%</f>
        <v>137410.2225</v>
      </c>
      <c r="J14" s="304">
        <f ref="J14:J24" t="shared" si="8">+$G$4*4%</f>
        <v>112401</v>
      </c>
      <c r="K14" s="304">
        <f ref="K14:K24" t="shared" si="9">+$G$4*2%</f>
        <v>56200.5</v>
      </c>
      <c r="L14" s="299">
        <v>15000</v>
      </c>
      <c r="M14" s="295">
        <f>SUM(G14:L14)</f>
        <v>3131036.7225</v>
      </c>
      <c r="N14" s="300">
        <f ref="N14:N43" t="shared" si="10">+M14*8%</f>
        <v>250482.9378</v>
      </c>
      <c r="O14" s="300">
        <v>1082500</v>
      </c>
      <c r="P14" s="300"/>
      <c r="Q14" s="300"/>
      <c r="R14" s="300">
        <f ref="R14:R43" t="shared" si="11">SUM(M14:Q14)</f>
        <v>4464019.6603</v>
      </c>
      <c r="S14" s="300">
        <f ref="S14:S43" t="shared" si="12">N14*0.1</f>
        <v>25048.29378</v>
      </c>
      <c r="T14" s="416">
        <f ref="T14:T43" t="shared" si="13">R14+S14</f>
        <v>4489067.95408</v>
      </c>
      <c r="U14" s="339">
        <v>44409</v>
      </c>
      <c r="V14" s="340">
        <v>44439</v>
      </c>
      <c r="W14" s="490"/>
      <c r="X14" s="658"/>
      <c r="Y14" s="658"/>
    </row>
    <row r="15" ht="18" customHeight="1">
      <c r="A15" s="616" t="s">
        <v>24</v>
      </c>
      <c r="B15" s="239" t="s">
        <v>1417</v>
      </c>
      <c r="C15" s="617" t="s">
        <v>1418</v>
      </c>
      <c r="D15" s="239" t="s">
        <v>34</v>
      </c>
      <c r="E15" s="618" t="s">
        <v>176</v>
      </c>
      <c r="F15" s="240" t="s">
        <v>177</v>
      </c>
      <c r="G15" s="244">
        <v>2810025</v>
      </c>
      <c r="H15" s="244"/>
      <c r="I15" s="304">
        <f t="shared" si="7"/>
        <v>137410.2225</v>
      </c>
      <c r="J15" s="304">
        <f t="shared" si="8"/>
        <v>112401</v>
      </c>
      <c r="K15" s="304">
        <f t="shared" si="9"/>
        <v>56200.5</v>
      </c>
      <c r="L15" s="299">
        <v>15000</v>
      </c>
      <c r="M15" s="295">
        <f ref="M15:M52" t="shared" si="14">SUM(G15:L15)</f>
        <v>3131036.7225</v>
      </c>
      <c r="N15" s="300">
        <f t="shared" si="10"/>
        <v>250482.9378</v>
      </c>
      <c r="O15" s="300">
        <v>847500</v>
      </c>
      <c r="P15" s="300"/>
      <c r="Q15" s="300"/>
      <c r="R15" s="300">
        <f t="shared" si="11"/>
        <v>4229019.6603</v>
      </c>
      <c r="S15" s="300">
        <f t="shared" si="12"/>
        <v>25048.29378</v>
      </c>
      <c r="T15" s="416">
        <f t="shared" si="13"/>
        <v>4254067.95408</v>
      </c>
      <c r="U15" s="339">
        <v>44409</v>
      </c>
      <c r="V15" s="340">
        <v>44500</v>
      </c>
      <c r="W15" s="490"/>
      <c r="X15" s="658"/>
      <c r="Y15" s="658"/>
    </row>
    <row r="16" ht="18" customHeight="1">
      <c r="A16" s="616" t="s">
        <v>24</v>
      </c>
      <c r="B16" s="239" t="s">
        <v>1419</v>
      </c>
      <c r="C16" s="617" t="s">
        <v>377</v>
      </c>
      <c r="D16" s="239" t="s">
        <v>34</v>
      </c>
      <c r="E16" s="618" t="s">
        <v>176</v>
      </c>
      <c r="F16" s="240" t="s">
        <v>177</v>
      </c>
      <c r="G16" s="244">
        <v>2810025</v>
      </c>
      <c r="H16" s="244"/>
      <c r="I16" s="304">
        <f t="shared" si="7"/>
        <v>137410.2225</v>
      </c>
      <c r="J16" s="304">
        <f t="shared" si="8"/>
        <v>112401</v>
      </c>
      <c r="K16" s="304">
        <f t="shared" si="9"/>
        <v>56200.5</v>
      </c>
      <c r="L16" s="299">
        <v>15000</v>
      </c>
      <c r="M16" s="295">
        <f t="shared" si="14"/>
        <v>3131036.7225</v>
      </c>
      <c r="N16" s="300">
        <f t="shared" si="10"/>
        <v>250482.9378</v>
      </c>
      <c r="O16" s="300">
        <v>1760000</v>
      </c>
      <c r="P16" s="300"/>
      <c r="Q16" s="300"/>
      <c r="R16" s="300">
        <f t="shared" si="11"/>
        <v>5141519.6603</v>
      </c>
      <c r="S16" s="300">
        <f t="shared" si="12"/>
        <v>25048.29378</v>
      </c>
      <c r="T16" s="416">
        <f t="shared" si="13"/>
        <v>5166567.95408</v>
      </c>
      <c r="U16" s="339">
        <v>44348</v>
      </c>
      <c r="V16" s="340">
        <v>44439</v>
      </c>
      <c r="W16" s="490"/>
      <c r="X16" s="658"/>
      <c r="Y16" s="658"/>
    </row>
    <row r="17" ht="18" customHeight="1">
      <c r="A17" s="616" t="s">
        <v>24</v>
      </c>
      <c r="B17" s="239" t="s">
        <v>698</v>
      </c>
      <c r="C17" s="617" t="s">
        <v>699</v>
      </c>
      <c r="D17" s="239" t="s">
        <v>34</v>
      </c>
      <c r="E17" s="618" t="s">
        <v>176</v>
      </c>
      <c r="F17" s="240" t="s">
        <v>177</v>
      </c>
      <c r="G17" s="244">
        <v>2810025</v>
      </c>
      <c r="H17" s="244"/>
      <c r="I17" s="304">
        <f t="shared" si="7"/>
        <v>137410.2225</v>
      </c>
      <c r="J17" s="304">
        <f t="shared" si="8"/>
        <v>112401</v>
      </c>
      <c r="K17" s="304">
        <f t="shared" si="9"/>
        <v>56200.5</v>
      </c>
      <c r="L17" s="299">
        <v>15000</v>
      </c>
      <c r="M17" s="295">
        <f t="shared" si="14"/>
        <v>3131036.7225</v>
      </c>
      <c r="N17" s="300">
        <f t="shared" si="10"/>
        <v>250482.9378</v>
      </c>
      <c r="O17" s="300">
        <v>715000</v>
      </c>
      <c r="P17" s="300"/>
      <c r="Q17" s="300"/>
      <c r="R17" s="300">
        <f t="shared" si="11"/>
        <v>4096519.6603</v>
      </c>
      <c r="S17" s="300">
        <f t="shared" si="12"/>
        <v>25048.29378</v>
      </c>
      <c r="T17" s="416">
        <f t="shared" si="13"/>
        <v>4121567.95408</v>
      </c>
      <c r="U17" s="339">
        <v>44409</v>
      </c>
      <c r="V17" s="340">
        <v>44500</v>
      </c>
      <c r="W17" s="490"/>
      <c r="X17" s="658"/>
      <c r="Y17" s="658"/>
    </row>
    <row r="18" ht="18" customHeight="1">
      <c r="A18" s="616" t="s">
        <v>24</v>
      </c>
      <c r="B18" s="239" t="s">
        <v>1420</v>
      </c>
      <c r="C18" s="617" t="s">
        <v>268</v>
      </c>
      <c r="D18" s="239" t="s">
        <v>34</v>
      </c>
      <c r="E18" s="618" t="s">
        <v>176</v>
      </c>
      <c r="F18" s="240" t="s">
        <v>177</v>
      </c>
      <c r="G18" s="244">
        <v>2810025</v>
      </c>
      <c r="H18" s="244"/>
      <c r="I18" s="304">
        <f t="shared" si="7"/>
        <v>137410.2225</v>
      </c>
      <c r="J18" s="304">
        <f t="shared" si="8"/>
        <v>112401</v>
      </c>
      <c r="K18" s="304">
        <f t="shared" si="9"/>
        <v>56200.5</v>
      </c>
      <c r="L18" s="299">
        <v>15000</v>
      </c>
      <c r="M18" s="295">
        <f t="shared" si="14"/>
        <v>3131036.7225</v>
      </c>
      <c r="N18" s="300">
        <f t="shared" si="10"/>
        <v>250482.9378</v>
      </c>
      <c r="O18" s="300">
        <v>1532500</v>
      </c>
      <c r="P18" s="300"/>
      <c r="Q18" s="300"/>
      <c r="R18" s="300">
        <f t="shared" si="11"/>
        <v>4914019.6603</v>
      </c>
      <c r="S18" s="300">
        <f t="shared" si="12"/>
        <v>25048.29378</v>
      </c>
      <c r="T18" s="416">
        <f t="shared" si="13"/>
        <v>4939067.95408</v>
      </c>
      <c r="U18" s="339">
        <v>44378</v>
      </c>
      <c r="V18" s="340">
        <v>44469</v>
      </c>
      <c r="W18" s="490"/>
      <c r="X18" s="658"/>
      <c r="Y18" s="658"/>
    </row>
    <row r="19" ht="18" customHeight="1">
      <c r="A19" s="616" t="s">
        <v>24</v>
      </c>
      <c r="B19" s="1533" t="s">
        <v>1421</v>
      </c>
      <c r="C19" s="617" t="s">
        <v>1422</v>
      </c>
      <c r="D19" s="239" t="s">
        <v>34</v>
      </c>
      <c r="E19" s="491" t="s">
        <v>176</v>
      </c>
      <c r="F19" s="240" t="s">
        <v>177</v>
      </c>
      <c r="G19" s="244">
        <v>2810025</v>
      </c>
      <c r="H19" s="244"/>
      <c r="I19" s="304">
        <f t="shared" si="7"/>
        <v>137410.2225</v>
      </c>
      <c r="J19" s="304">
        <f t="shared" si="8"/>
        <v>112401</v>
      </c>
      <c r="K19" s="304">
        <f t="shared" si="9"/>
        <v>56200.5</v>
      </c>
      <c r="L19" s="646">
        <v>15000</v>
      </c>
      <c r="M19" s="295">
        <f t="shared" si="14"/>
        <v>3131036.7225</v>
      </c>
      <c r="N19" s="303">
        <f t="shared" si="10"/>
        <v>250482.9378</v>
      </c>
      <c r="O19" s="303">
        <v>1100000</v>
      </c>
      <c r="P19" s="300"/>
      <c r="Q19" s="303"/>
      <c r="R19" s="300">
        <f t="shared" si="11"/>
        <v>4481519.6603</v>
      </c>
      <c r="S19" s="300">
        <f t="shared" si="12"/>
        <v>25048.29378</v>
      </c>
      <c r="T19" s="416">
        <f t="shared" si="13"/>
        <v>4506567.95408</v>
      </c>
      <c r="U19" s="339">
        <v>44378</v>
      </c>
      <c r="V19" s="340">
        <v>44469</v>
      </c>
      <c r="W19" s="419"/>
      <c r="X19" s="658"/>
      <c r="Y19" s="658"/>
      <c r="Z19" s="419"/>
      <c r="AA19" s="419"/>
    </row>
    <row r="20" ht="18" customHeight="1">
      <c r="A20" s="616" t="s">
        <v>24</v>
      </c>
      <c r="B20" s="1533" t="s">
        <v>1423</v>
      </c>
      <c r="C20" s="617" t="s">
        <v>1424</v>
      </c>
      <c r="D20" s="239" t="s">
        <v>34</v>
      </c>
      <c r="E20" s="491" t="s">
        <v>176</v>
      </c>
      <c r="F20" s="240" t="s">
        <v>177</v>
      </c>
      <c r="G20" s="244">
        <v>2810025</v>
      </c>
      <c r="H20" s="244"/>
      <c r="I20" s="304">
        <f t="shared" si="7"/>
        <v>137410.2225</v>
      </c>
      <c r="J20" s="304">
        <f t="shared" si="8"/>
        <v>112401</v>
      </c>
      <c r="K20" s="304">
        <f t="shared" si="9"/>
        <v>56200.5</v>
      </c>
      <c r="L20" s="646">
        <v>15000</v>
      </c>
      <c r="M20" s="295">
        <f t="shared" si="14"/>
        <v>3131036.7225</v>
      </c>
      <c r="N20" s="303">
        <f t="shared" si="10"/>
        <v>250482.9378</v>
      </c>
      <c r="O20" s="303">
        <v>1125000</v>
      </c>
      <c r="P20" s="300"/>
      <c r="Q20" s="303"/>
      <c r="R20" s="300">
        <f t="shared" si="11"/>
        <v>4506519.6603</v>
      </c>
      <c r="S20" s="300">
        <f t="shared" si="12"/>
        <v>25048.29378</v>
      </c>
      <c r="T20" s="416">
        <f t="shared" si="13"/>
        <v>4531567.95408</v>
      </c>
      <c r="U20" s="339">
        <v>44378</v>
      </c>
      <c r="V20" s="340">
        <v>44469</v>
      </c>
      <c r="W20" s="419"/>
      <c r="X20" s="658"/>
      <c r="Y20" s="658"/>
      <c r="Z20" s="419"/>
      <c r="AA20" s="419"/>
    </row>
    <row r="21" ht="18" customHeight="1">
      <c r="A21" s="616" t="s">
        <v>24</v>
      </c>
      <c r="B21" s="245" t="s">
        <v>1425</v>
      </c>
      <c r="C21" s="619" t="s">
        <v>502</v>
      </c>
      <c r="D21" s="239" t="s">
        <v>34</v>
      </c>
      <c r="E21" s="618" t="s">
        <v>176</v>
      </c>
      <c r="F21" s="240" t="s">
        <v>177</v>
      </c>
      <c r="G21" s="244">
        <v>2810025</v>
      </c>
      <c r="H21" s="244"/>
      <c r="I21" s="304">
        <f t="shared" si="7"/>
        <v>137410.2225</v>
      </c>
      <c r="J21" s="304">
        <f t="shared" si="8"/>
        <v>112401</v>
      </c>
      <c r="K21" s="304">
        <f t="shared" si="9"/>
        <v>56200.5</v>
      </c>
      <c r="L21" s="299">
        <v>15000</v>
      </c>
      <c r="M21" s="295">
        <f t="shared" si="14"/>
        <v>3131036.7225</v>
      </c>
      <c r="N21" s="300">
        <f t="shared" si="10"/>
        <v>250482.9378</v>
      </c>
      <c r="O21" s="300">
        <v>1450000</v>
      </c>
      <c r="P21" s="300"/>
      <c r="Q21" s="300"/>
      <c r="R21" s="300">
        <f t="shared" si="11"/>
        <v>4831519.6603</v>
      </c>
      <c r="S21" s="300">
        <f t="shared" si="12"/>
        <v>25048.29378</v>
      </c>
      <c r="T21" s="416">
        <f t="shared" si="13"/>
        <v>4856567.95408</v>
      </c>
      <c r="U21" s="339">
        <v>44378</v>
      </c>
      <c r="V21" s="340">
        <v>44469</v>
      </c>
      <c r="W21" s="490"/>
      <c r="X21" s="658"/>
      <c r="Y21" s="658"/>
    </row>
    <row r="22" ht="18" customHeight="1">
      <c r="A22" s="616" t="s">
        <v>24</v>
      </c>
      <c r="B22" s="1542" t="s">
        <v>1426</v>
      </c>
      <c r="C22" s="619" t="s">
        <v>1427</v>
      </c>
      <c r="D22" s="239" t="s">
        <v>34</v>
      </c>
      <c r="E22" s="491" t="s">
        <v>176</v>
      </c>
      <c r="F22" s="240" t="s">
        <v>177</v>
      </c>
      <c r="G22" s="244">
        <v>2810025</v>
      </c>
      <c r="H22" s="244"/>
      <c r="I22" s="304">
        <f t="shared" si="7"/>
        <v>137410.2225</v>
      </c>
      <c r="J22" s="304">
        <f t="shared" si="8"/>
        <v>112401</v>
      </c>
      <c r="K22" s="304">
        <f t="shared" si="9"/>
        <v>56200.5</v>
      </c>
      <c r="L22" s="646">
        <v>15000</v>
      </c>
      <c r="M22" s="295">
        <f t="shared" si="14"/>
        <v>3131036.7225</v>
      </c>
      <c r="N22" s="303">
        <f t="shared" si="10"/>
        <v>250482.9378</v>
      </c>
      <c r="O22" s="303">
        <v>667500</v>
      </c>
      <c r="P22" s="300"/>
      <c r="Q22" s="303"/>
      <c r="R22" s="300">
        <f t="shared" si="11"/>
        <v>4049019.6603</v>
      </c>
      <c r="S22" s="300">
        <f t="shared" si="12"/>
        <v>25048.29378</v>
      </c>
      <c r="T22" s="416">
        <f t="shared" si="13"/>
        <v>4074067.95408</v>
      </c>
      <c r="U22" s="339">
        <v>44378</v>
      </c>
      <c r="V22" s="340">
        <v>44469</v>
      </c>
      <c r="W22" s="419"/>
      <c r="X22" s="658"/>
      <c r="Y22" s="658"/>
      <c r="Z22" s="419"/>
      <c r="AA22" s="419"/>
    </row>
    <row r="23" ht="18" customHeight="1">
      <c r="A23" s="616" t="s">
        <v>24</v>
      </c>
      <c r="B23" s="245" t="s">
        <v>1428</v>
      </c>
      <c r="C23" s="619" t="s">
        <v>1429</v>
      </c>
      <c r="D23" s="239" t="s">
        <v>34</v>
      </c>
      <c r="E23" s="618" t="s">
        <v>176</v>
      </c>
      <c r="F23" s="240" t="s">
        <v>177</v>
      </c>
      <c r="G23" s="244">
        <v>2810025</v>
      </c>
      <c r="H23" s="244"/>
      <c r="I23" s="304">
        <f t="shared" si="7"/>
        <v>137410.2225</v>
      </c>
      <c r="J23" s="304">
        <f t="shared" si="8"/>
        <v>112401</v>
      </c>
      <c r="K23" s="304">
        <f t="shared" si="9"/>
        <v>56200.5</v>
      </c>
      <c r="L23" s="299">
        <v>15000</v>
      </c>
      <c r="M23" s="295">
        <f t="shared" si="14"/>
        <v>3131036.7225</v>
      </c>
      <c r="N23" s="300">
        <f t="shared" si="10"/>
        <v>250482.9378</v>
      </c>
      <c r="O23" s="300">
        <v>1772500</v>
      </c>
      <c r="P23" s="300"/>
      <c r="Q23" s="300"/>
      <c r="R23" s="300">
        <f t="shared" si="11"/>
        <v>5154019.6603</v>
      </c>
      <c r="S23" s="300">
        <f t="shared" si="12"/>
        <v>25048.29378</v>
      </c>
      <c r="T23" s="416">
        <f t="shared" si="13"/>
        <v>5179067.95408</v>
      </c>
      <c r="U23" s="339">
        <v>44348</v>
      </c>
      <c r="V23" s="340">
        <v>44439</v>
      </c>
      <c r="W23" s="490"/>
      <c r="X23" s="658"/>
      <c r="Y23" s="658"/>
    </row>
    <row r="24" ht="18" customHeight="1">
      <c r="A24" s="616" t="s">
        <v>24</v>
      </c>
      <c r="B24" s="1542" t="s">
        <v>1430</v>
      </c>
      <c r="C24" s="619" t="s">
        <v>1431</v>
      </c>
      <c r="D24" s="239" t="s">
        <v>34</v>
      </c>
      <c r="E24" s="491" t="s">
        <v>176</v>
      </c>
      <c r="F24" s="240" t="s">
        <v>177</v>
      </c>
      <c r="G24" s="244">
        <v>2810025</v>
      </c>
      <c r="H24" s="244"/>
      <c r="I24" s="304">
        <f t="shared" si="7"/>
        <v>137410.2225</v>
      </c>
      <c r="J24" s="304">
        <f t="shared" si="8"/>
        <v>112401</v>
      </c>
      <c r="K24" s="304">
        <f t="shared" si="9"/>
        <v>56200.5</v>
      </c>
      <c r="L24" s="646">
        <v>15000</v>
      </c>
      <c r="M24" s="295">
        <f t="shared" si="14"/>
        <v>3131036.7225</v>
      </c>
      <c r="N24" s="303">
        <f t="shared" si="10"/>
        <v>250482.9378</v>
      </c>
      <c r="O24" s="303">
        <v>1027500</v>
      </c>
      <c r="P24" s="300"/>
      <c r="Q24" s="303"/>
      <c r="R24" s="300">
        <f t="shared" si="11"/>
        <v>4409019.6603</v>
      </c>
      <c r="S24" s="300">
        <f t="shared" si="12"/>
        <v>25048.29378</v>
      </c>
      <c r="T24" s="416">
        <f t="shared" si="13"/>
        <v>4434067.95408</v>
      </c>
      <c r="U24" s="339">
        <v>44378</v>
      </c>
      <c r="V24" s="340">
        <v>44469</v>
      </c>
      <c r="W24" s="419"/>
      <c r="X24" s="658"/>
      <c r="Y24" s="658"/>
      <c r="Z24" s="419"/>
      <c r="AA24" s="419"/>
    </row>
    <row r="25" ht="18" customHeight="1">
      <c r="A25" s="616" t="s">
        <v>24</v>
      </c>
      <c r="B25" s="1543" t="s">
        <v>1432</v>
      </c>
      <c r="C25" s="620" t="s">
        <v>1433</v>
      </c>
      <c r="D25" s="239" t="s">
        <v>34</v>
      </c>
      <c r="E25" s="491" t="s">
        <v>176</v>
      </c>
      <c r="F25" s="240" t="s">
        <v>177</v>
      </c>
      <c r="G25" s="244">
        <v>2810025</v>
      </c>
      <c r="H25" s="621"/>
      <c r="I25" s="647">
        <f>+'SEMARANG AOP AGUSTUS - OK'!$G$5*4.89%</f>
        <v>137410.2225</v>
      </c>
      <c r="J25" s="647">
        <f>+'SEMARANG AOP AGUSTUS - OK'!$G$5*4%</f>
        <v>112401</v>
      </c>
      <c r="K25" s="647">
        <f>+'SEMARANG AOP AGUSTUS - OK'!$G$5*2%</f>
        <v>56200.5</v>
      </c>
      <c r="L25" s="648">
        <v>15000</v>
      </c>
      <c r="M25" s="295">
        <f t="shared" si="14"/>
        <v>3131036.7225</v>
      </c>
      <c r="N25" s="296">
        <f t="shared" si="10"/>
        <v>250482.9378</v>
      </c>
      <c r="O25" s="296">
        <v>20000</v>
      </c>
      <c r="P25" s="300"/>
      <c r="Q25" s="296"/>
      <c r="R25" s="328">
        <f t="shared" si="11"/>
        <v>3401519.6603</v>
      </c>
      <c r="S25" s="663">
        <f t="shared" si="12"/>
        <v>25048.29378</v>
      </c>
      <c r="T25" s="329">
        <f t="shared" si="13"/>
        <v>3426567.95408</v>
      </c>
      <c r="U25" s="579">
        <v>44378</v>
      </c>
      <c r="V25" s="580">
        <v>44469</v>
      </c>
      <c r="W25" s="664"/>
      <c r="X25" s="658"/>
      <c r="Y25" s="658"/>
      <c r="Z25" s="1539" t="s">
        <v>1382</v>
      </c>
      <c r="AA25" s="387" t="str">
        <f>+Z25&amp;B25</f>
        <v>00221</v>
      </c>
    </row>
    <row r="26" ht="18" customHeight="1">
      <c r="A26" s="616" t="s">
        <v>24</v>
      </c>
      <c r="B26" s="1542" t="s">
        <v>1434</v>
      </c>
      <c r="C26" s="619" t="s">
        <v>1435</v>
      </c>
      <c r="D26" s="239" t="s">
        <v>34</v>
      </c>
      <c r="E26" s="491" t="s">
        <v>176</v>
      </c>
      <c r="F26" s="240" t="s">
        <v>177</v>
      </c>
      <c r="G26" s="244">
        <v>2810025</v>
      </c>
      <c r="H26" s="244"/>
      <c r="I26" s="304">
        <f ref="I26:I43" t="shared" si="16">+$G$4*4.89%</f>
        <v>137410.2225</v>
      </c>
      <c r="J26" s="304">
        <f ref="J26:J43" t="shared" si="17">+$G$4*4%</f>
        <v>112401</v>
      </c>
      <c r="K26" s="304">
        <f ref="K26:K43" t="shared" si="18">+$G$4*2%</f>
        <v>56200.5</v>
      </c>
      <c r="L26" s="646">
        <v>15000</v>
      </c>
      <c r="M26" s="295">
        <f t="shared" si="14"/>
        <v>3131036.7225</v>
      </c>
      <c r="N26" s="303">
        <f t="shared" si="10"/>
        <v>250482.9378</v>
      </c>
      <c r="O26" s="303">
        <v>1637500</v>
      </c>
      <c r="P26" s="300"/>
      <c r="Q26" s="303"/>
      <c r="R26" s="300">
        <f t="shared" si="11"/>
        <v>5019019.6603</v>
      </c>
      <c r="S26" s="300">
        <f t="shared" si="12"/>
        <v>25048.29378</v>
      </c>
      <c r="T26" s="416">
        <f t="shared" si="13"/>
        <v>5044067.95408</v>
      </c>
      <c r="U26" s="339">
        <v>44348</v>
      </c>
      <c r="V26" s="340">
        <v>44439</v>
      </c>
      <c r="W26" s="490"/>
      <c r="X26" s="658"/>
      <c r="Y26" s="658"/>
      <c r="Z26" s="419"/>
      <c r="AA26" s="419"/>
    </row>
    <row r="27" ht="18" customHeight="1">
      <c r="A27" s="616" t="s">
        <v>24</v>
      </c>
      <c r="B27" s="1542" t="s">
        <v>1436</v>
      </c>
      <c r="C27" s="619" t="s">
        <v>1437</v>
      </c>
      <c r="D27" s="239" t="s">
        <v>34</v>
      </c>
      <c r="E27" s="491" t="s">
        <v>176</v>
      </c>
      <c r="F27" s="240" t="s">
        <v>177</v>
      </c>
      <c r="G27" s="244">
        <v>2810025</v>
      </c>
      <c r="H27" s="244"/>
      <c r="I27" s="304">
        <f t="shared" si="16"/>
        <v>137410.2225</v>
      </c>
      <c r="J27" s="304">
        <f t="shared" si="17"/>
        <v>112401</v>
      </c>
      <c r="K27" s="304">
        <f t="shared" si="18"/>
        <v>56200.5</v>
      </c>
      <c r="L27" s="646">
        <v>15000</v>
      </c>
      <c r="M27" s="295">
        <f t="shared" si="14"/>
        <v>3131036.7225</v>
      </c>
      <c r="N27" s="303">
        <f t="shared" si="10"/>
        <v>250482.9378</v>
      </c>
      <c r="O27" s="303">
        <v>647500</v>
      </c>
      <c r="P27" s="300"/>
      <c r="Q27" s="303"/>
      <c r="R27" s="300">
        <f t="shared" si="11"/>
        <v>4029019.6603</v>
      </c>
      <c r="S27" s="300">
        <f t="shared" si="12"/>
        <v>25048.29378</v>
      </c>
      <c r="T27" s="416">
        <f t="shared" si="13"/>
        <v>4054067.95408</v>
      </c>
      <c r="U27" s="339">
        <v>44348</v>
      </c>
      <c r="V27" s="340">
        <v>44439</v>
      </c>
      <c r="W27" s="490"/>
      <c r="X27" s="658"/>
      <c r="Y27" s="658"/>
      <c r="Z27" s="419"/>
      <c r="AA27" s="419"/>
    </row>
    <row r="28" ht="18" customHeight="1">
      <c r="A28" s="616" t="s">
        <v>24</v>
      </c>
      <c r="B28" s="1533" t="s">
        <v>1438</v>
      </c>
      <c r="C28" s="622" t="s">
        <v>1439</v>
      </c>
      <c r="D28" s="247" t="s">
        <v>34</v>
      </c>
      <c r="E28" s="366" t="s">
        <v>176</v>
      </c>
      <c r="F28" s="240" t="s">
        <v>177</v>
      </c>
      <c r="G28" s="244">
        <v>2810025</v>
      </c>
      <c r="H28" s="244"/>
      <c r="I28" s="304">
        <f t="shared" si="16"/>
        <v>137410.2225</v>
      </c>
      <c r="J28" s="304">
        <f t="shared" si="17"/>
        <v>112401</v>
      </c>
      <c r="K28" s="304">
        <f t="shared" si="18"/>
        <v>56200.5</v>
      </c>
      <c r="L28" s="298">
        <v>15000</v>
      </c>
      <c r="M28" s="295">
        <f t="shared" si="14"/>
        <v>3131036.7225</v>
      </c>
      <c r="N28" s="303">
        <f t="shared" si="10"/>
        <v>250482.9378</v>
      </c>
      <c r="O28" s="303">
        <v>1307500</v>
      </c>
      <c r="P28" s="300"/>
      <c r="Q28" s="303"/>
      <c r="R28" s="300">
        <f t="shared" si="11"/>
        <v>4689019.6603</v>
      </c>
      <c r="S28" s="300">
        <f t="shared" si="12"/>
        <v>25048.29378</v>
      </c>
      <c r="T28" s="416">
        <f t="shared" si="13"/>
        <v>4714067.95408</v>
      </c>
      <c r="U28" s="339">
        <v>44348</v>
      </c>
      <c r="V28" s="340">
        <v>44439</v>
      </c>
      <c r="W28" s="490"/>
      <c r="X28" s="658"/>
      <c r="Y28" s="658"/>
    </row>
    <row r="29" ht="18" customHeight="1">
      <c r="A29" s="616" t="s">
        <v>24</v>
      </c>
      <c r="B29" s="1533" t="s">
        <v>1440</v>
      </c>
      <c r="C29" s="622" t="s">
        <v>1441</v>
      </c>
      <c r="D29" s="247" t="s">
        <v>34</v>
      </c>
      <c r="E29" s="366" t="s">
        <v>176</v>
      </c>
      <c r="F29" s="240" t="s">
        <v>177</v>
      </c>
      <c r="G29" s="244">
        <v>2810025</v>
      </c>
      <c r="H29" s="244"/>
      <c r="I29" s="304">
        <f t="shared" si="16"/>
        <v>137410.2225</v>
      </c>
      <c r="J29" s="304">
        <f t="shared" si="17"/>
        <v>112401</v>
      </c>
      <c r="K29" s="304">
        <f t="shared" si="18"/>
        <v>56200.5</v>
      </c>
      <c r="L29" s="298">
        <v>15000</v>
      </c>
      <c r="M29" s="295">
        <f t="shared" si="14"/>
        <v>3131036.7225</v>
      </c>
      <c r="N29" s="303">
        <f t="shared" si="10"/>
        <v>250482.9378</v>
      </c>
      <c r="O29" s="303">
        <v>835000</v>
      </c>
      <c r="P29" s="300"/>
      <c r="Q29" s="303"/>
      <c r="R29" s="300">
        <f t="shared" si="11"/>
        <v>4216519.6603</v>
      </c>
      <c r="S29" s="300">
        <f t="shared" si="12"/>
        <v>25048.29378</v>
      </c>
      <c r="T29" s="416">
        <f t="shared" si="13"/>
        <v>4241567.95408</v>
      </c>
      <c r="U29" s="339">
        <v>44378</v>
      </c>
      <c r="V29" s="340">
        <v>44469</v>
      </c>
      <c r="X29" s="658"/>
      <c r="Y29" s="658"/>
    </row>
    <row r="30" ht="18" customHeight="1">
      <c r="A30" s="616" t="s">
        <v>24</v>
      </c>
      <c r="B30" s="1533" t="s">
        <v>1442</v>
      </c>
      <c r="C30" s="622" t="s">
        <v>1443</v>
      </c>
      <c r="D30" s="247" t="s">
        <v>34</v>
      </c>
      <c r="E30" s="366" t="s">
        <v>176</v>
      </c>
      <c r="F30" s="240" t="s">
        <v>177</v>
      </c>
      <c r="G30" s="244">
        <v>2810025</v>
      </c>
      <c r="H30" s="244"/>
      <c r="I30" s="304">
        <f t="shared" si="16"/>
        <v>137410.2225</v>
      </c>
      <c r="J30" s="304">
        <f t="shared" si="17"/>
        <v>112401</v>
      </c>
      <c r="K30" s="304">
        <f t="shared" si="18"/>
        <v>56200.5</v>
      </c>
      <c r="L30" s="298">
        <v>15000</v>
      </c>
      <c r="M30" s="295">
        <f t="shared" si="14"/>
        <v>3131036.7225</v>
      </c>
      <c r="N30" s="303">
        <f t="shared" si="10"/>
        <v>250482.9378</v>
      </c>
      <c r="O30" s="303">
        <v>525000</v>
      </c>
      <c r="P30" s="300"/>
      <c r="Q30" s="303"/>
      <c r="R30" s="300">
        <f t="shared" si="11"/>
        <v>3906519.6603</v>
      </c>
      <c r="S30" s="300">
        <f t="shared" si="12"/>
        <v>25048.29378</v>
      </c>
      <c r="T30" s="416">
        <f t="shared" si="13"/>
        <v>3931567.95408</v>
      </c>
      <c r="U30" s="339">
        <v>44386</v>
      </c>
      <c r="V30" s="340">
        <v>44469</v>
      </c>
      <c r="X30" s="658"/>
      <c r="Y30" s="658"/>
    </row>
    <row r="31" ht="18" customHeight="1">
      <c r="A31" s="616" t="s">
        <v>24</v>
      </c>
      <c r="B31" s="1533" t="s">
        <v>1444</v>
      </c>
      <c r="C31" s="622" t="s">
        <v>1445</v>
      </c>
      <c r="D31" s="247" t="s">
        <v>34</v>
      </c>
      <c r="E31" s="366" t="s">
        <v>176</v>
      </c>
      <c r="F31" s="240" t="s">
        <v>177</v>
      </c>
      <c r="G31" s="244">
        <v>2810025</v>
      </c>
      <c r="H31" s="244">
        <v>-224802</v>
      </c>
      <c r="I31" s="304">
        <f t="shared" si="16"/>
        <v>137410.2225</v>
      </c>
      <c r="J31" s="304">
        <f t="shared" si="17"/>
        <v>112401</v>
      </c>
      <c r="K31" s="304">
        <f t="shared" si="18"/>
        <v>56200.5</v>
      </c>
      <c r="L31" s="298">
        <v>15000</v>
      </c>
      <c r="M31" s="295">
        <f t="shared" si="14"/>
        <v>2906234.7225</v>
      </c>
      <c r="N31" s="303">
        <f t="shared" si="10"/>
        <v>232498.7778</v>
      </c>
      <c r="O31" s="303">
        <v>857500</v>
      </c>
      <c r="P31" s="300"/>
      <c r="Q31" s="303"/>
      <c r="R31" s="300">
        <f t="shared" si="11"/>
        <v>3996233.5003</v>
      </c>
      <c r="S31" s="300">
        <f t="shared" si="12"/>
        <v>23249.87778</v>
      </c>
      <c r="T31" s="416">
        <f t="shared" si="13"/>
        <v>4019483.37808</v>
      </c>
      <c r="U31" s="339">
        <v>44348</v>
      </c>
      <c r="V31" s="340">
        <v>44439</v>
      </c>
      <c r="W31" s="490"/>
      <c r="X31" s="658"/>
      <c r="Y31" s="658"/>
    </row>
    <row r="32" ht="18" customHeight="1">
      <c r="A32" s="616" t="s">
        <v>24</v>
      </c>
      <c r="B32" s="239" t="s">
        <v>458</v>
      </c>
      <c r="C32" s="622" t="s">
        <v>459</v>
      </c>
      <c r="D32" s="247" t="s">
        <v>34</v>
      </c>
      <c r="E32" s="606" t="s">
        <v>176</v>
      </c>
      <c r="F32" s="240" t="s">
        <v>177</v>
      </c>
      <c r="G32" s="244">
        <v>2810025</v>
      </c>
      <c r="H32" s="244"/>
      <c r="I32" s="304">
        <f t="shared" si="16"/>
        <v>137410.2225</v>
      </c>
      <c r="J32" s="304">
        <f t="shared" si="17"/>
        <v>112401</v>
      </c>
      <c r="K32" s="304">
        <f t="shared" si="18"/>
        <v>56200.5</v>
      </c>
      <c r="L32" s="304">
        <v>15000</v>
      </c>
      <c r="M32" s="295">
        <f t="shared" si="14"/>
        <v>3131036.7225</v>
      </c>
      <c r="N32" s="300">
        <f t="shared" si="10"/>
        <v>250482.9378</v>
      </c>
      <c r="O32" s="300">
        <v>1632500</v>
      </c>
      <c r="P32" s="300"/>
      <c r="Q32" s="244">
        <f>SUM(Q22:Q31)</f>
        <v>0</v>
      </c>
      <c r="R32" s="300">
        <f t="shared" si="11"/>
        <v>5014019.6603</v>
      </c>
      <c r="S32" s="300">
        <f t="shared" si="12"/>
        <v>25048.29378</v>
      </c>
      <c r="T32" s="416">
        <f t="shared" si="13"/>
        <v>5039067.95408</v>
      </c>
      <c r="U32" s="339">
        <v>44378</v>
      </c>
      <c r="V32" s="340">
        <v>44469</v>
      </c>
      <c r="W32" s="490"/>
      <c r="X32" s="658"/>
      <c r="Y32" s="658"/>
      <c r="Z32" s="676"/>
      <c r="AA32" s="676"/>
    </row>
    <row r="33" ht="18" customHeight="1">
      <c r="A33" s="616" t="s">
        <v>24</v>
      </c>
      <c r="B33" s="1533" t="s">
        <v>1446</v>
      </c>
      <c r="C33" s="622" t="s">
        <v>1447</v>
      </c>
      <c r="D33" s="247" t="s">
        <v>34</v>
      </c>
      <c r="E33" s="366" t="s">
        <v>176</v>
      </c>
      <c r="F33" s="240" t="s">
        <v>177</v>
      </c>
      <c r="G33" s="244">
        <v>2810025</v>
      </c>
      <c r="H33" s="244"/>
      <c r="I33" s="304">
        <f t="shared" si="16"/>
        <v>137410.2225</v>
      </c>
      <c r="J33" s="304">
        <f t="shared" si="17"/>
        <v>112401</v>
      </c>
      <c r="K33" s="304">
        <f t="shared" si="18"/>
        <v>56200.5</v>
      </c>
      <c r="L33" s="298">
        <v>15000</v>
      </c>
      <c r="M33" s="295">
        <f t="shared" si="14"/>
        <v>3131036.7225</v>
      </c>
      <c r="N33" s="303">
        <f t="shared" si="10"/>
        <v>250482.9378</v>
      </c>
      <c r="O33" s="303">
        <v>1220000</v>
      </c>
      <c r="P33" s="300"/>
      <c r="Q33" s="303"/>
      <c r="R33" s="300">
        <f t="shared" si="11"/>
        <v>4601519.6603</v>
      </c>
      <c r="S33" s="300">
        <f t="shared" si="12"/>
        <v>25048.29378</v>
      </c>
      <c r="T33" s="416">
        <f t="shared" si="13"/>
        <v>4626567.95408</v>
      </c>
      <c r="U33" s="339">
        <v>44378</v>
      </c>
      <c r="V33" s="340">
        <v>44469</v>
      </c>
      <c r="X33" s="658"/>
      <c r="Y33" s="658"/>
    </row>
    <row r="34" ht="18" customHeight="1">
      <c r="A34" s="616" t="s">
        <v>24</v>
      </c>
      <c r="B34" s="239" t="s">
        <v>462</v>
      </c>
      <c r="C34" s="622" t="s">
        <v>463</v>
      </c>
      <c r="D34" s="247" t="s">
        <v>34</v>
      </c>
      <c r="E34" s="606" t="s">
        <v>176</v>
      </c>
      <c r="F34" s="240" t="s">
        <v>177</v>
      </c>
      <c r="G34" s="244">
        <v>2810025</v>
      </c>
      <c r="H34" s="244"/>
      <c r="I34" s="304">
        <f t="shared" si="16"/>
        <v>137410.2225</v>
      </c>
      <c r="J34" s="304">
        <f t="shared" si="17"/>
        <v>112401</v>
      </c>
      <c r="K34" s="304">
        <f t="shared" si="18"/>
        <v>56200.5</v>
      </c>
      <c r="L34" s="304">
        <v>15000</v>
      </c>
      <c r="M34" s="295">
        <f t="shared" si="14"/>
        <v>3131036.7225</v>
      </c>
      <c r="N34" s="300">
        <f t="shared" si="10"/>
        <v>250482.9378</v>
      </c>
      <c r="O34" s="300">
        <v>1265000</v>
      </c>
      <c r="P34" s="300"/>
      <c r="Q34" s="300"/>
      <c r="R34" s="300">
        <f t="shared" si="11"/>
        <v>4646519.6603</v>
      </c>
      <c r="S34" s="300">
        <f t="shared" si="12"/>
        <v>25048.29378</v>
      </c>
      <c r="T34" s="416">
        <f t="shared" si="13"/>
        <v>4671567.95408</v>
      </c>
      <c r="U34" s="339">
        <v>44378</v>
      </c>
      <c r="V34" s="340">
        <v>44469</v>
      </c>
      <c r="W34" s="490"/>
      <c r="X34" s="658"/>
      <c r="Y34" s="658"/>
      <c r="Z34" s="676"/>
      <c r="AA34" s="676"/>
    </row>
    <row r="35" ht="18" customHeight="1">
      <c r="A35" s="616" t="s">
        <v>24</v>
      </c>
      <c r="B35" s="239">
        <v>1948</v>
      </c>
      <c r="C35" s="622" t="s">
        <v>1448</v>
      </c>
      <c r="D35" s="247" t="s">
        <v>34</v>
      </c>
      <c r="E35" s="366" t="s">
        <v>176</v>
      </c>
      <c r="F35" s="240" t="s">
        <v>177</v>
      </c>
      <c r="G35" s="244">
        <v>2810025</v>
      </c>
      <c r="H35" s="244"/>
      <c r="I35" s="304">
        <f t="shared" si="16"/>
        <v>137410.2225</v>
      </c>
      <c r="J35" s="304">
        <f t="shared" si="17"/>
        <v>112401</v>
      </c>
      <c r="K35" s="304">
        <f t="shared" si="18"/>
        <v>56200.5</v>
      </c>
      <c r="L35" s="298">
        <v>15000</v>
      </c>
      <c r="M35" s="295">
        <f t="shared" si="14"/>
        <v>3131036.7225</v>
      </c>
      <c r="N35" s="303">
        <f t="shared" si="10"/>
        <v>250482.9378</v>
      </c>
      <c r="O35" s="303">
        <v>1545000</v>
      </c>
      <c r="P35" s="300"/>
      <c r="Q35" s="303"/>
      <c r="R35" s="300">
        <f t="shared" si="11"/>
        <v>4926519.6603</v>
      </c>
      <c r="S35" s="300">
        <f t="shared" si="12"/>
        <v>25048.29378</v>
      </c>
      <c r="T35" s="416">
        <f t="shared" si="13"/>
        <v>4951567.95408</v>
      </c>
      <c r="U35" s="339">
        <v>44378</v>
      </c>
      <c r="V35" s="340">
        <v>44469</v>
      </c>
      <c r="X35" s="658"/>
      <c r="Y35" s="658"/>
    </row>
    <row r="36" ht="18" customHeight="1">
      <c r="A36" s="616" t="s">
        <v>24</v>
      </c>
      <c r="B36" s="239" t="s">
        <v>1449</v>
      </c>
      <c r="C36" s="622" t="s">
        <v>1450</v>
      </c>
      <c r="D36" s="247" t="s">
        <v>34</v>
      </c>
      <c r="E36" s="606" t="s">
        <v>176</v>
      </c>
      <c r="F36" s="240" t="s">
        <v>177</v>
      </c>
      <c r="G36" s="244">
        <v>2810025</v>
      </c>
      <c r="H36" s="244"/>
      <c r="I36" s="304">
        <f t="shared" si="16"/>
        <v>137410.2225</v>
      </c>
      <c r="J36" s="304">
        <f t="shared" si="17"/>
        <v>112401</v>
      </c>
      <c r="K36" s="304">
        <f t="shared" si="18"/>
        <v>56200.5</v>
      </c>
      <c r="L36" s="304">
        <v>15000</v>
      </c>
      <c r="M36" s="295">
        <f t="shared" si="14"/>
        <v>3131036.7225</v>
      </c>
      <c r="N36" s="300">
        <f t="shared" si="10"/>
        <v>250482.9378</v>
      </c>
      <c r="O36" s="300">
        <v>1090000</v>
      </c>
      <c r="P36" s="300"/>
      <c r="Q36" s="300"/>
      <c r="R36" s="300">
        <f t="shared" si="11"/>
        <v>4471519.6603</v>
      </c>
      <c r="S36" s="300">
        <f t="shared" si="12"/>
        <v>25048.29378</v>
      </c>
      <c r="T36" s="416">
        <f t="shared" si="13"/>
        <v>4496567.95408</v>
      </c>
      <c r="U36" s="339">
        <v>44378</v>
      </c>
      <c r="V36" s="340">
        <v>44469</v>
      </c>
      <c r="W36" s="490"/>
      <c r="X36" s="658"/>
      <c r="Y36" s="658"/>
      <c r="Z36" s="676"/>
      <c r="AA36" s="676"/>
    </row>
    <row r="37" ht="18" customHeight="1">
      <c r="A37" s="616" t="s">
        <v>24</v>
      </c>
      <c r="B37" s="1533" t="s">
        <v>1451</v>
      </c>
      <c r="C37" s="622" t="s">
        <v>1452</v>
      </c>
      <c r="D37" s="247" t="s">
        <v>34</v>
      </c>
      <c r="E37" s="366" t="s">
        <v>176</v>
      </c>
      <c r="F37" s="240" t="s">
        <v>177</v>
      </c>
      <c r="G37" s="244">
        <v>2810025</v>
      </c>
      <c r="H37" s="244"/>
      <c r="I37" s="304">
        <f t="shared" si="16"/>
        <v>137410.2225</v>
      </c>
      <c r="J37" s="304">
        <f t="shared" si="17"/>
        <v>112401</v>
      </c>
      <c r="K37" s="304">
        <f t="shared" si="18"/>
        <v>56200.5</v>
      </c>
      <c r="L37" s="298">
        <v>15000</v>
      </c>
      <c r="M37" s="295">
        <f t="shared" si="14"/>
        <v>3131036.7225</v>
      </c>
      <c r="N37" s="303">
        <f t="shared" si="10"/>
        <v>250482.9378</v>
      </c>
      <c r="O37" s="303">
        <v>1597500</v>
      </c>
      <c r="P37" s="300"/>
      <c r="Q37" s="303"/>
      <c r="R37" s="300">
        <f t="shared" si="11"/>
        <v>4979019.6603</v>
      </c>
      <c r="S37" s="300">
        <f t="shared" si="12"/>
        <v>25048.29378</v>
      </c>
      <c r="T37" s="416">
        <f t="shared" si="13"/>
        <v>5004067.95408</v>
      </c>
      <c r="U37" s="339">
        <v>44348</v>
      </c>
      <c r="V37" s="340">
        <v>44439</v>
      </c>
      <c r="W37" s="490"/>
      <c r="X37" s="658"/>
      <c r="Y37" s="658"/>
    </row>
    <row r="38" ht="18" customHeight="1">
      <c r="A38" s="616" t="s">
        <v>24</v>
      </c>
      <c r="B38" s="239" t="s">
        <v>1453</v>
      </c>
      <c r="C38" s="622" t="s">
        <v>378</v>
      </c>
      <c r="D38" s="247" t="s">
        <v>34</v>
      </c>
      <c r="E38" s="606" t="s">
        <v>176</v>
      </c>
      <c r="F38" s="240" t="s">
        <v>177</v>
      </c>
      <c r="G38" s="244">
        <v>2810025</v>
      </c>
      <c r="H38" s="244"/>
      <c r="I38" s="304">
        <f t="shared" si="16"/>
        <v>137410.2225</v>
      </c>
      <c r="J38" s="304">
        <f t="shared" si="17"/>
        <v>112401</v>
      </c>
      <c r="K38" s="304">
        <f t="shared" si="18"/>
        <v>56200.5</v>
      </c>
      <c r="L38" s="304">
        <v>15000</v>
      </c>
      <c r="M38" s="295">
        <f t="shared" si="14"/>
        <v>3131036.7225</v>
      </c>
      <c r="N38" s="300">
        <f t="shared" si="10"/>
        <v>250482.9378</v>
      </c>
      <c r="O38" s="300">
        <v>1080000</v>
      </c>
      <c r="P38" s="300"/>
      <c r="Q38" s="300"/>
      <c r="R38" s="300">
        <f t="shared" si="11"/>
        <v>4461519.6603</v>
      </c>
      <c r="S38" s="300">
        <f t="shared" si="12"/>
        <v>25048.29378</v>
      </c>
      <c r="T38" s="416">
        <f t="shared" si="13"/>
        <v>4486567.95408</v>
      </c>
      <c r="U38" s="339">
        <v>44348</v>
      </c>
      <c r="V38" s="340">
        <v>44439</v>
      </c>
      <c r="W38" s="490"/>
      <c r="X38" s="658"/>
      <c r="Y38" s="658"/>
      <c r="Z38" s="676"/>
      <c r="AA38" s="676"/>
    </row>
    <row r="39" ht="18" customHeight="1">
      <c r="A39" s="616" t="s">
        <v>24</v>
      </c>
      <c r="B39" s="1533" t="s">
        <v>1454</v>
      </c>
      <c r="C39" s="622" t="s">
        <v>1455</v>
      </c>
      <c r="D39" s="247" t="s">
        <v>34</v>
      </c>
      <c r="E39" s="366" t="s">
        <v>176</v>
      </c>
      <c r="F39" s="240" t="s">
        <v>177</v>
      </c>
      <c r="G39" s="244">
        <v>2810025</v>
      </c>
      <c r="H39" s="244"/>
      <c r="I39" s="304">
        <f t="shared" si="16"/>
        <v>137410.2225</v>
      </c>
      <c r="J39" s="304">
        <f t="shared" si="17"/>
        <v>112401</v>
      </c>
      <c r="K39" s="304">
        <f t="shared" si="18"/>
        <v>56200.5</v>
      </c>
      <c r="L39" s="298">
        <v>15000</v>
      </c>
      <c r="M39" s="295">
        <f t="shared" si="14"/>
        <v>3131036.7225</v>
      </c>
      <c r="N39" s="303">
        <f t="shared" si="10"/>
        <v>250482.9378</v>
      </c>
      <c r="O39" s="303">
        <v>1200000</v>
      </c>
      <c r="P39" s="300"/>
      <c r="Q39" s="303"/>
      <c r="R39" s="300">
        <f t="shared" si="11"/>
        <v>4581519.6603</v>
      </c>
      <c r="S39" s="300">
        <f t="shared" si="12"/>
        <v>25048.29378</v>
      </c>
      <c r="T39" s="416">
        <f t="shared" si="13"/>
        <v>4606567.95408</v>
      </c>
      <c r="U39" s="339">
        <v>44378</v>
      </c>
      <c r="V39" s="340">
        <v>44469</v>
      </c>
      <c r="X39" s="658"/>
      <c r="Y39" s="658"/>
    </row>
    <row r="40" ht="18" customHeight="1">
      <c r="A40" s="616" t="s">
        <v>24</v>
      </c>
      <c r="B40" s="1533" t="s">
        <v>1456</v>
      </c>
      <c r="C40" s="622" t="s">
        <v>1457</v>
      </c>
      <c r="D40" s="247" t="s">
        <v>34</v>
      </c>
      <c r="E40" s="366" t="s">
        <v>176</v>
      </c>
      <c r="F40" s="240" t="s">
        <v>177</v>
      </c>
      <c r="G40" s="244">
        <v>2810025</v>
      </c>
      <c r="H40" s="244"/>
      <c r="I40" s="304">
        <f t="shared" si="16"/>
        <v>137410.2225</v>
      </c>
      <c r="J40" s="304">
        <f t="shared" si="17"/>
        <v>112401</v>
      </c>
      <c r="K40" s="304">
        <f t="shared" si="18"/>
        <v>56200.5</v>
      </c>
      <c r="L40" s="298">
        <v>15000</v>
      </c>
      <c r="M40" s="295">
        <f t="shared" si="14"/>
        <v>3131036.7225</v>
      </c>
      <c r="N40" s="303">
        <f t="shared" si="10"/>
        <v>250482.9378</v>
      </c>
      <c r="O40" s="303">
        <v>1082500</v>
      </c>
      <c r="P40" s="300"/>
      <c r="Q40" s="303"/>
      <c r="R40" s="300">
        <f t="shared" si="11"/>
        <v>4464019.6603</v>
      </c>
      <c r="S40" s="300">
        <f t="shared" si="12"/>
        <v>25048.29378</v>
      </c>
      <c r="T40" s="416">
        <f t="shared" si="13"/>
        <v>4489067.95408</v>
      </c>
      <c r="U40" s="339">
        <v>44378</v>
      </c>
      <c r="V40" s="340">
        <v>44469</v>
      </c>
      <c r="X40" s="658"/>
      <c r="Y40" s="658"/>
    </row>
    <row r="41" ht="18" customHeight="1">
      <c r="A41" s="616" t="s">
        <v>24</v>
      </c>
      <c r="B41" s="239" t="s">
        <v>694</v>
      </c>
      <c r="C41" s="622" t="s">
        <v>695</v>
      </c>
      <c r="D41" s="247" t="s">
        <v>34</v>
      </c>
      <c r="E41" s="606" t="s">
        <v>176</v>
      </c>
      <c r="F41" s="240" t="s">
        <v>177</v>
      </c>
      <c r="G41" s="244">
        <v>2810025</v>
      </c>
      <c r="H41" s="244"/>
      <c r="I41" s="304">
        <f t="shared" si="16"/>
        <v>137410.2225</v>
      </c>
      <c r="J41" s="304">
        <f t="shared" si="17"/>
        <v>112401</v>
      </c>
      <c r="K41" s="304">
        <f t="shared" si="18"/>
        <v>56200.5</v>
      </c>
      <c r="L41" s="304">
        <v>15000</v>
      </c>
      <c r="M41" s="295">
        <f t="shared" si="14"/>
        <v>3131036.7225</v>
      </c>
      <c r="N41" s="300">
        <f t="shared" si="10"/>
        <v>250482.9378</v>
      </c>
      <c r="O41" s="300">
        <v>680000</v>
      </c>
      <c r="P41" s="300"/>
      <c r="Q41" s="300"/>
      <c r="R41" s="300">
        <f t="shared" si="11"/>
        <v>4061519.6603</v>
      </c>
      <c r="S41" s="300">
        <f t="shared" si="12"/>
        <v>25048.29378</v>
      </c>
      <c r="T41" s="416">
        <f t="shared" si="13"/>
        <v>4086567.95408</v>
      </c>
      <c r="U41" s="339">
        <v>44378</v>
      </c>
      <c r="V41" s="340">
        <v>44469</v>
      </c>
      <c r="W41" s="490"/>
      <c r="X41" s="658"/>
      <c r="Y41" s="658"/>
      <c r="Z41" s="676"/>
      <c r="AA41" s="676"/>
    </row>
    <row r="42" ht="18" customHeight="1">
      <c r="A42" s="616" t="s">
        <v>24</v>
      </c>
      <c r="B42" s="239" t="s">
        <v>1458</v>
      </c>
      <c r="C42" s="622" t="s">
        <v>213</v>
      </c>
      <c r="D42" s="247" t="s">
        <v>34</v>
      </c>
      <c r="E42" s="606" t="s">
        <v>176</v>
      </c>
      <c r="F42" s="240" t="s">
        <v>177</v>
      </c>
      <c r="G42" s="244">
        <v>2810025</v>
      </c>
      <c r="H42" s="244"/>
      <c r="I42" s="304">
        <f t="shared" si="16"/>
        <v>137410.2225</v>
      </c>
      <c r="J42" s="304">
        <f t="shared" si="17"/>
        <v>112401</v>
      </c>
      <c r="K42" s="304">
        <f t="shared" si="18"/>
        <v>56200.5</v>
      </c>
      <c r="L42" s="304">
        <v>15000</v>
      </c>
      <c r="M42" s="295">
        <f t="shared" si="14"/>
        <v>3131036.7225</v>
      </c>
      <c r="N42" s="300">
        <f t="shared" si="10"/>
        <v>250482.9378</v>
      </c>
      <c r="O42" s="300">
        <v>1312500</v>
      </c>
      <c r="P42" s="300"/>
      <c r="Q42" s="300"/>
      <c r="R42" s="300">
        <f t="shared" si="11"/>
        <v>4694019.6603</v>
      </c>
      <c r="S42" s="300">
        <f t="shared" si="12"/>
        <v>25048.29378</v>
      </c>
      <c r="T42" s="416">
        <f t="shared" si="13"/>
        <v>4719067.95408</v>
      </c>
      <c r="U42" s="339">
        <v>44378</v>
      </c>
      <c r="V42" s="340">
        <v>44469</v>
      </c>
      <c r="W42" s="490"/>
      <c r="X42" s="658"/>
      <c r="Y42" s="658"/>
      <c r="Z42" s="676"/>
      <c r="AA42" s="676"/>
    </row>
    <row r="43" ht="18" customHeight="1">
      <c r="A43" s="616" t="s">
        <v>24</v>
      </c>
      <c r="B43" s="239" t="s">
        <v>460</v>
      </c>
      <c r="C43" s="622" t="s">
        <v>461</v>
      </c>
      <c r="D43" s="247" t="s">
        <v>34</v>
      </c>
      <c r="E43" s="606" t="s">
        <v>176</v>
      </c>
      <c r="F43" s="240" t="s">
        <v>177</v>
      </c>
      <c r="G43" s="244">
        <v>2810025</v>
      </c>
      <c r="H43" s="244"/>
      <c r="I43" s="304">
        <f t="shared" si="16"/>
        <v>137410.2225</v>
      </c>
      <c r="J43" s="304">
        <f t="shared" si="17"/>
        <v>112401</v>
      </c>
      <c r="K43" s="304">
        <f t="shared" si="18"/>
        <v>56200.5</v>
      </c>
      <c r="L43" s="304">
        <v>15000</v>
      </c>
      <c r="M43" s="295">
        <f t="shared" si="14"/>
        <v>3131036.7225</v>
      </c>
      <c r="N43" s="300">
        <f t="shared" si="10"/>
        <v>250482.9378</v>
      </c>
      <c r="O43" s="300">
        <v>250000</v>
      </c>
      <c r="P43" s="300"/>
      <c r="Q43" s="300"/>
      <c r="R43" s="300">
        <f t="shared" si="11"/>
        <v>3631519.6603</v>
      </c>
      <c r="S43" s="300">
        <f t="shared" si="12"/>
        <v>25048.29378</v>
      </c>
      <c r="T43" s="416">
        <f t="shared" si="13"/>
        <v>3656567.95408</v>
      </c>
      <c r="U43" s="339">
        <v>44378</v>
      </c>
      <c r="V43" s="665">
        <v>44469</v>
      </c>
      <c r="W43" s="490"/>
      <c r="X43" s="658"/>
      <c r="Y43" s="658"/>
      <c r="Z43" s="676"/>
      <c r="AA43" s="676"/>
    </row>
    <row r="44" ht="18" customHeight="1">
      <c r="A44" s="623" t="s">
        <v>24</v>
      </c>
      <c r="B44" s="1544" t="s">
        <v>1459</v>
      </c>
      <c r="C44" s="625" t="s">
        <v>1460</v>
      </c>
      <c r="D44" s="626" t="s">
        <v>34</v>
      </c>
      <c r="E44" s="627" t="s">
        <v>176</v>
      </c>
      <c r="F44" s="628" t="s">
        <v>177</v>
      </c>
      <c r="G44" s="629">
        <v>2810025</v>
      </c>
      <c r="H44" s="629"/>
      <c r="I44" s="649">
        <f ref="I44:I52" t="shared" si="19">+$G$4*4.89%</f>
        <v>137410.2225</v>
      </c>
      <c r="J44" s="649">
        <f ref="J44:J52" t="shared" si="20">+$G$4*4%</f>
        <v>112401</v>
      </c>
      <c r="K44" s="649">
        <f ref="K44:K52" t="shared" si="21">+$G$4*2%</f>
        <v>56200.5</v>
      </c>
      <c r="L44" s="650">
        <v>15000</v>
      </c>
      <c r="M44" s="308">
        <f t="shared" si="14"/>
        <v>3131036.7225</v>
      </c>
      <c r="N44" s="651">
        <f ref="N44:N52" t="shared" si="22">+M44*8%</f>
        <v>250482.9378</v>
      </c>
      <c r="O44" s="651">
        <v>345000</v>
      </c>
      <c r="P44" s="651"/>
      <c r="Q44" s="651"/>
      <c r="R44" s="666">
        <f ref="R44:R52" t="shared" si="23">SUM(M44:Q44)</f>
        <v>3726519.6603</v>
      </c>
      <c r="S44" s="666">
        <f ref="S44:S52" t="shared" si="24">N44*0.1</f>
        <v>25048.29378</v>
      </c>
      <c r="T44" s="667">
        <f ref="T44:T52" t="shared" si="25">R44+S44</f>
        <v>3751567.95408</v>
      </c>
      <c r="U44" s="668">
        <v>44393</v>
      </c>
      <c r="V44" s="669">
        <v>44500</v>
      </c>
      <c r="X44" s="670"/>
      <c r="Y44" s="670"/>
    </row>
    <row r="45" ht="18" customHeight="1">
      <c r="A45" s="623" t="s">
        <v>24</v>
      </c>
      <c r="B45" s="1544" t="s">
        <v>1461</v>
      </c>
      <c r="C45" s="625" t="s">
        <v>1462</v>
      </c>
      <c r="D45" s="626" t="s">
        <v>34</v>
      </c>
      <c r="E45" s="627" t="s">
        <v>176</v>
      </c>
      <c r="F45" s="628" t="s">
        <v>177</v>
      </c>
      <c r="G45" s="629">
        <v>2810025</v>
      </c>
      <c r="H45" s="629"/>
      <c r="I45" s="649">
        <f t="shared" si="19"/>
        <v>137410.2225</v>
      </c>
      <c r="J45" s="649">
        <f t="shared" si="20"/>
        <v>112401</v>
      </c>
      <c r="K45" s="649">
        <f t="shared" si="21"/>
        <v>56200.5</v>
      </c>
      <c r="L45" s="650">
        <v>15000</v>
      </c>
      <c r="M45" s="308">
        <f t="shared" si="14"/>
        <v>3131036.7225</v>
      </c>
      <c r="N45" s="651">
        <f t="shared" si="22"/>
        <v>250482.9378</v>
      </c>
      <c r="O45" s="651">
        <v>290000</v>
      </c>
      <c r="P45" s="651"/>
      <c r="Q45" s="651"/>
      <c r="R45" s="666">
        <f t="shared" si="23"/>
        <v>3671519.6603</v>
      </c>
      <c r="S45" s="666">
        <f t="shared" si="24"/>
        <v>25048.29378</v>
      </c>
      <c r="T45" s="667">
        <f t="shared" si="25"/>
        <v>3696567.95408</v>
      </c>
      <c r="U45" s="668">
        <v>44393</v>
      </c>
      <c r="V45" s="669">
        <v>44469</v>
      </c>
      <c r="X45" s="670"/>
      <c r="Y45" s="670"/>
    </row>
    <row r="46" ht="18" customHeight="1">
      <c r="A46" s="623" t="s">
        <v>24</v>
      </c>
      <c r="B46" s="1544" t="s">
        <v>1463</v>
      </c>
      <c r="C46" s="625" t="s">
        <v>1464</v>
      </c>
      <c r="D46" s="626" t="s">
        <v>34</v>
      </c>
      <c r="E46" s="627" t="s">
        <v>176</v>
      </c>
      <c r="F46" s="628" t="s">
        <v>177</v>
      </c>
      <c r="G46" s="629">
        <f>2810025/31*25</f>
        <v>2266149.19354839</v>
      </c>
      <c r="H46" s="629"/>
      <c r="I46" s="649">
        <f t="shared" si="19"/>
        <v>137410.2225</v>
      </c>
      <c r="J46" s="649">
        <f t="shared" si="20"/>
        <v>112401</v>
      </c>
      <c r="K46" s="649">
        <f t="shared" si="21"/>
        <v>56200.5</v>
      </c>
      <c r="L46" s="650">
        <v>15000</v>
      </c>
      <c r="M46" s="308">
        <f t="shared" si="14"/>
        <v>2587160.91604839</v>
      </c>
      <c r="N46" s="651">
        <f t="shared" si="22"/>
        <v>206972.873283871</v>
      </c>
      <c r="O46" s="651">
        <v>265000</v>
      </c>
      <c r="P46" s="651"/>
      <c r="Q46" s="651"/>
      <c r="R46" s="666">
        <f t="shared" si="23"/>
        <v>3059133.78933226</v>
      </c>
      <c r="S46" s="666">
        <f t="shared" si="24"/>
        <v>20697.2873283871</v>
      </c>
      <c r="T46" s="667">
        <f t="shared" si="25"/>
        <v>3079831.07666065</v>
      </c>
      <c r="U46" s="668">
        <v>44399</v>
      </c>
      <c r="V46" s="669">
        <v>44469</v>
      </c>
      <c r="X46" s="670"/>
      <c r="Y46" s="670"/>
    </row>
    <row r="47" ht="18" customHeight="1">
      <c r="A47" s="623" t="s">
        <v>24</v>
      </c>
      <c r="B47" s="1544" t="s">
        <v>1465</v>
      </c>
      <c r="C47" s="625" t="s">
        <v>1466</v>
      </c>
      <c r="D47" s="626" t="s">
        <v>34</v>
      </c>
      <c r="E47" s="627" t="s">
        <v>176</v>
      </c>
      <c r="F47" s="628" t="s">
        <v>177</v>
      </c>
      <c r="G47" s="629">
        <f>2810025/31*25</f>
        <v>2266149.19354839</v>
      </c>
      <c r="H47" s="629"/>
      <c r="I47" s="649">
        <f t="shared" si="19"/>
        <v>137410.2225</v>
      </c>
      <c r="J47" s="649">
        <f t="shared" si="20"/>
        <v>112401</v>
      </c>
      <c r="K47" s="649">
        <f t="shared" si="21"/>
        <v>56200.5</v>
      </c>
      <c r="L47" s="650">
        <v>15000</v>
      </c>
      <c r="M47" s="308">
        <f t="shared" si="14"/>
        <v>2587160.91604839</v>
      </c>
      <c r="N47" s="651">
        <f t="shared" si="22"/>
        <v>206972.873283871</v>
      </c>
      <c r="O47" s="651">
        <v>175000</v>
      </c>
      <c r="P47" s="651"/>
      <c r="Q47" s="651"/>
      <c r="R47" s="666">
        <f t="shared" si="23"/>
        <v>2969133.78933226</v>
      </c>
      <c r="S47" s="666">
        <f t="shared" si="24"/>
        <v>20697.2873283871</v>
      </c>
      <c r="T47" s="667">
        <f t="shared" si="25"/>
        <v>2989831.07666065</v>
      </c>
      <c r="U47" s="668">
        <v>44399</v>
      </c>
      <c r="V47" s="669">
        <v>44469</v>
      </c>
      <c r="X47" s="670"/>
      <c r="Y47" s="670"/>
    </row>
    <row r="48" ht="18" customHeight="1">
      <c r="A48" s="623" t="s">
        <v>24</v>
      </c>
      <c r="B48" s="1544" t="s">
        <v>1467</v>
      </c>
      <c r="C48" s="625" t="s">
        <v>1468</v>
      </c>
      <c r="D48" s="626" t="s">
        <v>34</v>
      </c>
      <c r="E48" s="627" t="s">
        <v>176</v>
      </c>
      <c r="F48" s="628" t="s">
        <v>177</v>
      </c>
      <c r="G48" s="629">
        <f ref="G48:G51" t="shared" si="26">2810025/31*28</f>
        <v>2538087.09677419</v>
      </c>
      <c r="H48" s="629"/>
      <c r="I48" s="649">
        <f t="shared" si="19"/>
        <v>137410.2225</v>
      </c>
      <c r="J48" s="649">
        <f t="shared" si="20"/>
        <v>112401</v>
      </c>
      <c r="K48" s="649">
        <f t="shared" si="21"/>
        <v>56200.5</v>
      </c>
      <c r="L48" s="650">
        <v>15000</v>
      </c>
      <c r="M48" s="308">
        <f t="shared" si="14"/>
        <v>2859098.81927419</v>
      </c>
      <c r="N48" s="651">
        <f t="shared" si="22"/>
        <v>228727.905541935</v>
      </c>
      <c r="O48" s="651">
        <v>280000</v>
      </c>
      <c r="P48" s="651"/>
      <c r="Q48" s="651"/>
      <c r="R48" s="666">
        <f t="shared" si="23"/>
        <v>3367826.72481612</v>
      </c>
      <c r="S48" s="666">
        <f t="shared" si="24"/>
        <v>22872.7905541936</v>
      </c>
      <c r="T48" s="667">
        <f t="shared" si="25"/>
        <v>3390699.51537032</v>
      </c>
      <c r="U48" s="668">
        <v>44396</v>
      </c>
      <c r="V48" s="669">
        <v>44469</v>
      </c>
      <c r="X48" s="670"/>
      <c r="Y48" s="670"/>
    </row>
    <row r="49" ht="18" customHeight="1">
      <c r="A49" s="623" t="s">
        <v>24</v>
      </c>
      <c r="B49" s="1544" t="s">
        <v>1469</v>
      </c>
      <c r="C49" s="625" t="s">
        <v>1470</v>
      </c>
      <c r="D49" s="626" t="s">
        <v>34</v>
      </c>
      <c r="E49" s="627" t="s">
        <v>176</v>
      </c>
      <c r="F49" s="628" t="s">
        <v>177</v>
      </c>
      <c r="G49" s="629">
        <f t="shared" si="26"/>
        <v>2538087.09677419</v>
      </c>
      <c r="H49" s="629"/>
      <c r="I49" s="649">
        <f t="shared" si="19"/>
        <v>137410.2225</v>
      </c>
      <c r="J49" s="649">
        <f t="shared" si="20"/>
        <v>112401</v>
      </c>
      <c r="K49" s="649">
        <f t="shared" si="21"/>
        <v>56200.5</v>
      </c>
      <c r="L49" s="650">
        <v>15000</v>
      </c>
      <c r="M49" s="308">
        <f t="shared" si="14"/>
        <v>2859098.81927419</v>
      </c>
      <c r="N49" s="651">
        <f t="shared" si="22"/>
        <v>228727.905541935</v>
      </c>
      <c r="O49" s="651">
        <v>275000</v>
      </c>
      <c r="P49" s="651"/>
      <c r="Q49" s="651"/>
      <c r="R49" s="666">
        <f t="shared" si="23"/>
        <v>3362826.72481612</v>
      </c>
      <c r="S49" s="666">
        <f t="shared" si="24"/>
        <v>22872.7905541936</v>
      </c>
      <c r="T49" s="667">
        <f t="shared" si="25"/>
        <v>3385699.51537032</v>
      </c>
      <c r="U49" s="668">
        <v>44396</v>
      </c>
      <c r="V49" s="669">
        <v>44469</v>
      </c>
      <c r="X49" s="670"/>
      <c r="Y49" s="670"/>
    </row>
    <row r="50" ht="18" customHeight="1">
      <c r="A50" s="623" t="s">
        <v>24</v>
      </c>
      <c r="B50" s="1544" t="s">
        <v>1471</v>
      </c>
      <c r="C50" s="625" t="s">
        <v>1472</v>
      </c>
      <c r="D50" s="626" t="s">
        <v>34</v>
      </c>
      <c r="E50" s="627" t="s">
        <v>176</v>
      </c>
      <c r="F50" s="628" t="s">
        <v>177</v>
      </c>
      <c r="G50" s="629">
        <f>2810025/31*23</f>
        <v>2084857.25806452</v>
      </c>
      <c r="H50" s="629"/>
      <c r="I50" s="649">
        <f t="shared" si="19"/>
        <v>137410.2225</v>
      </c>
      <c r="J50" s="649">
        <f t="shared" si="20"/>
        <v>112401</v>
      </c>
      <c r="K50" s="649">
        <f t="shared" si="21"/>
        <v>56200.5</v>
      </c>
      <c r="L50" s="650">
        <v>15000</v>
      </c>
      <c r="M50" s="308">
        <f t="shared" si="14"/>
        <v>2405868.98056452</v>
      </c>
      <c r="N50" s="651">
        <f t="shared" si="22"/>
        <v>192469.518445161</v>
      </c>
      <c r="O50" s="651">
        <v>115000</v>
      </c>
      <c r="P50" s="651"/>
      <c r="Q50" s="651"/>
      <c r="R50" s="666">
        <f t="shared" si="23"/>
        <v>2713338.49900968</v>
      </c>
      <c r="S50" s="666">
        <f t="shared" si="24"/>
        <v>19246.9518445161</v>
      </c>
      <c r="T50" s="667">
        <f t="shared" si="25"/>
        <v>2732585.4508542</v>
      </c>
      <c r="U50" s="668">
        <v>44401</v>
      </c>
      <c r="V50" s="669">
        <v>44469</v>
      </c>
      <c r="X50" s="670"/>
      <c r="Y50" s="670"/>
    </row>
    <row r="51" ht="18" customHeight="1">
      <c r="A51" s="623" t="s">
        <v>24</v>
      </c>
      <c r="B51" s="1544" t="s">
        <v>1473</v>
      </c>
      <c r="C51" s="625" t="s">
        <v>1474</v>
      </c>
      <c r="D51" s="626" t="s">
        <v>34</v>
      </c>
      <c r="E51" s="627" t="s">
        <v>176</v>
      </c>
      <c r="F51" s="628" t="s">
        <v>177</v>
      </c>
      <c r="G51" s="629">
        <f t="shared" si="26"/>
        <v>2538087.09677419</v>
      </c>
      <c r="H51" s="629"/>
      <c r="I51" s="649">
        <f t="shared" si="19"/>
        <v>137410.2225</v>
      </c>
      <c r="J51" s="649">
        <f t="shared" si="20"/>
        <v>112401</v>
      </c>
      <c r="K51" s="649">
        <f t="shared" si="21"/>
        <v>56200.5</v>
      </c>
      <c r="L51" s="650">
        <v>15000</v>
      </c>
      <c r="M51" s="308">
        <f t="shared" si="14"/>
        <v>2859098.81927419</v>
      </c>
      <c r="N51" s="651">
        <f t="shared" si="22"/>
        <v>228727.905541935</v>
      </c>
      <c r="O51" s="651">
        <v>325000</v>
      </c>
      <c r="P51" s="651"/>
      <c r="Q51" s="651"/>
      <c r="R51" s="666">
        <f t="shared" si="23"/>
        <v>3412826.72481612</v>
      </c>
      <c r="S51" s="666">
        <f t="shared" si="24"/>
        <v>22872.7905541936</v>
      </c>
      <c r="T51" s="667">
        <f t="shared" si="25"/>
        <v>3435699.51537032</v>
      </c>
      <c r="U51" s="668">
        <v>44396</v>
      </c>
      <c r="V51" s="669">
        <v>44469</v>
      </c>
      <c r="X51" s="670"/>
      <c r="Y51" s="670"/>
    </row>
    <row r="52" ht="18" customHeight="1">
      <c r="A52" s="623" t="s">
        <v>24</v>
      </c>
      <c r="B52" s="1544" t="s">
        <v>1475</v>
      </c>
      <c r="C52" s="625" t="s">
        <v>1476</v>
      </c>
      <c r="D52" s="626" t="s">
        <v>34</v>
      </c>
      <c r="E52" s="627" t="s">
        <v>176</v>
      </c>
      <c r="F52" s="628" t="s">
        <v>177</v>
      </c>
      <c r="G52" s="629">
        <f>2810025/31*24</f>
        <v>2175503.22580645</v>
      </c>
      <c r="H52" s="629"/>
      <c r="I52" s="649">
        <f t="shared" si="19"/>
        <v>137410.2225</v>
      </c>
      <c r="J52" s="649">
        <f t="shared" si="20"/>
        <v>112401</v>
      </c>
      <c r="K52" s="649">
        <f t="shared" si="21"/>
        <v>56200.5</v>
      </c>
      <c r="L52" s="650">
        <v>15000</v>
      </c>
      <c r="M52" s="308">
        <f t="shared" si="14"/>
        <v>2496514.94830645</v>
      </c>
      <c r="N52" s="651">
        <f t="shared" si="22"/>
        <v>199721.195864516</v>
      </c>
      <c r="O52" s="651">
        <v>290000</v>
      </c>
      <c r="P52" s="651"/>
      <c r="Q52" s="651"/>
      <c r="R52" s="666">
        <f t="shared" si="23"/>
        <v>2986236.14417097</v>
      </c>
      <c r="S52" s="666">
        <f t="shared" si="24"/>
        <v>19972.1195864516</v>
      </c>
      <c r="T52" s="667">
        <f t="shared" si="25"/>
        <v>3006208.26375742</v>
      </c>
      <c r="U52" s="668">
        <v>44400</v>
      </c>
      <c r="V52" s="669">
        <v>44469</v>
      </c>
      <c r="X52" s="670"/>
      <c r="Y52" s="670"/>
    </row>
    <row r="53" ht="18" customHeight="1">
      <c r="A53" s="1744" t="s">
        <v>30</v>
      </c>
      <c r="B53" s="1867"/>
      <c r="C53" s="1745"/>
      <c r="D53" s="1745"/>
      <c r="E53" s="1745"/>
      <c r="F53" s="1745"/>
      <c r="G53" s="234">
        <f>SUM(G14:G52)</f>
        <v>106327720.16129</v>
      </c>
      <c r="H53" s="234">
        <f ref="H53:T53" t="shared" si="27">SUM(H14:H52)</f>
        <v>-224802</v>
      </c>
      <c r="I53" s="234">
        <f t="shared" si="27"/>
        <v>5358998.6775</v>
      </c>
      <c r="J53" s="234">
        <f t="shared" si="27"/>
        <v>4383639</v>
      </c>
      <c r="K53" s="234">
        <f t="shared" si="27"/>
        <v>2191819.5</v>
      </c>
      <c r="L53" s="234">
        <f t="shared" si="27"/>
        <v>585000</v>
      </c>
      <c r="M53" s="234">
        <f t="shared" si="27"/>
        <v>118622375.33879</v>
      </c>
      <c r="N53" s="234">
        <f t="shared" si="27"/>
        <v>9489790.02710323</v>
      </c>
      <c r="O53" s="234">
        <f t="shared" si="27"/>
        <v>35225000</v>
      </c>
      <c r="P53" s="234">
        <f t="shared" si="27"/>
        <v>0</v>
      </c>
      <c r="Q53" s="234">
        <f t="shared" si="27"/>
        <v>0</v>
      </c>
      <c r="R53" s="234">
        <f t="shared" si="27"/>
        <v>163337165.365894</v>
      </c>
      <c r="S53" s="234">
        <f t="shared" si="27"/>
        <v>948979.002710322</v>
      </c>
      <c r="T53" s="234">
        <f t="shared" si="27"/>
        <v>164286144.368604</v>
      </c>
      <c r="U53" s="234"/>
      <c r="V53" s="671"/>
    </row>
    <row r="54" ht="18" customHeight="1">
      <c r="A54" s="615" t="s">
        <v>30</v>
      </c>
      <c r="B54" s="1931"/>
      <c r="C54" s="630"/>
      <c r="D54" s="630"/>
      <c r="E54" s="630"/>
      <c r="F54" s="630"/>
      <c r="G54" s="297"/>
      <c r="H54" s="29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672"/>
      <c r="U54" s="672"/>
    </row>
    <row r="55" ht="18" customHeight="1">
      <c r="A55" s="1760" t="s">
        <v>30</v>
      </c>
      <c r="B55" s="1890"/>
      <c r="C55" s="1749"/>
      <c r="D55" s="1749"/>
      <c r="E55" s="1749"/>
      <c r="F55" s="1749"/>
      <c r="G55" s="548">
        <f ref="G55:T55" t="shared" si="28">SUM(G11,G53)</f>
        <v>117567820.16129</v>
      </c>
      <c r="H55" s="548">
        <f t="shared" si="28"/>
        <v>-224802</v>
      </c>
      <c r="I55" s="548">
        <f t="shared" si="28"/>
        <v>5908639.5675</v>
      </c>
      <c r="J55" s="548">
        <f t="shared" si="28"/>
        <v>4833243</v>
      </c>
      <c r="K55" s="548">
        <f t="shared" si="28"/>
        <v>2416621.5</v>
      </c>
      <c r="L55" s="548">
        <f t="shared" si="28"/>
        <v>591668</v>
      </c>
      <c r="M55" s="548">
        <f t="shared" si="28"/>
        <v>131093190.22879</v>
      </c>
      <c r="N55" s="548">
        <f t="shared" si="28"/>
        <v>10487455.21830323</v>
      </c>
      <c r="O55" s="548">
        <f t="shared" si="28"/>
        <v>38085000</v>
      </c>
      <c r="P55" s="548">
        <f t="shared" si="28"/>
        <v>200000</v>
      </c>
      <c r="Q55" s="548">
        <f t="shared" si="28"/>
        <v>1144000</v>
      </c>
      <c r="R55" s="548">
        <f t="shared" si="28"/>
        <v>181009645.447094</v>
      </c>
      <c r="S55" s="548">
        <f t="shared" si="28"/>
        <v>1048745.521830322</v>
      </c>
      <c r="T55" s="548">
        <f t="shared" si="28"/>
        <v>182058390.96892402</v>
      </c>
      <c r="U55" s="548"/>
      <c r="V55" s="549"/>
      <c r="W55" s="268"/>
      <c r="X55" s="387"/>
    </row>
    <row r="56">
      <c r="A56" s="631" t="s">
        <v>30</v>
      </c>
      <c r="B56" s="1904"/>
      <c r="C56" s="632"/>
      <c r="D56" s="632"/>
      <c r="E56" s="632"/>
      <c r="F56" s="632"/>
      <c r="G56" s="275"/>
      <c r="H56" s="275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672"/>
      <c r="U56" s="672"/>
    </row>
    <row r="57">
      <c r="A57" s="631" t="s">
        <v>30</v>
      </c>
      <c r="B57" s="1904"/>
      <c r="C57" s="632"/>
      <c r="D57" s="632"/>
      <c r="E57" s="632"/>
      <c r="F57" s="632"/>
      <c r="G57" s="275"/>
      <c r="H57" s="275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672"/>
      <c r="U57" s="672"/>
    </row>
    <row r="58">
      <c r="A58" s="0" t="s">
        <v>30</v>
      </c>
      <c r="B58" s="1869"/>
      <c r="C58" s="264" t="str">
        <f>+'MALANG BAT AGUSTUS - OK'!C26</f>
        <v>Karawang, 16 Agustus 2021</v>
      </c>
      <c r="D58" s="633"/>
      <c r="E58" s="632"/>
      <c r="F58" s="632"/>
      <c r="G58" s="275"/>
      <c r="H58" s="275"/>
      <c r="I58" s="652"/>
      <c r="J58" s="652"/>
      <c r="K58" s="652"/>
      <c r="L58" s="653"/>
      <c r="M58" s="636" t="s">
        <v>39</v>
      </c>
      <c r="N58" s="654"/>
      <c r="Q58" s="673"/>
      <c r="R58" s="281"/>
      <c r="S58" s="654"/>
      <c r="T58" s="674"/>
      <c r="U58" s="674"/>
    </row>
    <row r="59">
      <c r="A59" s="0" t="s">
        <v>30</v>
      </c>
      <c r="B59" s="1870"/>
      <c r="C59" s="264" t="s">
        <v>38</v>
      </c>
      <c r="D59" s="600"/>
      <c r="G59" s="275"/>
      <c r="H59" s="275"/>
      <c r="I59" s="652"/>
      <c r="J59" s="314"/>
      <c r="K59" s="652"/>
      <c r="L59" s="653"/>
      <c r="M59" s="652"/>
      <c r="N59" s="281"/>
      <c r="O59" s="281"/>
      <c r="P59" s="281"/>
      <c r="Q59" s="673"/>
      <c r="R59" s="281"/>
      <c r="S59" s="281"/>
      <c r="T59" s="674"/>
      <c r="U59" s="674"/>
    </row>
    <row r="60">
      <c r="A60" s="0" t="s">
        <v>30</v>
      </c>
      <c r="B60" s="1871"/>
      <c r="C60" s="634"/>
      <c r="D60" s="600"/>
      <c r="G60" s="210"/>
      <c r="H60" s="210"/>
      <c r="I60" s="210"/>
      <c r="J60" s="281"/>
      <c r="K60" s="281"/>
      <c r="L60" s="655"/>
      <c r="M60" s="281"/>
      <c r="N60" s="281"/>
      <c r="O60" s="281"/>
      <c r="P60" s="281"/>
      <c r="Q60" s="631"/>
      <c r="R60" s="281"/>
      <c r="S60" s="281"/>
      <c r="T60" s="674"/>
      <c r="U60" s="674"/>
    </row>
    <row r="61">
      <c r="A61" s="0" t="s">
        <v>30</v>
      </c>
      <c r="B61" s="1869"/>
      <c r="C61" s="635"/>
      <c r="D61" s="633"/>
      <c r="E61" s="632"/>
      <c r="F61" s="632"/>
      <c r="G61" s="275"/>
      <c r="H61" s="275"/>
      <c r="I61" s="275"/>
      <c r="J61" s="652"/>
      <c r="K61" s="652"/>
      <c r="L61" s="653"/>
      <c r="M61" s="652"/>
      <c r="N61" s="652"/>
      <c r="O61" s="652"/>
      <c r="P61" s="652"/>
      <c r="Q61" s="632"/>
      <c r="R61" s="281"/>
      <c r="S61" s="281"/>
      <c r="T61" s="674"/>
      <c r="U61" s="674"/>
    </row>
    <row r="62">
      <c r="A62" s="0" t="s">
        <v>30</v>
      </c>
      <c r="B62" s="1932"/>
      <c r="C62" s="632"/>
      <c r="D62" s="632"/>
      <c r="E62" s="632"/>
      <c r="F62" s="632"/>
      <c r="G62" s="275"/>
      <c r="H62" s="275"/>
      <c r="I62" s="275"/>
      <c r="J62" s="652"/>
      <c r="K62" s="652"/>
      <c r="L62" s="653"/>
      <c r="M62" s="652"/>
      <c r="N62" s="652"/>
      <c r="O62" s="652"/>
      <c r="P62" s="652"/>
      <c r="Q62" s="632"/>
      <c r="R62" s="631"/>
      <c r="S62" s="281"/>
      <c r="T62" s="674"/>
      <c r="U62" s="674"/>
    </row>
    <row r="63">
      <c r="A63" s="0" t="s">
        <v>30</v>
      </c>
      <c r="B63" s="1932"/>
      <c r="C63" s="632"/>
      <c r="D63" s="632"/>
      <c r="E63" s="632"/>
      <c r="F63" s="632"/>
      <c r="G63" s="275"/>
      <c r="H63" s="275"/>
      <c r="I63" s="275"/>
      <c r="J63" s="652"/>
      <c r="K63" s="652"/>
      <c r="L63" s="653"/>
      <c r="M63" s="652"/>
      <c r="N63" s="652"/>
      <c r="O63" s="652"/>
      <c r="P63" s="652"/>
      <c r="Q63" s="632"/>
      <c r="R63" s="281"/>
      <c r="T63" s="674"/>
      <c r="U63" s="674"/>
    </row>
    <row r="64">
      <c r="A64" s="0" t="s">
        <v>30</v>
      </c>
      <c r="B64" s="1932"/>
      <c r="C64" s="632" t="s">
        <v>40</v>
      </c>
      <c r="D64" s="637"/>
      <c r="E64" s="632"/>
      <c r="F64" s="632"/>
      <c r="G64" s="275"/>
      <c r="H64" s="275"/>
      <c r="I64" s="275"/>
      <c r="J64" s="653" t="s">
        <v>41</v>
      </c>
      <c r="K64" s="636"/>
      <c r="L64" s="636"/>
      <c r="M64" s="636" t="s">
        <v>42</v>
      </c>
      <c r="O64" s="632" t="s">
        <v>43</v>
      </c>
      <c r="P64" s="636"/>
      <c r="T64" s="675"/>
      <c r="U64" s="675"/>
    </row>
    <row r="65">
      <c r="A65" s="0" t="s">
        <v>30</v>
      </c>
      <c r="B65" s="1904"/>
      <c r="C65" s="632"/>
      <c r="D65" s="632"/>
      <c r="E65" s="632"/>
      <c r="F65" s="279"/>
      <c r="G65" s="275"/>
      <c r="H65" s="275"/>
      <c r="I65" s="636"/>
      <c r="J65" s="636"/>
      <c r="K65" s="636"/>
      <c r="L65" s="636"/>
      <c r="M65" s="275"/>
      <c r="N65" s="636"/>
      <c r="O65" s="636"/>
      <c r="P65" s="636"/>
      <c r="Q65" s="636"/>
      <c r="T65" s="675"/>
      <c r="U65" s="675"/>
    </row>
  </sheetData>
  <sheetProtection selectLockedCells="1" selectUnlockedCells="1"/>
  <autoFilter ref="A13:V53"/>
  <mergeCells>
    <mergeCell ref="A53:F53"/>
    <mergeCell ref="A55:F55"/>
  </mergeCells>
  <printOptions horizontalCentered="1"/>
  <pageMargins left="0" right="0" top="0" bottom="0" header="0.3" footer="0.3"/>
  <pageSetup paperSize="9" scale="60" fitToHeight="0" orientation="landscape"/>
  <headerFooter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8"/>
  </sheetPr>
  <dimension ref="A1:W22"/>
  <sheetViews>
    <sheetView zoomScale="85" zoomScaleNormal="85" workbookViewId="0">
      <pane xSplit="7" ySplit="6" topLeftCell="H7" activePane="bottomRight" state="frozen"/>
      <selection pane="topRight"/>
      <selection pane="bottomLeft"/>
      <selection pane="bottomRight" activeCell="M7" sqref="M7"/>
    </sheetView>
  </sheetViews>
  <sheetFormatPr defaultColWidth="9.140625" defaultRowHeight="15"/>
  <cols>
    <col min="1" max="2" width="4.5703125" customWidth="1"/>
    <col min="3" max="3" width="16" customWidth="1"/>
    <col min="4" max="4" width="10.5703125" customWidth="1"/>
    <col min="5" max="5" hidden="1" width="9.5703125" customWidth="1"/>
    <col min="6" max="6" hidden="1" width="7.42578125" customWidth="1"/>
    <col min="7" max="7" width="11.28515625" customWidth="1"/>
    <col min="8" max="12" width="10.42578125" customWidth="1"/>
    <col min="13" max="13" width="12.28515625" customWidth="1"/>
    <col min="14" max="14" width="10.42578125" customWidth="1"/>
    <col min="15" max="15" width="10" customWidth="1"/>
    <col min="16" max="17" width="10.42578125" customWidth="1"/>
    <col min="18" max="18" width="11.42578125" customWidth="1"/>
    <col min="19" max="19" width="10.42578125" customWidth="1"/>
    <col min="20" max="20" width="12.140625" customWidth="1"/>
    <col min="21" max="22" width="8.7109375" customWidth="1"/>
    <col min="23" max="23" width="18.5703125" customWidth="1"/>
    <col min="24" max="24" width="9.140625" customWidth="1"/>
  </cols>
  <sheetData>
    <row r="1">
      <c r="A1" s="1305" t="s">
        <v>0</v>
      </c>
      <c r="C1" s="1306"/>
      <c r="V1" s="1318"/>
    </row>
    <row r="2">
      <c r="A2" s="1305" t="s">
        <v>44</v>
      </c>
      <c r="C2" s="1306"/>
      <c r="N2" s="1315"/>
      <c r="O2" s="1315"/>
      <c r="P2" s="1315"/>
      <c r="Q2" s="1315"/>
    </row>
    <row r="3">
      <c r="A3" s="1305" t="str">
        <f>+'MALANG BAT AGUSTUS - OK'!A3</f>
        <v>Periode Bulan Agustus  2021</v>
      </c>
      <c r="C3" s="1306"/>
      <c r="H3" s="1316"/>
      <c r="I3" s="1316"/>
      <c r="V3" s="1318"/>
    </row>
    <row r="4">
      <c r="A4" s="1305"/>
      <c r="C4" s="1306"/>
      <c r="H4" s="1316"/>
      <c r="I4" s="1316"/>
      <c r="V4" s="1318"/>
    </row>
    <row r="5">
      <c r="A5" s="1307"/>
      <c r="C5" s="1306"/>
      <c r="G5" s="1467">
        <v>3068275</v>
      </c>
      <c r="H5" s="1316"/>
      <c r="I5" s="1316"/>
      <c r="V5" s="1318"/>
    </row>
    <row r="6" ht="29.25" customHeight="1">
      <c r="A6" s="1309" t="s">
        <v>2</v>
      </c>
      <c r="B6" s="1310" t="s">
        <v>3</v>
      </c>
      <c r="C6" s="1310" t="s">
        <v>4</v>
      </c>
      <c r="D6" s="1310" t="s">
        <v>5</v>
      </c>
      <c r="E6" s="1310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1317" t="s">
        <v>14</v>
      </c>
      <c r="N6" s="285" t="s">
        <v>15</v>
      </c>
      <c r="O6" s="285" t="s">
        <v>16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927" t="s">
        <v>24</v>
      </c>
      <c r="B7" s="1527" t="s">
        <v>45</v>
      </c>
      <c r="C7" s="1311" t="s">
        <v>46</v>
      </c>
      <c r="D7" s="1312" t="s">
        <v>34</v>
      </c>
      <c r="E7" s="1312" t="s">
        <v>47</v>
      </c>
      <c r="F7" s="1312" t="s">
        <v>48</v>
      </c>
      <c r="G7" s="1313">
        <v>3068275</v>
      </c>
      <c r="H7" s="954"/>
      <c r="I7" s="954">
        <f>+$G$5*4.89%</f>
        <v>150038.6475</v>
      </c>
      <c r="J7" s="954">
        <f>+$G$5*4%</f>
        <v>122731</v>
      </c>
      <c r="K7" s="954">
        <f>+$G$5*2%</f>
        <v>61365.5</v>
      </c>
      <c r="L7" s="954">
        <v>89167</v>
      </c>
      <c r="M7" s="295">
        <f>SUM(G7:L7)</f>
        <v>3491577.1475</v>
      </c>
      <c r="N7" s="916">
        <f>+M7*8%</f>
        <v>279326.1718</v>
      </c>
      <c r="O7" s="295">
        <v>500000</v>
      </c>
      <c r="P7" s="916"/>
      <c r="Q7" s="916"/>
      <c r="R7" s="959">
        <f>SUM(M7:Q7)</f>
        <v>4270903.3193</v>
      </c>
      <c r="S7" s="959">
        <f>N7*0.1</f>
        <v>27932.61718</v>
      </c>
      <c r="T7" s="960">
        <f>R7+S7</f>
        <v>4298835.93648</v>
      </c>
      <c r="U7" s="1319">
        <v>44378</v>
      </c>
      <c r="V7" s="1320">
        <v>44469</v>
      </c>
      <c r="W7" s="1468" t="s">
        <v>49</v>
      </c>
    </row>
    <row r="8" ht="18" customHeight="1">
      <c r="A8" s="1744" t="s">
        <v>30</v>
      </c>
      <c r="B8" s="1867"/>
      <c r="C8" s="1745"/>
      <c r="D8" s="1745"/>
      <c r="E8" s="1745"/>
      <c r="F8" s="1745"/>
      <c r="G8" s="234">
        <f>SUM(G7:G7)</f>
        <v>3068275</v>
      </c>
      <c r="H8" s="234">
        <f>SUM(H7:H7)</f>
        <v>0</v>
      </c>
      <c r="I8" s="234">
        <f ref="I8:T8" t="shared" si="2">SUM(I7:I7)</f>
        <v>150038.6475</v>
      </c>
      <c r="J8" s="234">
        <f t="shared" si="2"/>
        <v>122731</v>
      </c>
      <c r="K8" s="234">
        <f t="shared" si="2"/>
        <v>61365.5</v>
      </c>
      <c r="L8" s="234">
        <f t="shared" si="2"/>
        <v>89167</v>
      </c>
      <c r="M8" s="234">
        <f t="shared" si="2"/>
        <v>3491577.1475</v>
      </c>
      <c r="N8" s="234">
        <f t="shared" si="2"/>
        <v>279326.1718</v>
      </c>
      <c r="O8" s="234">
        <f t="shared" si="2"/>
        <v>500000</v>
      </c>
      <c r="P8" s="234">
        <f t="shared" si="2"/>
        <v>0</v>
      </c>
      <c r="Q8" s="234">
        <f t="shared" si="2"/>
        <v>0</v>
      </c>
      <c r="R8" s="234">
        <f t="shared" si="2"/>
        <v>4270903.3193</v>
      </c>
      <c r="S8" s="234">
        <f t="shared" si="2"/>
        <v>27932.61718</v>
      </c>
      <c r="T8" s="234">
        <f t="shared" si="2"/>
        <v>4298835.93648</v>
      </c>
      <c r="U8" s="234"/>
      <c r="V8" s="1322"/>
    </row>
    <row r="9" ht="18" customHeight="1">
      <c r="A9" s="0" t="s">
        <v>30</v>
      </c>
      <c r="B9" s="1861"/>
      <c r="D9" s="353"/>
      <c r="E9" s="353"/>
      <c r="F9" s="353"/>
      <c r="G9" s="391"/>
      <c r="H9" s="391"/>
      <c r="I9" s="391"/>
      <c r="J9" s="391"/>
      <c r="K9" s="391"/>
      <c r="L9" s="391"/>
      <c r="M9" s="391"/>
      <c r="N9" s="391"/>
      <c r="O9" s="391"/>
      <c r="P9" s="391"/>
      <c r="Q9" s="391"/>
      <c r="R9" s="391"/>
      <c r="S9" s="391"/>
      <c r="T9" s="391"/>
      <c r="V9" s="1318"/>
    </row>
    <row r="10" ht="15.75" customHeight="1">
      <c r="A10" s="277" t="s">
        <v>30</v>
      </c>
      <c r="B10" s="1868"/>
      <c r="C10" s="277"/>
      <c r="D10" s="277"/>
      <c r="E10" s="277"/>
      <c r="F10" s="277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</row>
    <row r="11">
      <c r="A11" s="0" t="s">
        <v>30</v>
      </c>
      <c r="B11" s="1869"/>
      <c r="C11" s="264" t="str">
        <f>+'MALANG BAT AGUSTUS - OK'!C26</f>
        <v>Karawang, 16 Agustus 2021</v>
      </c>
      <c r="D11" s="270"/>
      <c r="E11" s="270"/>
      <c r="F11" s="270"/>
      <c r="G11" s="271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48"/>
      <c r="V11" s="317"/>
    </row>
    <row r="12" ht="17.25" customHeight="1">
      <c r="A12" s="0" t="s">
        <v>30</v>
      </c>
      <c r="B12" s="1870"/>
      <c r="C12" s="264" t="s">
        <v>38</v>
      </c>
      <c r="D12" s="263"/>
      <c r="E12" s="264"/>
      <c r="F12" s="264"/>
      <c r="G12" s="210"/>
      <c r="H12" s="270"/>
      <c r="I12" s="270"/>
      <c r="J12" s="270"/>
      <c r="K12" s="270"/>
      <c r="L12" s="270"/>
      <c r="M12" s="270"/>
      <c r="N12" s="310"/>
      <c r="O12" s="310"/>
      <c r="P12" s="310"/>
      <c r="Q12" s="310"/>
      <c r="R12" s="270"/>
      <c r="S12" s="270"/>
      <c r="T12" s="1323"/>
      <c r="U12" s="348"/>
      <c r="V12" s="317"/>
    </row>
    <row r="13">
      <c r="A13" s="0" t="s">
        <v>30</v>
      </c>
      <c r="B13" s="1869"/>
      <c r="C13" s="445"/>
      <c r="D13" s="274"/>
      <c r="E13" s="264"/>
      <c r="F13" s="264"/>
      <c r="G13" s="275"/>
      <c r="H13" s="262"/>
      <c r="I13" s="262"/>
      <c r="J13" s="262"/>
      <c r="K13" s="262"/>
      <c r="L13" s="312"/>
      <c r="M13" s="263" t="s">
        <v>39</v>
      </c>
      <c r="N13" s="313"/>
      <c r="O13" s="313"/>
      <c r="R13" s="349"/>
      <c r="S13" s="270"/>
      <c r="T13" s="313"/>
      <c r="U13" s="348"/>
      <c r="V13" s="348"/>
    </row>
    <row r="14">
      <c r="A14" s="0" t="s">
        <v>30</v>
      </c>
      <c r="B14" s="1871"/>
      <c r="C14" s="446"/>
      <c r="D14" s="209"/>
      <c r="E14" s="208"/>
      <c r="F14" s="208"/>
      <c r="G14" s="275"/>
      <c r="H14" s="262"/>
      <c r="I14" s="262"/>
      <c r="J14" s="315"/>
      <c r="K14" s="262"/>
      <c r="L14" s="312"/>
      <c r="M14" s="262"/>
      <c r="N14" s="270"/>
      <c r="O14" s="270"/>
      <c r="P14" s="270"/>
      <c r="Q14" s="270"/>
      <c r="R14" s="349"/>
      <c r="S14" s="270"/>
      <c r="T14" s="270"/>
      <c r="U14" s="348"/>
      <c r="V14" s="348"/>
    </row>
    <row r="15">
      <c r="A15" s="0" t="s">
        <v>30</v>
      </c>
      <c r="B15" s="1871"/>
      <c r="C15" s="446"/>
      <c r="D15" s="209"/>
      <c r="E15" s="208"/>
      <c r="F15" s="208"/>
      <c r="G15" s="210"/>
      <c r="H15" s="210"/>
      <c r="I15" s="210"/>
      <c r="J15" s="270"/>
      <c r="K15" s="270"/>
      <c r="L15" s="310"/>
      <c r="M15" s="270"/>
      <c r="N15" s="270"/>
      <c r="O15" s="270"/>
      <c r="P15" s="270"/>
      <c r="Q15" s="270"/>
      <c r="R15" s="208"/>
      <c r="S15" s="270"/>
      <c r="T15" s="270"/>
      <c r="U15" s="348"/>
      <c r="V15" s="348"/>
    </row>
    <row r="16">
      <c r="A16" s="0" t="s">
        <v>30</v>
      </c>
      <c r="B16" s="1869"/>
      <c r="C16" s="445"/>
      <c r="D16" s="274"/>
      <c r="E16" s="264"/>
      <c r="F16" s="264"/>
      <c r="G16" s="275"/>
      <c r="H16" s="275"/>
      <c r="I16" s="275"/>
      <c r="J16" s="262"/>
      <c r="K16" s="262"/>
      <c r="L16" s="312"/>
      <c r="M16" s="262"/>
      <c r="N16" s="262"/>
      <c r="O16" s="262"/>
      <c r="P16" s="262"/>
      <c r="Q16" s="262"/>
      <c r="R16" s="264"/>
      <c r="S16" s="270"/>
      <c r="T16" s="270"/>
      <c r="U16" s="348"/>
      <c r="V16" s="348"/>
    </row>
    <row r="17">
      <c r="A17" s="0" t="s">
        <v>30</v>
      </c>
      <c r="B17" s="1870"/>
      <c r="C17" s="264"/>
      <c r="D17" s="26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264"/>
      <c r="S17" s="208"/>
      <c r="T17" s="270"/>
      <c r="U17" s="348"/>
      <c r="V17" s="348"/>
    </row>
    <row r="18">
      <c r="A18" s="0" t="s">
        <v>30</v>
      </c>
      <c r="B18" s="1870"/>
      <c r="C18" s="264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4"/>
      <c r="S18" s="270"/>
      <c r="U18" s="348"/>
      <c r="V18" s="348"/>
    </row>
    <row r="19">
      <c r="A19" s="0" t="s">
        <v>30</v>
      </c>
      <c r="B19" s="1870"/>
      <c r="C19" s="264" t="s">
        <v>40</v>
      </c>
      <c r="D19" s="568"/>
      <c r="E19" s="264"/>
      <c r="F19" s="264"/>
      <c r="G19" s="275"/>
      <c r="H19" s="275"/>
      <c r="I19" s="275"/>
      <c r="J19" s="312" t="s">
        <v>41</v>
      </c>
      <c r="K19" s="263"/>
      <c r="L19" s="263"/>
      <c r="M19" s="263" t="s">
        <v>42</v>
      </c>
      <c r="P19" s="264" t="s">
        <v>43</v>
      </c>
      <c r="Q19" s="263"/>
      <c r="U19" s="350"/>
      <c r="V19" s="350"/>
    </row>
    <row r="20">
      <c r="A20" s="389" t="s">
        <v>30</v>
      </c>
      <c r="B20" s="1868"/>
      <c r="C20" s="1314"/>
      <c r="D20" s="277"/>
      <c r="E20" s="277"/>
      <c r="F20" s="388"/>
      <c r="G20" s="278"/>
      <c r="H20" s="389"/>
      <c r="I20" s="389"/>
      <c r="J20" s="389"/>
      <c r="K20" s="389"/>
      <c r="L20" s="389"/>
      <c r="M20" s="278"/>
      <c r="N20" s="389"/>
      <c r="O20" s="389"/>
      <c r="P20" s="389"/>
      <c r="Q20" s="389"/>
      <c r="R20" s="389"/>
      <c r="U20" s="1324"/>
      <c r="V20" s="1324"/>
    </row>
    <row r="21">
      <c r="A21" s="389" t="s">
        <v>30</v>
      </c>
      <c r="B21" s="1868"/>
      <c r="C21" s="1314"/>
      <c r="D21" s="277"/>
      <c r="E21" s="277"/>
      <c r="F21" s="388"/>
      <c r="G21" s="278"/>
      <c r="H21" s="389"/>
      <c r="I21" s="389"/>
      <c r="J21" s="389"/>
      <c r="K21" s="389"/>
      <c r="L21" s="389"/>
      <c r="M21" s="278"/>
      <c r="N21" s="389"/>
      <c r="O21" s="389"/>
      <c r="P21" s="389"/>
      <c r="Q21" s="389"/>
      <c r="R21" s="389"/>
      <c r="U21" s="1324"/>
      <c r="V21" s="1324"/>
    </row>
    <row r="22">
      <c r="A22" s="0" t="s">
        <v>30</v>
      </c>
      <c r="B22" s="1861"/>
      <c r="C22" s="1306"/>
    </row>
  </sheetData>
  <mergeCells>
    <mergeCell ref="A8:F8"/>
  </mergeCells>
  <printOptions horizontalCentered="1"/>
  <pageMargins left="0.3" right="0" top="0.75" bottom="0.75" header="0.30902777777777801" footer="0.30902777777777801"/>
  <pageSetup paperSize="9" scale="70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W25"/>
  <sheetViews>
    <sheetView zoomScale="85" zoomScaleNormal="85" workbookViewId="0">
      <pane xSplit="7" ySplit="6" topLeftCell="H7" activePane="bottomRight" state="frozen"/>
      <selection activeCell="O25" sqref="O25"/>
      <selection pane="topRight" activeCell="O25" sqref="O25"/>
      <selection pane="bottomLeft" activeCell="O25" sqref="O25"/>
      <selection pane="bottomRight" activeCell="O25" sqref="O25"/>
    </sheetView>
  </sheetViews>
  <sheetFormatPr defaultColWidth="9.140625" defaultRowHeight="15"/>
  <cols>
    <col min="1" max="2" width="5.140625" customWidth="1"/>
    <col min="3" max="3" width="17" customWidth="1"/>
    <col min="4" max="4" width="7.85546875" customWidth="1"/>
    <col min="5" max="5" width="13" customWidth="1"/>
    <col min="6" max="6" width="11" customWidth="1"/>
    <col min="7" max="8" width="11.5703125" customWidth="1"/>
    <col min="9" max="9" width="9.42578125" customWidth="1"/>
    <col min="10" max="10" width="11.28515625" customWidth="1"/>
    <col min="11" max="11" width="10.7109375" customWidth="1"/>
    <col min="12" max="12" width="9.85546875" customWidth="1"/>
    <col min="13" max="13" width="11" customWidth="1"/>
    <col min="14" max="14" width="9.5703125" customWidth="1"/>
    <col min="15" max="15" width="9.85546875" customWidth="1"/>
    <col min="16" max="16" hidden="1" width="9.85546875" customWidth="1"/>
    <col min="17" max="17" hidden="1" width="8.85546875" customWidth="1"/>
    <col min="18" max="18" width="10.85546875" customWidth="1"/>
    <col min="19" max="19" width="9" customWidth="1"/>
    <col min="20" max="20" width="10.7109375" customWidth="1"/>
    <col min="21" max="21" width="8.85546875" customWidth="1"/>
    <col min="22" max="22" width="10.28515625" customWidth="1"/>
    <col min="23" max="23" width="9.140625" customWidth="1"/>
  </cols>
  <sheetData>
    <row r="1">
      <c r="A1" s="550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550" t="s">
        <v>1516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550" t="str">
        <f>+'MALANG BAT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M3" s="210"/>
      <c r="U3" s="316"/>
      <c r="V3" s="317"/>
    </row>
    <row r="4">
      <c r="A4" s="207"/>
      <c r="B4" s="208"/>
      <c r="C4" s="209"/>
      <c r="D4" s="208"/>
      <c r="E4" s="208"/>
      <c r="F4" s="208"/>
      <c r="G4" s="214">
        <v>1970000</v>
      </c>
      <c r="H4" s="214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08"/>
      <c r="G5" s="214"/>
      <c r="H5" s="214"/>
      <c r="I5" s="281"/>
      <c r="M5" s="210"/>
      <c r="U5" s="316"/>
      <c r="V5" s="317"/>
    </row>
    <row r="6" ht="21" customHeight="1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595" t="s">
        <v>13</v>
      </c>
      <c r="M6" s="284" t="s">
        <v>14</v>
      </c>
      <c r="N6" s="596" t="s">
        <v>15</v>
      </c>
      <c r="O6" s="285" t="s">
        <v>32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" customHeight="1">
      <c r="A7" s="227" t="s">
        <v>24</v>
      </c>
      <c r="B7" s="1532" t="s">
        <v>1517</v>
      </c>
      <c r="C7" s="587" t="s">
        <v>1518</v>
      </c>
      <c r="D7" s="588" t="s">
        <v>34</v>
      </c>
      <c r="E7" s="589" t="s">
        <v>119</v>
      </c>
      <c r="F7" s="587" t="s">
        <v>261</v>
      </c>
      <c r="G7" s="232">
        <v>1970000</v>
      </c>
      <c r="H7" s="233"/>
      <c r="I7" s="293">
        <f>+$G$4*4.89%</f>
        <v>96333</v>
      </c>
      <c r="J7" s="293">
        <f>+$G$4*4%</f>
        <v>78800</v>
      </c>
      <c r="K7" s="293">
        <f>+$G$4*2%</f>
        <v>39400</v>
      </c>
      <c r="L7" s="293">
        <v>15000</v>
      </c>
      <c r="M7" s="295">
        <f>SUM(G7:L7)</f>
        <v>2199533</v>
      </c>
      <c r="N7" s="296">
        <f ref="N7:N11" t="shared" si="0">+M7*8%</f>
        <v>175962.64</v>
      </c>
      <c r="O7" s="296"/>
      <c r="P7" s="296"/>
      <c r="Q7" s="296"/>
      <c r="R7" s="328">
        <f ref="R7:R11" t="shared" si="1">SUM(M7:Q7)</f>
        <v>2375495.64</v>
      </c>
      <c r="S7" s="328">
        <f ref="S7:S11" t="shared" si="2">N7*0.1</f>
        <v>17596.264000000003</v>
      </c>
      <c r="T7" s="329">
        <f ref="T7:T11" t="shared" si="3">R7+S7</f>
        <v>2393091.904</v>
      </c>
      <c r="U7" s="579">
        <v>44348</v>
      </c>
      <c r="V7" s="580">
        <v>44377</v>
      </c>
    </row>
    <row r="8" ht="18" customHeight="1">
      <c r="A8" s="227" t="s">
        <v>24</v>
      </c>
      <c r="B8" s="1532" t="s">
        <v>1519</v>
      </c>
      <c r="C8" s="231" t="s">
        <v>1520</v>
      </c>
      <c r="D8" s="558" t="s">
        <v>34</v>
      </c>
      <c r="E8" s="589" t="s">
        <v>119</v>
      </c>
      <c r="F8" s="231" t="s">
        <v>261</v>
      </c>
      <c r="G8" s="232">
        <v>1970000</v>
      </c>
      <c r="H8" s="233"/>
      <c r="I8" s="293">
        <f>+$G$4*4.89%</f>
        <v>96333</v>
      </c>
      <c r="J8" s="293">
        <f>+$G$4*4%</f>
        <v>78800</v>
      </c>
      <c r="K8" s="293">
        <f>+$G$4*2%</f>
        <v>39400</v>
      </c>
      <c r="L8" s="293">
        <v>15000</v>
      </c>
      <c r="M8" s="295">
        <f ref="M8:M11" t="shared" si="5">SUM(G8:L8)</f>
        <v>2199533</v>
      </c>
      <c r="N8" s="296">
        <f t="shared" si="0"/>
        <v>175962.64</v>
      </c>
      <c r="O8" s="296"/>
      <c r="P8" s="296"/>
      <c r="Q8" s="296"/>
      <c r="R8" s="328">
        <f t="shared" si="1"/>
        <v>2375495.64</v>
      </c>
      <c r="S8" s="328">
        <f t="shared" si="2"/>
        <v>17596.264000000003</v>
      </c>
      <c r="T8" s="329">
        <f t="shared" si="3"/>
        <v>2393091.904</v>
      </c>
      <c r="U8" s="579">
        <v>44348</v>
      </c>
      <c r="V8" s="580">
        <v>44377</v>
      </c>
    </row>
    <row r="9" ht="18" customHeight="1">
      <c r="A9" s="227" t="s">
        <v>24</v>
      </c>
      <c r="B9" s="228" t="s">
        <v>1521</v>
      </c>
      <c r="C9" s="590" t="s">
        <v>118</v>
      </c>
      <c r="D9" s="558" t="s">
        <v>34</v>
      </c>
      <c r="E9" s="589" t="s">
        <v>119</v>
      </c>
      <c r="F9" s="231" t="s">
        <v>261</v>
      </c>
      <c r="G9" s="232">
        <f>1970000/31*15</f>
        <v>953225.806451613</v>
      </c>
      <c r="H9" s="233"/>
      <c r="I9" s="293">
        <f>+'PURWOKERTO ANTERAJA AGUSTS - OK'!$G$5*4.89%</f>
        <v>96333</v>
      </c>
      <c r="J9" s="293">
        <f>+'PURWOKERTO ANTERAJA AGUSTS - OK'!$G$5*4%</f>
        <v>78800</v>
      </c>
      <c r="K9" s="293">
        <f>+'PURWOKERTO ANTERAJA AGUSTS - OK'!$G$5*2%</f>
        <v>39400</v>
      </c>
      <c r="L9" s="293">
        <v>15000</v>
      </c>
      <c r="M9" s="295">
        <f t="shared" si="5"/>
        <v>1182758.806451613</v>
      </c>
      <c r="N9" s="296">
        <f t="shared" si="0"/>
        <v>94620.70451612904</v>
      </c>
      <c r="O9" s="296"/>
      <c r="P9" s="296"/>
      <c r="Q9" s="296"/>
      <c r="R9" s="328">
        <f t="shared" si="1"/>
        <v>1277379.5109677422</v>
      </c>
      <c r="S9" s="328">
        <f t="shared" si="2"/>
        <v>9462.070451612904</v>
      </c>
      <c r="T9" s="329">
        <f t="shared" si="3"/>
        <v>1286841.581419355</v>
      </c>
      <c r="U9" s="579">
        <v>44409</v>
      </c>
      <c r="V9" s="579">
        <v>44439</v>
      </c>
      <c r="W9" s="351" t="s">
        <v>120</v>
      </c>
    </row>
    <row r="10" ht="18" customHeight="1">
      <c r="A10" s="227" t="s">
        <v>24</v>
      </c>
      <c r="B10" s="228" t="s">
        <v>1522</v>
      </c>
      <c r="C10" s="231" t="s">
        <v>326</v>
      </c>
      <c r="D10" s="558" t="s">
        <v>34</v>
      </c>
      <c r="E10" s="589" t="s">
        <v>119</v>
      </c>
      <c r="F10" s="231" t="s">
        <v>261</v>
      </c>
      <c r="G10" s="232">
        <v>1970000</v>
      </c>
      <c r="H10" s="233"/>
      <c r="I10" s="293">
        <f>+$G$4*4.89%</f>
        <v>96333</v>
      </c>
      <c r="J10" s="293">
        <f>+$G$4*4%</f>
        <v>78800</v>
      </c>
      <c r="K10" s="293">
        <f>+$G$4*2%</f>
        <v>39400</v>
      </c>
      <c r="L10" s="293">
        <v>15000</v>
      </c>
      <c r="M10" s="295">
        <f t="shared" si="5"/>
        <v>2199533</v>
      </c>
      <c r="N10" s="296">
        <f t="shared" si="0"/>
        <v>175962.64</v>
      </c>
      <c r="O10" s="296"/>
      <c r="P10" s="296"/>
      <c r="Q10" s="296"/>
      <c r="R10" s="328">
        <f t="shared" si="1"/>
        <v>2375495.64</v>
      </c>
      <c r="S10" s="328">
        <f t="shared" si="2"/>
        <v>17596.264000000003</v>
      </c>
      <c r="T10" s="329">
        <f t="shared" si="3"/>
        <v>2393091.904</v>
      </c>
      <c r="U10" s="579">
        <v>44287</v>
      </c>
      <c r="V10" s="580">
        <v>44377</v>
      </c>
    </row>
    <row r="11" ht="18" customHeight="1">
      <c r="A11" s="220" t="s">
        <v>31</v>
      </c>
      <c r="B11" s="1909" t="s">
        <v>1523</v>
      </c>
      <c r="C11" s="224" t="s">
        <v>1524</v>
      </c>
      <c r="D11" s="591" t="s">
        <v>34</v>
      </c>
      <c r="E11" s="592" t="s">
        <v>119</v>
      </c>
      <c r="F11" s="224" t="s">
        <v>261</v>
      </c>
      <c r="G11" s="565">
        <f>1970000/31*16</f>
        <v>1016774.19354839</v>
      </c>
      <c r="H11" s="593"/>
      <c r="I11" s="287"/>
      <c r="J11" s="287"/>
      <c r="K11" s="287"/>
      <c r="L11" s="287"/>
      <c r="M11" s="295">
        <f t="shared" si="5"/>
        <v>1016774.19354839</v>
      </c>
      <c r="N11" s="290">
        <f t="shared" si="0"/>
        <v>81341.9354838712</v>
      </c>
      <c r="O11" s="290"/>
      <c r="P11" s="290"/>
      <c r="Q11" s="290"/>
      <c r="R11" s="323">
        <f t="shared" si="1"/>
        <v>1098116.1290322612</v>
      </c>
      <c r="S11" s="323">
        <f t="shared" si="2"/>
        <v>8134.19354838712</v>
      </c>
      <c r="T11" s="324">
        <f t="shared" si="3"/>
        <v>1106250.3225806484</v>
      </c>
      <c r="U11" s="597">
        <v>44348</v>
      </c>
      <c r="V11" s="598">
        <v>44409</v>
      </c>
      <c r="W11" s="586" t="s">
        <v>1525</v>
      </c>
    </row>
    <row r="12" ht="18" customHeight="1">
      <c r="A12" s="1744" t="s">
        <v>30</v>
      </c>
      <c r="B12" s="1867"/>
      <c r="C12" s="1745"/>
      <c r="D12" s="1745"/>
      <c r="E12" s="1745"/>
      <c r="F12" s="1745"/>
      <c r="G12" s="594">
        <f ref="G12:T12" t="shared" si="6">SUM(G7:G11)</f>
        <v>7880000</v>
      </c>
      <c r="H12" s="594">
        <f t="shared" si="6"/>
        <v>0</v>
      </c>
      <c r="I12" s="594">
        <f t="shared" si="6"/>
        <v>385332</v>
      </c>
      <c r="J12" s="594">
        <f t="shared" si="6"/>
        <v>315200</v>
      </c>
      <c r="K12" s="594">
        <f t="shared" si="6"/>
        <v>157600</v>
      </c>
      <c r="L12" s="594">
        <f t="shared" si="6"/>
        <v>60000</v>
      </c>
      <c r="M12" s="594">
        <f t="shared" si="6"/>
        <v>8798132.000000004</v>
      </c>
      <c r="N12" s="594">
        <f t="shared" si="6"/>
        <v>703850.5600000003</v>
      </c>
      <c r="O12" s="594">
        <f t="shared" si="6"/>
        <v>0</v>
      </c>
      <c r="P12" s="594">
        <f t="shared" si="6"/>
        <v>0</v>
      </c>
      <c r="Q12" s="594">
        <f t="shared" si="6"/>
        <v>0</v>
      </c>
      <c r="R12" s="594">
        <f t="shared" si="6"/>
        <v>9501982.560000004</v>
      </c>
      <c r="S12" s="594">
        <f t="shared" si="6"/>
        <v>70385.05600000004</v>
      </c>
      <c r="T12" s="594">
        <f t="shared" si="6"/>
        <v>9572367.616000004</v>
      </c>
      <c r="U12" s="332"/>
      <c r="V12" s="333"/>
    </row>
    <row r="13">
      <c r="A13" s="0" t="s">
        <v>30</v>
      </c>
      <c r="B13" s="1910"/>
      <c r="C13" s="209"/>
      <c r="D13" s="208"/>
      <c r="E13" s="208"/>
      <c r="F13" s="208"/>
      <c r="G13" s="210" t="s">
        <v>323</v>
      </c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316"/>
      <c r="V13" s="317"/>
    </row>
    <row r="14">
      <c r="A14" s="0" t="s">
        <v>30</v>
      </c>
      <c r="B14" s="1910"/>
      <c r="D14" s="262"/>
      <c r="E14" s="263"/>
      <c r="F14" s="264"/>
      <c r="G14" s="210"/>
      <c r="H14" s="2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48"/>
      <c r="V14" s="317"/>
    </row>
    <row r="15">
      <c r="A15" s="0" t="s">
        <v>30</v>
      </c>
      <c r="B15" s="1933"/>
      <c r="C15" s="264" t="str">
        <f>+'MALANG BAT AGUSTUS - OK'!C26</f>
        <v>Karawang, 16 Agustus 2021</v>
      </c>
      <c r="D15" s="270"/>
      <c r="E15" s="270"/>
      <c r="F15" s="270"/>
      <c r="G15" s="271"/>
      <c r="H15" s="271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48"/>
      <c r="V15" s="317"/>
    </row>
    <row r="16">
      <c r="A16" s="0" t="s">
        <v>30</v>
      </c>
      <c r="B16" s="1870"/>
      <c r="D16" s="263"/>
      <c r="E16" s="264"/>
      <c r="F16" s="264"/>
      <c r="G16" s="210"/>
      <c r="H16" s="210"/>
      <c r="I16" s="270"/>
      <c r="J16" s="270"/>
      <c r="K16" s="270"/>
      <c r="L16" s="270"/>
      <c r="M16" s="270"/>
      <c r="N16" s="310"/>
      <c r="O16" s="310"/>
      <c r="P16" s="310"/>
      <c r="Q16" s="310"/>
      <c r="R16" s="270"/>
      <c r="S16" s="270"/>
      <c r="T16" s="270"/>
      <c r="U16" s="348"/>
      <c r="V16" s="317"/>
    </row>
    <row r="17">
      <c r="A17" s="0" t="s">
        <v>30</v>
      </c>
      <c r="B17" s="1933"/>
      <c r="C17" s="264" t="s">
        <v>38</v>
      </c>
      <c r="D17" s="274"/>
      <c r="E17" s="264"/>
      <c r="F17" s="264"/>
      <c r="G17" s="275"/>
      <c r="H17" s="275"/>
      <c r="I17" s="262"/>
      <c r="J17" s="262"/>
      <c r="K17" s="262"/>
      <c r="L17" s="312"/>
      <c r="M17" s="263" t="s">
        <v>39</v>
      </c>
      <c r="N17" s="313"/>
      <c r="R17" s="349"/>
      <c r="S17" s="270"/>
      <c r="T17" s="270"/>
      <c r="U17" s="348"/>
      <c r="V17" s="348"/>
    </row>
    <row r="18">
      <c r="A18" s="0" t="s">
        <v>30</v>
      </c>
      <c r="B18" s="1934"/>
      <c r="C18" s="446"/>
      <c r="D18" s="209"/>
      <c r="E18" s="208"/>
      <c r="F18" s="208"/>
      <c r="G18" s="275"/>
      <c r="H18" s="275"/>
      <c r="I18" s="262"/>
      <c r="J18" s="315"/>
      <c r="K18" s="262"/>
      <c r="L18" s="312"/>
      <c r="M18" s="262"/>
      <c r="N18" s="270"/>
      <c r="O18" s="270"/>
      <c r="P18" s="270"/>
      <c r="Q18" s="270"/>
      <c r="R18" s="349"/>
      <c r="S18" s="270"/>
      <c r="T18" s="270"/>
      <c r="U18" s="348"/>
      <c r="V18" s="348"/>
    </row>
    <row r="19">
      <c r="A19" s="0" t="s">
        <v>30</v>
      </c>
      <c r="B19" s="1934"/>
      <c r="C19" s="446"/>
      <c r="D19" s="209"/>
      <c r="E19" s="208"/>
      <c r="F19" s="208"/>
      <c r="G19" s="210"/>
      <c r="H19" s="210"/>
      <c r="I19" s="210"/>
      <c r="J19" s="270"/>
      <c r="K19" s="270"/>
      <c r="L19" s="310"/>
      <c r="M19" s="270"/>
      <c r="N19" s="270"/>
      <c r="O19" s="270"/>
      <c r="P19" s="270"/>
      <c r="Q19" s="270"/>
      <c r="R19" s="208"/>
      <c r="S19" s="270"/>
      <c r="T19" s="270"/>
      <c r="U19" s="348"/>
      <c r="V19" s="348"/>
    </row>
    <row r="20">
      <c r="A20" s="0" t="s">
        <v>30</v>
      </c>
      <c r="B20" s="1933"/>
      <c r="C20" s="445"/>
      <c r="D20" s="274"/>
      <c r="E20" s="264"/>
      <c r="F20" s="264"/>
      <c r="G20" s="275"/>
      <c r="H20" s="275"/>
      <c r="I20" s="275"/>
      <c r="J20" s="262"/>
      <c r="K20" s="262"/>
      <c r="L20" s="312"/>
      <c r="M20" s="262"/>
      <c r="N20" s="262"/>
      <c r="O20" s="262"/>
      <c r="P20" s="262"/>
      <c r="Q20" s="262"/>
      <c r="R20" s="264"/>
      <c r="S20" s="270"/>
      <c r="T20" s="270"/>
      <c r="U20" s="348"/>
      <c r="V20" s="348"/>
    </row>
    <row r="21">
      <c r="A21" s="0" t="s">
        <v>30</v>
      </c>
      <c r="B21" s="1870"/>
      <c r="C21" s="264"/>
      <c r="D21" s="264"/>
      <c r="E21" s="264"/>
      <c r="F21" s="264"/>
      <c r="G21" s="275"/>
      <c r="H21" s="275"/>
      <c r="I21" s="275"/>
      <c r="J21" s="262"/>
      <c r="K21" s="262"/>
      <c r="L21" s="312"/>
      <c r="M21" s="262"/>
      <c r="N21" s="262"/>
      <c r="O21" s="262"/>
      <c r="P21" s="262"/>
      <c r="Q21" s="262"/>
      <c r="R21" s="264"/>
      <c r="S21" s="270"/>
      <c r="T21" s="270"/>
      <c r="U21" s="348"/>
      <c r="V21" s="348"/>
    </row>
    <row r="22">
      <c r="A22" s="0" t="s">
        <v>30</v>
      </c>
      <c r="B22" s="1870"/>
      <c r="C22" s="264"/>
      <c r="D22" s="264"/>
      <c r="E22" s="264"/>
      <c r="F22" s="264"/>
      <c r="G22" s="275"/>
      <c r="H22" s="275"/>
      <c r="I22" s="275"/>
      <c r="J22" s="262"/>
      <c r="K22" s="262"/>
      <c r="L22" s="312"/>
      <c r="M22" s="262"/>
      <c r="N22" s="262"/>
      <c r="O22" s="262"/>
      <c r="P22" s="262"/>
      <c r="Q22" s="262"/>
      <c r="R22" s="264"/>
      <c r="S22" s="270"/>
      <c r="T22" s="270"/>
      <c r="U22" s="348"/>
      <c r="V22" s="348"/>
    </row>
    <row r="23">
      <c r="A23" s="0" t="s">
        <v>30</v>
      </c>
      <c r="B23" s="1870"/>
      <c r="C23" s="264" t="s">
        <v>40</v>
      </c>
      <c r="E23" s="264"/>
      <c r="F23" s="264"/>
      <c r="G23" s="275"/>
      <c r="H23" s="275"/>
      <c r="I23" s="275"/>
      <c r="J23" s="312" t="s">
        <v>41</v>
      </c>
      <c r="K23" s="263"/>
      <c r="L23" s="263"/>
      <c r="M23" s="263" t="s">
        <v>42</v>
      </c>
      <c r="O23" s="264" t="s">
        <v>43</v>
      </c>
      <c r="P23" s="264"/>
      <c r="Q23" s="263"/>
      <c r="U23" s="350"/>
      <c r="V23" s="350"/>
    </row>
    <row r="24">
      <c r="A24" s="263" t="s">
        <v>30</v>
      </c>
      <c r="B24" s="1868"/>
      <c r="C24" s="274"/>
      <c r="D24" s="264"/>
      <c r="E24" s="264"/>
      <c r="F24" s="279"/>
      <c r="G24" s="275"/>
      <c r="H24" s="275"/>
      <c r="I24" s="263"/>
      <c r="J24" s="263"/>
      <c r="K24" s="263"/>
      <c r="L24" s="263"/>
      <c r="M24" s="275"/>
      <c r="N24" s="263"/>
      <c r="O24" s="263"/>
      <c r="P24" s="263"/>
      <c r="Q24" s="263"/>
      <c r="R24" s="263"/>
      <c r="U24" s="350"/>
      <c r="V24" s="350"/>
    </row>
    <row r="25">
      <c r="A25" s="263" t="s">
        <v>30</v>
      </c>
      <c r="B25" s="1868"/>
      <c r="C25" s="274"/>
      <c r="D25" s="264"/>
      <c r="E25" s="264"/>
      <c r="F25" s="279"/>
      <c r="G25" s="275"/>
      <c r="H25" s="275"/>
      <c r="I25" s="263"/>
      <c r="J25" s="263"/>
      <c r="K25" s="263"/>
      <c r="L25" s="263"/>
      <c r="M25" s="275"/>
      <c r="N25" s="263"/>
      <c r="O25" s="263"/>
      <c r="P25" s="263"/>
      <c r="Q25" s="263"/>
      <c r="R25" s="263"/>
      <c r="U25" s="350"/>
      <c r="V25" s="350"/>
    </row>
  </sheetData>
  <mergeCells>
    <mergeCell ref="A12:F12"/>
  </mergeCells>
  <printOptions horizontalCentered="1"/>
  <pageMargins left="0" right="0" top="0.75" bottom="0.75" header="0.3" footer="0.3"/>
  <pageSetup paperSize="9" scale="80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Y42"/>
  <sheetViews>
    <sheetView zoomScale="85" zoomScaleNormal="85" workbookViewId="0">
      <pane xSplit="7" ySplit="11" topLeftCell="H15" activePane="bottomRight" state="frozen"/>
      <selection activeCell="O25" sqref="O25"/>
      <selection pane="topRight" activeCell="O25" sqref="O25"/>
      <selection pane="bottomLeft" activeCell="O25" sqref="O25"/>
      <selection pane="bottomRight" activeCell="O25" sqref="O25"/>
    </sheetView>
  </sheetViews>
  <sheetFormatPr defaultColWidth="9.140625" defaultRowHeight="15"/>
  <cols>
    <col min="1" max="2" width="4.85546875" customWidth="1"/>
    <col min="3" max="3" width="19.140625" customWidth="1"/>
    <col min="4" max="4" width="8.28515625" customWidth="1"/>
    <col min="5" max="5" hidden="1" width="8.28515625" customWidth="1"/>
    <col min="6" max="6" hidden="1" width="9.85546875" customWidth="1"/>
    <col min="7" max="7" width="10.140625" customWidth="1"/>
    <col min="8" max="8" width="9.5703125" customWidth="1"/>
    <col min="9" max="9" width="10.5703125" customWidth="1"/>
    <col min="10" max="10" width="12.140625" customWidth="1"/>
    <col min="11" max="11" width="9" customWidth="1"/>
    <col min="12" max="12" width="10.5703125" customWidth="1"/>
    <col min="13" max="13" width="11.5703125" customWidth="1"/>
    <col min="14" max="14" width="11.140625" customWidth="1"/>
    <col min="15" max="15" width="12.85546875" customWidth="1"/>
    <col min="16" max="16" width="8" customWidth="1"/>
    <col min="17" max="17" width="9.42578125" customWidth="1"/>
    <col min="18" max="18" width="11" customWidth="1"/>
    <col min="19" max="19" width="8.42578125" customWidth="1"/>
    <col min="20" max="20" width="11.85546875" customWidth="1"/>
    <col min="21" max="21" width="8.140625" customWidth="1"/>
    <col min="22" max="22" width="7.85546875" customWidth="1"/>
    <col min="23" max="24" width="9.140625" customWidth="1"/>
  </cols>
  <sheetData>
    <row r="1">
      <c r="A1" s="550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550" t="s">
        <v>84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550" t="str">
        <f>+'PURWOKERTO AOP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M3" s="210"/>
      <c r="U3" s="316"/>
      <c r="V3" s="317"/>
    </row>
    <row r="4">
      <c r="A4" s="550"/>
      <c r="B4" s="208"/>
      <c r="C4" s="209"/>
      <c r="D4" s="208"/>
      <c r="E4" s="208"/>
      <c r="F4" s="208"/>
      <c r="G4" s="213"/>
      <c r="H4" s="213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08"/>
      <c r="G5" s="214">
        <v>1970000</v>
      </c>
      <c r="H5" s="214"/>
      <c r="I5" s="281"/>
      <c r="M5" s="210"/>
      <c r="U5" s="316"/>
      <c r="V5" s="317"/>
    </row>
    <row r="6" ht="22.5">
      <c r="A6" s="551" t="s">
        <v>2</v>
      </c>
      <c r="B6" s="551" t="s">
        <v>3</v>
      </c>
      <c r="C6" s="551" t="s">
        <v>4</v>
      </c>
      <c r="D6" s="551" t="s">
        <v>5</v>
      </c>
      <c r="E6" s="551" t="s">
        <v>6</v>
      </c>
      <c r="F6" s="552" t="s">
        <v>7</v>
      </c>
      <c r="G6" s="553" t="s">
        <v>8</v>
      </c>
      <c r="H6" s="219" t="s">
        <v>9</v>
      </c>
      <c r="I6" s="569" t="s">
        <v>10</v>
      </c>
      <c r="J6" s="570" t="s">
        <v>11</v>
      </c>
      <c r="K6" s="570" t="s">
        <v>12</v>
      </c>
      <c r="L6" s="571" t="s">
        <v>13</v>
      </c>
      <c r="M6" s="571" t="s">
        <v>14</v>
      </c>
      <c r="N6" s="572" t="s">
        <v>15</v>
      </c>
      <c r="O6" s="572" t="s">
        <v>32</v>
      </c>
      <c r="P6" s="572" t="s">
        <v>17</v>
      </c>
      <c r="Q6" s="572" t="s">
        <v>18</v>
      </c>
      <c r="R6" s="575" t="s">
        <v>19</v>
      </c>
      <c r="S6" s="576" t="s">
        <v>20</v>
      </c>
      <c r="T6" s="576" t="s">
        <v>21</v>
      </c>
      <c r="U6" s="577" t="s">
        <v>22</v>
      </c>
      <c r="V6" s="577" t="s">
        <v>23</v>
      </c>
    </row>
    <row r="7">
      <c r="A7" s="491" t="s">
        <v>24</v>
      </c>
      <c r="B7" s="239">
        <v>2246</v>
      </c>
      <c r="C7" s="554" t="s">
        <v>85</v>
      </c>
      <c r="D7" s="239" t="s">
        <v>26</v>
      </c>
      <c r="E7" s="239" t="s">
        <v>86</v>
      </c>
      <c r="F7" s="239" t="s">
        <v>87</v>
      </c>
      <c r="G7" s="244">
        <v>1970000</v>
      </c>
      <c r="H7" s="244"/>
      <c r="I7" s="298">
        <f>+$G$5*4.89%</f>
        <v>96333</v>
      </c>
      <c r="J7" s="298">
        <f>+$G$5*4%</f>
        <v>78800</v>
      </c>
      <c r="K7" s="298">
        <f>+$G$5*2%</f>
        <v>39400</v>
      </c>
      <c r="L7" s="298">
        <v>1667</v>
      </c>
      <c r="M7" s="295">
        <f>SUM(G7:L7)</f>
        <v>2186200</v>
      </c>
      <c r="N7" s="303">
        <f>+M7*8%</f>
        <v>174896</v>
      </c>
      <c r="O7" s="296">
        <v>500000</v>
      </c>
      <c r="P7" s="303">
        <v>100000</v>
      </c>
      <c r="Q7" s="303">
        <f>27*12000</f>
        <v>324000</v>
      </c>
      <c r="R7" s="335">
        <f>SUM(M7:Q7)</f>
        <v>3285096</v>
      </c>
      <c r="S7" s="335">
        <f>N7*0.1</f>
        <v>17489.600000000002</v>
      </c>
      <c r="T7" s="336">
        <f>R7+S7</f>
        <v>3302585.6</v>
      </c>
      <c r="U7" s="339">
        <v>44348</v>
      </c>
      <c r="V7" s="339">
        <v>44439</v>
      </c>
      <c r="W7" s="490"/>
    </row>
    <row r="8" ht="18" customHeight="1">
      <c r="A8" s="555" t="s">
        <v>30</v>
      </c>
      <c r="B8" s="1935"/>
      <c r="C8" s="556" t="s">
        <v>88</v>
      </c>
      <c r="D8" s="362"/>
      <c r="E8" s="362"/>
      <c r="F8" s="362"/>
      <c r="G8" s="557">
        <f ref="G8:T8" t="shared" si="0">SUM(G7)</f>
        <v>1970000</v>
      </c>
      <c r="H8" s="557">
        <f t="shared" si="0"/>
        <v>0</v>
      </c>
      <c r="I8" s="557">
        <f t="shared" si="0"/>
        <v>96333</v>
      </c>
      <c r="J8" s="557">
        <f t="shared" si="0"/>
        <v>78800</v>
      </c>
      <c r="K8" s="557">
        <f t="shared" si="0"/>
        <v>39400</v>
      </c>
      <c r="L8" s="557">
        <f t="shared" si="0"/>
        <v>1667</v>
      </c>
      <c r="M8" s="557">
        <f t="shared" si="0"/>
        <v>2186200</v>
      </c>
      <c r="N8" s="557">
        <f t="shared" si="0"/>
        <v>174896</v>
      </c>
      <c r="O8" s="557">
        <f t="shared" si="0"/>
        <v>500000</v>
      </c>
      <c r="P8" s="557">
        <f t="shared" si="0"/>
        <v>100000</v>
      </c>
      <c r="Q8" s="557">
        <f t="shared" si="0"/>
        <v>324000</v>
      </c>
      <c r="R8" s="557">
        <f t="shared" si="0"/>
        <v>3285096</v>
      </c>
      <c r="S8" s="557">
        <f t="shared" si="0"/>
        <v>17489.600000000002</v>
      </c>
      <c r="T8" s="557">
        <f t="shared" si="0"/>
        <v>3302585.6</v>
      </c>
      <c r="U8" s="578"/>
      <c r="V8" s="578"/>
    </row>
    <row r="9">
      <c r="A9" s="207" t="s">
        <v>30</v>
      </c>
      <c r="B9" s="1910"/>
      <c r="C9" s="209"/>
      <c r="D9" s="208"/>
      <c r="E9" s="208"/>
      <c r="F9" s="208"/>
      <c r="G9" s="214">
        <f>SUM(G7:G8)</f>
        <v>3940000</v>
      </c>
      <c r="H9" s="214">
        <f ref="H9:U9" t="shared" si="1">SUM(H7:H8)</f>
        <v>0</v>
      </c>
      <c r="I9" s="214">
        <f t="shared" si="1"/>
        <v>192666</v>
      </c>
      <c r="J9" s="214">
        <f t="shared" si="1"/>
        <v>157600</v>
      </c>
      <c r="K9" s="214">
        <f t="shared" si="1"/>
        <v>78800</v>
      </c>
      <c r="L9" s="214">
        <f t="shared" si="1"/>
        <v>3334</v>
      </c>
      <c r="M9" s="214">
        <f t="shared" si="1"/>
        <v>4372400</v>
      </c>
      <c r="N9" s="214">
        <f t="shared" si="1"/>
        <v>349792</v>
      </c>
      <c r="O9" s="214">
        <f t="shared" si="1"/>
        <v>1000000</v>
      </c>
      <c r="P9" s="214">
        <f t="shared" si="1"/>
        <v>200000</v>
      </c>
      <c r="Q9" s="214">
        <f t="shared" si="1"/>
        <v>648000</v>
      </c>
      <c r="R9" s="214">
        <f t="shared" si="1"/>
        <v>6570192</v>
      </c>
      <c r="S9" s="214">
        <f t="shared" si="1"/>
        <v>34979.200000000004</v>
      </c>
      <c r="T9" s="214">
        <f t="shared" si="1"/>
        <v>6605171.2</v>
      </c>
      <c r="U9" s="214">
        <f t="shared" si="1"/>
        <v>44348</v>
      </c>
      <c r="V9" s="317"/>
    </row>
    <row r="10">
      <c r="A10" s="207" t="s">
        <v>30</v>
      </c>
      <c r="B10" s="1910"/>
      <c r="C10" s="209"/>
      <c r="D10" s="208"/>
      <c r="E10" s="208"/>
      <c r="F10" s="208"/>
      <c r="G10" s="214"/>
      <c r="H10" s="214"/>
      <c r="I10" s="281"/>
      <c r="M10" s="210"/>
      <c r="U10" s="316"/>
      <c r="V10" s="317"/>
    </row>
    <row r="11" ht="22.5">
      <c r="A11" s="551" t="s">
        <v>31</v>
      </c>
      <c r="B11" s="1936" t="s">
        <v>3</v>
      </c>
      <c r="C11" s="551" t="s">
        <v>4</v>
      </c>
      <c r="D11" s="551" t="s">
        <v>5</v>
      </c>
      <c r="E11" s="551" t="s">
        <v>6</v>
      </c>
      <c r="F11" s="552" t="s">
        <v>7</v>
      </c>
      <c r="G11" s="553" t="s">
        <v>8</v>
      </c>
      <c r="H11" s="219" t="s">
        <v>9</v>
      </c>
      <c r="I11" s="569" t="s">
        <v>10</v>
      </c>
      <c r="J11" s="570" t="s">
        <v>11</v>
      </c>
      <c r="K11" s="570" t="s">
        <v>12</v>
      </c>
      <c r="L11" s="571" t="s">
        <v>13</v>
      </c>
      <c r="M11" s="571" t="s">
        <v>14</v>
      </c>
      <c r="N11" s="572" t="s">
        <v>15</v>
      </c>
      <c r="O11" s="572" t="s">
        <v>32</v>
      </c>
      <c r="P11" s="572" t="s">
        <v>17</v>
      </c>
      <c r="Q11" s="572" t="s">
        <v>18</v>
      </c>
      <c r="R11" s="575" t="s">
        <v>19</v>
      </c>
      <c r="S11" s="576" t="s">
        <v>20</v>
      </c>
      <c r="T11" s="576" t="s">
        <v>21</v>
      </c>
      <c r="U11" s="577" t="s">
        <v>22</v>
      </c>
      <c r="V11" s="577" t="s">
        <v>23</v>
      </c>
    </row>
    <row r="12" ht="18" customHeight="1">
      <c r="A12" s="491" t="s">
        <v>24</v>
      </c>
      <c r="B12" s="239" t="s">
        <v>89</v>
      </c>
      <c r="C12" s="554" t="s">
        <v>90</v>
      </c>
      <c r="D12" s="239" t="s">
        <v>34</v>
      </c>
      <c r="E12" s="239" t="s">
        <v>86</v>
      </c>
      <c r="F12" s="239" t="s">
        <v>87</v>
      </c>
      <c r="G12" s="244">
        <v>1970000</v>
      </c>
      <c r="H12" s="244"/>
      <c r="I12" s="298">
        <f>+$G$5*4.89%</f>
        <v>96333</v>
      </c>
      <c r="J12" s="298">
        <f>+$G$5*4%</f>
        <v>78800</v>
      </c>
      <c r="K12" s="298">
        <f>+$G$5*2%</f>
        <v>39400</v>
      </c>
      <c r="L12" s="298">
        <v>15000</v>
      </c>
      <c r="M12" s="295">
        <f ref="M12:M27" t="shared" si="2">SUM(G12:L12)</f>
        <v>2199533</v>
      </c>
      <c r="N12" s="303">
        <f ref="N12:N24" t="shared" si="3">+M12*8%</f>
        <v>175962.64</v>
      </c>
      <c r="O12" s="296">
        <v>1032500</v>
      </c>
      <c r="P12" s="303"/>
      <c r="Q12" s="303">
        <v>200000</v>
      </c>
      <c r="R12" s="335">
        <f ref="R12:R24" t="shared" si="4">SUM(M12:Q12)</f>
        <v>3607995.64</v>
      </c>
      <c r="S12" s="335">
        <f ref="S12:S24" t="shared" si="5">N12*0.1</f>
        <v>17596.264000000003</v>
      </c>
      <c r="T12" s="336">
        <f ref="T12:T24" t="shared" si="6">R12+S12</f>
        <v>3625591.904</v>
      </c>
      <c r="U12" s="339">
        <v>44348</v>
      </c>
      <c r="V12" s="339">
        <v>44439</v>
      </c>
    </row>
    <row r="13" ht="18" customHeight="1">
      <c r="A13" s="491" t="s">
        <v>24</v>
      </c>
      <c r="B13" s="239" t="s">
        <v>91</v>
      </c>
      <c r="C13" s="242" t="s">
        <v>92</v>
      </c>
      <c r="D13" s="247" t="s">
        <v>34</v>
      </c>
      <c r="E13" s="239" t="s">
        <v>86</v>
      </c>
      <c r="F13" s="239" t="s">
        <v>87</v>
      </c>
      <c r="G13" s="244">
        <v>1970000</v>
      </c>
      <c r="H13" s="244"/>
      <c r="I13" s="298">
        <f>+$G$5*4.89%</f>
        <v>96333</v>
      </c>
      <c r="J13" s="298">
        <f>+$G$5*4%</f>
        <v>78800</v>
      </c>
      <c r="K13" s="298">
        <f>+$G$5*2%</f>
        <v>39400</v>
      </c>
      <c r="L13" s="298">
        <v>15000</v>
      </c>
      <c r="M13" s="295">
        <f t="shared" si="2"/>
        <v>2199533</v>
      </c>
      <c r="N13" s="303">
        <f t="shared" si="3"/>
        <v>175962.64</v>
      </c>
      <c r="O13" s="296">
        <v>600000</v>
      </c>
      <c r="P13" s="303"/>
      <c r="Q13" s="303"/>
      <c r="R13" s="335">
        <f t="shared" si="4"/>
        <v>2975495.64</v>
      </c>
      <c r="S13" s="335">
        <f t="shared" si="5"/>
        <v>17596.264000000003</v>
      </c>
      <c r="T13" s="336">
        <f t="shared" si="6"/>
        <v>2993091.904</v>
      </c>
      <c r="U13" s="339">
        <v>44348</v>
      </c>
      <c r="V13" s="340">
        <v>44439</v>
      </c>
      <c r="W13" s="490"/>
    </row>
    <row r="14" ht="18" customHeight="1">
      <c r="A14" s="491" t="s">
        <v>24</v>
      </c>
      <c r="B14" s="228" t="s">
        <v>93</v>
      </c>
      <c r="C14" s="231" t="s">
        <v>94</v>
      </c>
      <c r="D14" s="558" t="s">
        <v>34</v>
      </c>
      <c r="E14" s="228" t="s">
        <v>86</v>
      </c>
      <c r="F14" s="228" t="s">
        <v>87</v>
      </c>
      <c r="G14" s="244">
        <v>1970000</v>
      </c>
      <c r="H14" s="244"/>
      <c r="I14" s="293">
        <f>+'PURWOKERTO AOP AGUSTUS - OK'!$G$4*4.89%</f>
        <v>96333</v>
      </c>
      <c r="J14" s="293">
        <f>+'PURWOKERTO AOP AGUSTUS - OK'!$G$4*4%</f>
        <v>78800</v>
      </c>
      <c r="K14" s="293">
        <f>+'PURWOKERTO AOP AGUSTUS - OK'!$G$4*2%</f>
        <v>39400</v>
      </c>
      <c r="L14" s="293">
        <v>15000</v>
      </c>
      <c r="M14" s="295">
        <f t="shared" si="2"/>
        <v>2199533</v>
      </c>
      <c r="N14" s="296">
        <f t="shared" si="3"/>
        <v>175962.64</v>
      </c>
      <c r="O14" s="296">
        <v>735000</v>
      </c>
      <c r="P14" s="573"/>
      <c r="Q14" s="296"/>
      <c r="R14" s="328">
        <f t="shared" si="4"/>
        <v>3110495.64</v>
      </c>
      <c r="S14" s="328">
        <f t="shared" si="5"/>
        <v>17596.264000000003</v>
      </c>
      <c r="T14" s="329">
        <f t="shared" si="6"/>
        <v>3128091.904</v>
      </c>
      <c r="U14" s="579">
        <v>44336</v>
      </c>
      <c r="V14" s="580">
        <v>44439</v>
      </c>
      <c r="W14" s="350"/>
    </row>
    <row r="15" ht="18" customHeight="1">
      <c r="A15" s="491" t="s">
        <v>24</v>
      </c>
      <c r="B15" s="228" t="s">
        <v>95</v>
      </c>
      <c r="C15" s="231" t="s">
        <v>96</v>
      </c>
      <c r="D15" s="558" t="s">
        <v>34</v>
      </c>
      <c r="E15" s="228" t="s">
        <v>86</v>
      </c>
      <c r="F15" s="228" t="s">
        <v>87</v>
      </c>
      <c r="G15" s="244">
        <v>1970000</v>
      </c>
      <c r="H15" s="244"/>
      <c r="I15" s="293">
        <f>+'PURWOKERTO AOP AGUSTUS - OK'!$G$4*4.89%</f>
        <v>96333</v>
      </c>
      <c r="J15" s="293">
        <f>+'PURWOKERTO AOP AGUSTUS - OK'!$G$4*4%</f>
        <v>78800</v>
      </c>
      <c r="K15" s="293">
        <f>+'PURWOKERTO AOP AGUSTUS - OK'!$G$4*2%</f>
        <v>39400</v>
      </c>
      <c r="L15" s="293">
        <v>15000</v>
      </c>
      <c r="M15" s="295">
        <f t="shared" si="2"/>
        <v>2199533</v>
      </c>
      <c r="N15" s="296">
        <f t="shared" si="3"/>
        <v>175962.64</v>
      </c>
      <c r="O15" s="296">
        <v>520000</v>
      </c>
      <c r="P15" s="573"/>
      <c r="Q15" s="296"/>
      <c r="R15" s="328">
        <f t="shared" si="4"/>
        <v>2895495.64</v>
      </c>
      <c r="S15" s="328">
        <f t="shared" si="5"/>
        <v>17596.264000000003</v>
      </c>
      <c r="T15" s="329">
        <f t="shared" si="6"/>
        <v>2913091.904</v>
      </c>
      <c r="U15" s="579">
        <v>44348</v>
      </c>
      <c r="V15" s="580">
        <v>44439</v>
      </c>
      <c r="W15" s="350"/>
    </row>
    <row r="16" ht="18" customHeight="1">
      <c r="A16" s="491" t="s">
        <v>24</v>
      </c>
      <c r="B16" s="239" t="s">
        <v>97</v>
      </c>
      <c r="C16" s="242" t="s">
        <v>98</v>
      </c>
      <c r="D16" s="247" t="s">
        <v>34</v>
      </c>
      <c r="E16" s="239" t="s">
        <v>86</v>
      </c>
      <c r="F16" s="239" t="s">
        <v>87</v>
      </c>
      <c r="G16" s="244">
        <v>1970000</v>
      </c>
      <c r="H16" s="244"/>
      <c r="I16" s="298">
        <f>+'PURWOKERTO AOP AGUSTUS - OK'!$G$4*4.89%</f>
        <v>96333</v>
      </c>
      <c r="J16" s="298">
        <f>+'PURWOKERTO AOP AGUSTUS - OK'!$G$4*4%</f>
        <v>78800</v>
      </c>
      <c r="K16" s="298">
        <f>+'PURWOKERTO AOP AGUSTUS - OK'!$G$4*2%</f>
        <v>39400</v>
      </c>
      <c r="L16" s="298">
        <v>15000</v>
      </c>
      <c r="M16" s="295">
        <f t="shared" si="2"/>
        <v>2199533</v>
      </c>
      <c r="N16" s="303">
        <f t="shared" si="3"/>
        <v>175962.64</v>
      </c>
      <c r="O16" s="296">
        <v>732500</v>
      </c>
      <c r="P16" s="303"/>
      <c r="Q16" s="303"/>
      <c r="R16" s="335">
        <f t="shared" si="4"/>
        <v>3107995.64</v>
      </c>
      <c r="S16" s="335">
        <f t="shared" si="5"/>
        <v>17596.264000000003</v>
      </c>
      <c r="T16" s="336">
        <f t="shared" si="6"/>
        <v>3125591.904</v>
      </c>
      <c r="U16" s="339">
        <v>44409</v>
      </c>
      <c r="V16" s="340">
        <v>44500</v>
      </c>
    </row>
    <row r="17" ht="18" customHeight="1">
      <c r="A17" s="491" t="s">
        <v>24</v>
      </c>
      <c r="B17" s="228" t="s">
        <v>99</v>
      </c>
      <c r="C17" s="231" t="s">
        <v>100</v>
      </c>
      <c r="D17" s="558" t="s">
        <v>34</v>
      </c>
      <c r="E17" s="228" t="s">
        <v>86</v>
      </c>
      <c r="F17" s="228" t="s">
        <v>87</v>
      </c>
      <c r="G17" s="244">
        <v>1970000</v>
      </c>
      <c r="H17" s="244"/>
      <c r="I17" s="293">
        <f>+'PURWOKERTO AOP AGUSTUS - OK'!$G$4*4.89%</f>
        <v>96333</v>
      </c>
      <c r="J17" s="293">
        <f>+'PURWOKERTO AOP AGUSTUS - OK'!$G$4*4%</f>
        <v>78800</v>
      </c>
      <c r="K17" s="293">
        <f>+'PURWOKERTO AOP AGUSTUS - OK'!$G$4*2%</f>
        <v>39400</v>
      </c>
      <c r="L17" s="293">
        <v>15000</v>
      </c>
      <c r="M17" s="295">
        <f t="shared" si="2"/>
        <v>2199533</v>
      </c>
      <c r="N17" s="296">
        <f t="shared" si="3"/>
        <v>175962.64</v>
      </c>
      <c r="O17" s="296">
        <v>607500</v>
      </c>
      <c r="P17" s="573"/>
      <c r="Q17" s="296"/>
      <c r="R17" s="328">
        <f t="shared" si="4"/>
        <v>2982995.64</v>
      </c>
      <c r="S17" s="328">
        <f t="shared" si="5"/>
        <v>17596.264000000003</v>
      </c>
      <c r="T17" s="329">
        <f t="shared" si="6"/>
        <v>3000591.904</v>
      </c>
      <c r="U17" s="579">
        <v>44381</v>
      </c>
      <c r="V17" s="580">
        <v>44469</v>
      </c>
      <c r="W17" s="350"/>
    </row>
    <row r="18" ht="18" customHeight="1">
      <c r="A18" s="491" t="s">
        <v>24</v>
      </c>
      <c r="B18" s="239" t="s">
        <v>101</v>
      </c>
      <c r="C18" s="242" t="s">
        <v>102</v>
      </c>
      <c r="D18" s="247" t="s">
        <v>34</v>
      </c>
      <c r="E18" s="239" t="s">
        <v>86</v>
      </c>
      <c r="F18" s="239" t="s">
        <v>87</v>
      </c>
      <c r="G18" s="244">
        <v>1970000</v>
      </c>
      <c r="H18" s="244"/>
      <c r="I18" s="298">
        <f>+'PURWOKERTO AOP AGUSTUS - OK'!$G$4*4.89%</f>
        <v>96333</v>
      </c>
      <c r="J18" s="298">
        <f>+'PURWOKERTO AOP AGUSTUS - OK'!$G$4*4%</f>
        <v>78800</v>
      </c>
      <c r="K18" s="298">
        <f>+'PURWOKERTO AOP AGUSTUS - OK'!$G$4*2%</f>
        <v>39400</v>
      </c>
      <c r="L18" s="298">
        <v>15000</v>
      </c>
      <c r="M18" s="295">
        <f t="shared" si="2"/>
        <v>2199533</v>
      </c>
      <c r="N18" s="303">
        <f t="shared" si="3"/>
        <v>175962.64</v>
      </c>
      <c r="O18" s="296">
        <v>592500</v>
      </c>
      <c r="P18" s="303"/>
      <c r="Q18" s="303"/>
      <c r="R18" s="335">
        <f t="shared" si="4"/>
        <v>2967995.64</v>
      </c>
      <c r="S18" s="335">
        <f t="shared" si="5"/>
        <v>17596.264000000003</v>
      </c>
      <c r="T18" s="336">
        <f t="shared" si="6"/>
        <v>2985591.904</v>
      </c>
      <c r="U18" s="339">
        <v>44409</v>
      </c>
      <c r="V18" s="340">
        <v>44500</v>
      </c>
    </row>
    <row r="19" ht="18" customHeight="1">
      <c r="A19" s="491" t="s">
        <v>24</v>
      </c>
      <c r="B19" s="228" t="s">
        <v>103</v>
      </c>
      <c r="C19" s="231" t="s">
        <v>104</v>
      </c>
      <c r="D19" s="558" t="s">
        <v>34</v>
      </c>
      <c r="E19" s="228" t="s">
        <v>86</v>
      </c>
      <c r="F19" s="228" t="s">
        <v>87</v>
      </c>
      <c r="G19" s="244">
        <v>1970000</v>
      </c>
      <c r="H19" s="244"/>
      <c r="I19" s="293">
        <f>+'PURWOKERTO AOP AGUSTUS - OK'!$G$4*4.89%</f>
        <v>96333</v>
      </c>
      <c r="J19" s="293">
        <f>+'PURWOKERTO AOP AGUSTUS - OK'!$G$4*4%</f>
        <v>78800</v>
      </c>
      <c r="K19" s="293">
        <f>+'PURWOKERTO AOP AGUSTUS - OK'!$G$4*2%</f>
        <v>39400</v>
      </c>
      <c r="L19" s="293">
        <v>15000</v>
      </c>
      <c r="M19" s="295">
        <f t="shared" si="2"/>
        <v>2199533</v>
      </c>
      <c r="N19" s="296">
        <f t="shared" si="3"/>
        <v>175962.64</v>
      </c>
      <c r="O19" s="296">
        <v>657500</v>
      </c>
      <c r="P19" s="573"/>
      <c r="Q19" s="296"/>
      <c r="R19" s="328">
        <f t="shared" si="4"/>
        <v>3032995.64</v>
      </c>
      <c r="S19" s="328">
        <f t="shared" si="5"/>
        <v>17596.264000000003</v>
      </c>
      <c r="T19" s="329">
        <f t="shared" si="6"/>
        <v>3050591.904</v>
      </c>
      <c r="U19" s="579">
        <v>44389</v>
      </c>
      <c r="V19" s="580">
        <v>44469</v>
      </c>
      <c r="W19" s="350"/>
    </row>
    <row r="20" ht="18" customHeight="1">
      <c r="A20" s="491" t="s">
        <v>24</v>
      </c>
      <c r="B20" s="239" t="s">
        <v>105</v>
      </c>
      <c r="C20" s="242" t="s">
        <v>106</v>
      </c>
      <c r="D20" s="247" t="s">
        <v>34</v>
      </c>
      <c r="E20" s="239" t="s">
        <v>86</v>
      </c>
      <c r="F20" s="239" t="s">
        <v>87</v>
      </c>
      <c r="G20" s="244">
        <v>1970000</v>
      </c>
      <c r="H20" s="244"/>
      <c r="I20" s="298">
        <f>+'PURWOKERTO AOP AGUSTUS - OK'!$G$4*4.89%</f>
        <v>96333</v>
      </c>
      <c r="J20" s="298">
        <f>+'PURWOKERTO AOP AGUSTUS - OK'!$G$4*4%</f>
        <v>78800</v>
      </c>
      <c r="K20" s="298">
        <f>+'PURWOKERTO AOP AGUSTUS - OK'!$G$4*2%</f>
        <v>39400</v>
      </c>
      <c r="L20" s="298">
        <v>15000</v>
      </c>
      <c r="M20" s="295">
        <f t="shared" si="2"/>
        <v>2199533</v>
      </c>
      <c r="N20" s="303">
        <f t="shared" si="3"/>
        <v>175962.64</v>
      </c>
      <c r="O20" s="296">
        <v>820000</v>
      </c>
      <c r="P20" s="303"/>
      <c r="Q20" s="303"/>
      <c r="R20" s="335">
        <f t="shared" si="4"/>
        <v>3195495.64</v>
      </c>
      <c r="S20" s="335">
        <f t="shared" si="5"/>
        <v>17596.264000000003</v>
      </c>
      <c r="T20" s="336">
        <f t="shared" si="6"/>
        <v>3213091.904</v>
      </c>
      <c r="U20" s="339">
        <v>44409</v>
      </c>
      <c r="V20" s="340">
        <v>44500</v>
      </c>
      <c r="W20" s="419"/>
      <c r="X20" s="419"/>
      <c r="Y20" s="419"/>
    </row>
    <row r="21" ht="18" customHeight="1">
      <c r="A21" s="491" t="s">
        <v>24</v>
      </c>
      <c r="B21" s="239" t="s">
        <v>107</v>
      </c>
      <c r="C21" s="242" t="s">
        <v>108</v>
      </c>
      <c r="D21" s="247" t="s">
        <v>34</v>
      </c>
      <c r="E21" s="239" t="s">
        <v>86</v>
      </c>
      <c r="F21" s="239" t="s">
        <v>87</v>
      </c>
      <c r="G21" s="244">
        <v>1970000</v>
      </c>
      <c r="H21" s="244"/>
      <c r="I21" s="298">
        <f>+'PURWOKERTO AOP AGUSTUS - OK'!$G$4*4.89%</f>
        <v>96333</v>
      </c>
      <c r="J21" s="298">
        <f>+'PURWOKERTO AOP AGUSTUS - OK'!$G$4*4%</f>
        <v>78800</v>
      </c>
      <c r="K21" s="298">
        <f>+'PURWOKERTO AOP AGUSTUS - OK'!$G$4*2%</f>
        <v>39400</v>
      </c>
      <c r="L21" s="298">
        <v>15000</v>
      </c>
      <c r="M21" s="295">
        <f t="shared" si="2"/>
        <v>2199533</v>
      </c>
      <c r="N21" s="303">
        <f t="shared" si="3"/>
        <v>175962.64</v>
      </c>
      <c r="O21" s="296">
        <v>797500</v>
      </c>
      <c r="P21" s="303"/>
      <c r="Q21" s="303"/>
      <c r="R21" s="335">
        <f t="shared" si="4"/>
        <v>3172995.64</v>
      </c>
      <c r="S21" s="335">
        <f t="shared" si="5"/>
        <v>17596.264000000003</v>
      </c>
      <c r="T21" s="336">
        <f t="shared" si="6"/>
        <v>3190591.904</v>
      </c>
      <c r="U21" s="339">
        <v>44409</v>
      </c>
      <c r="V21" s="340">
        <v>44500</v>
      </c>
      <c r="W21" s="419"/>
      <c r="X21" s="419"/>
      <c r="Y21" s="419"/>
    </row>
    <row r="22" ht="18" customHeight="1">
      <c r="A22" s="491" t="s">
        <v>24</v>
      </c>
      <c r="B22" s="228" t="s">
        <v>109</v>
      </c>
      <c r="C22" s="231" t="s">
        <v>110</v>
      </c>
      <c r="D22" s="558" t="s">
        <v>34</v>
      </c>
      <c r="E22" s="228" t="s">
        <v>86</v>
      </c>
      <c r="F22" s="228" t="s">
        <v>87</v>
      </c>
      <c r="G22" s="244">
        <v>1970000</v>
      </c>
      <c r="H22" s="244"/>
      <c r="I22" s="293">
        <f>+'PURWOKERTO AOP AGUSTUS - OK'!$G$4*4.89%</f>
        <v>96333</v>
      </c>
      <c r="J22" s="293">
        <f>+'PURWOKERTO AOP AGUSTUS - OK'!$G$4*4%</f>
        <v>78800</v>
      </c>
      <c r="K22" s="293">
        <f>+'PURWOKERTO AOP AGUSTUS - OK'!$G$4*2%</f>
        <v>39400</v>
      </c>
      <c r="L22" s="293">
        <v>15000</v>
      </c>
      <c r="M22" s="295">
        <f t="shared" si="2"/>
        <v>2199533</v>
      </c>
      <c r="N22" s="296">
        <f t="shared" si="3"/>
        <v>175962.64</v>
      </c>
      <c r="O22" s="296">
        <v>755000</v>
      </c>
      <c r="P22" s="573"/>
      <c r="Q22" s="296"/>
      <c r="R22" s="328">
        <f t="shared" si="4"/>
        <v>3130495.64</v>
      </c>
      <c r="S22" s="328">
        <f t="shared" si="5"/>
        <v>17596.264000000003</v>
      </c>
      <c r="T22" s="329">
        <f t="shared" si="6"/>
        <v>3148091.904</v>
      </c>
      <c r="U22" s="579">
        <v>44348</v>
      </c>
      <c r="V22" s="580">
        <v>44439</v>
      </c>
      <c r="X22" s="419"/>
      <c r="Y22" s="419"/>
    </row>
    <row r="23" ht="18.75" customHeight="1">
      <c r="A23" s="491" t="s">
        <v>24</v>
      </c>
      <c r="B23" s="239" t="s">
        <v>111</v>
      </c>
      <c r="C23" s="242" t="s">
        <v>112</v>
      </c>
      <c r="D23" s="247" t="s">
        <v>34</v>
      </c>
      <c r="E23" s="239" t="s">
        <v>86</v>
      </c>
      <c r="F23" s="239" t="s">
        <v>87</v>
      </c>
      <c r="G23" s="244">
        <v>1970000</v>
      </c>
      <c r="H23" s="244"/>
      <c r="I23" s="298">
        <f>+'PURWOKERTO AOP AGUSTUS - OK'!$G$4*4.89%</f>
        <v>96333</v>
      </c>
      <c r="J23" s="298">
        <f>+'PURWOKERTO AOP AGUSTUS - OK'!$G$4*4%</f>
        <v>78800</v>
      </c>
      <c r="K23" s="298">
        <f>+'PURWOKERTO AOP AGUSTUS - OK'!$G$4*2%</f>
        <v>39400</v>
      </c>
      <c r="L23" s="298">
        <v>15000</v>
      </c>
      <c r="M23" s="295">
        <f t="shared" si="2"/>
        <v>2199533</v>
      </c>
      <c r="N23" s="303">
        <f t="shared" si="3"/>
        <v>175962.64</v>
      </c>
      <c r="O23" s="296">
        <v>627500</v>
      </c>
      <c r="P23" s="303"/>
      <c r="Q23" s="303"/>
      <c r="R23" s="335">
        <f t="shared" si="4"/>
        <v>3002995.64</v>
      </c>
      <c r="S23" s="335">
        <f t="shared" si="5"/>
        <v>17596.264000000003</v>
      </c>
      <c r="T23" s="336">
        <f t="shared" si="6"/>
        <v>3020591.904</v>
      </c>
      <c r="U23" s="339">
        <v>44409</v>
      </c>
      <c r="V23" s="340">
        <v>44500</v>
      </c>
      <c r="W23" s="419"/>
      <c r="X23" s="419"/>
      <c r="Y23" s="419"/>
    </row>
    <row r="24" ht="18" customHeight="1">
      <c r="A24" s="491" t="s">
        <v>24</v>
      </c>
      <c r="B24" s="239" t="s">
        <v>113</v>
      </c>
      <c r="C24" s="242" t="s">
        <v>114</v>
      </c>
      <c r="D24" s="247" t="s">
        <v>34</v>
      </c>
      <c r="E24" s="239" t="s">
        <v>86</v>
      </c>
      <c r="F24" s="239" t="s">
        <v>87</v>
      </c>
      <c r="G24" s="244">
        <v>1970000</v>
      </c>
      <c r="H24" s="244"/>
      <c r="I24" s="298">
        <f>+'PURWOKERTO AOP AGUSTUS - OK'!$G$4*4.89%</f>
        <v>96333</v>
      </c>
      <c r="J24" s="298">
        <f>+'PURWOKERTO AOP AGUSTUS - OK'!$G$4*4%</f>
        <v>78800</v>
      </c>
      <c r="K24" s="298">
        <f>+'PURWOKERTO AOP AGUSTUS - OK'!$G$4*2%</f>
        <v>39400</v>
      </c>
      <c r="L24" s="298">
        <v>15000</v>
      </c>
      <c r="M24" s="295">
        <f t="shared" si="2"/>
        <v>2199533</v>
      </c>
      <c r="N24" s="303">
        <f t="shared" si="3"/>
        <v>175962.64</v>
      </c>
      <c r="O24" s="296">
        <v>1285000</v>
      </c>
      <c r="P24" s="303"/>
      <c r="Q24" s="303"/>
      <c r="R24" s="335">
        <f t="shared" si="4"/>
        <v>3660495.64</v>
      </c>
      <c r="S24" s="335">
        <f t="shared" si="5"/>
        <v>17596.264000000003</v>
      </c>
      <c r="T24" s="336">
        <f t="shared" si="6"/>
        <v>3678091.904</v>
      </c>
      <c r="U24" s="339">
        <v>44409</v>
      </c>
      <c r="V24" s="340">
        <v>44500</v>
      </c>
      <c r="W24" s="419"/>
      <c r="X24" s="419"/>
      <c r="Y24" s="419"/>
    </row>
    <row r="25" ht="18" customHeight="1">
      <c r="A25" s="491" t="s">
        <v>24</v>
      </c>
      <c r="B25" s="441" t="s">
        <v>115</v>
      </c>
      <c r="C25" s="444" t="s">
        <v>116</v>
      </c>
      <c r="D25" s="559" t="s">
        <v>34</v>
      </c>
      <c r="E25" s="441" t="s">
        <v>86</v>
      </c>
      <c r="F25" s="441" t="s">
        <v>87</v>
      </c>
      <c r="G25" s="381">
        <v>1970000</v>
      </c>
      <c r="H25" s="381"/>
      <c r="I25" s="449">
        <f>+'PURWOKERTO AOP AGUSTUS - OK'!$G$4*4.89%</f>
        <v>96333</v>
      </c>
      <c r="J25" s="449">
        <f>+'PURWOKERTO AOP AGUSTUS - OK'!$G$4*4%</f>
        <v>78800</v>
      </c>
      <c r="K25" s="449">
        <f>+'PURWOKERTO AOP AGUSTUS - OK'!$G$4*2%</f>
        <v>39400</v>
      </c>
      <c r="L25" s="449">
        <v>15000</v>
      </c>
      <c r="M25" s="295">
        <f t="shared" si="2"/>
        <v>2199533</v>
      </c>
      <c r="N25" s="406">
        <f ref="N25:N27" t="shared" si="8">+M25*8%</f>
        <v>175962.64</v>
      </c>
      <c r="O25" s="406">
        <v>322500</v>
      </c>
      <c r="P25" s="574"/>
      <c r="Q25" s="406"/>
      <c r="R25" s="454">
        <f ref="R25:R27" t="shared" si="9">SUM(M25:Q25)</f>
        <v>2697995.64</v>
      </c>
      <c r="S25" s="454">
        <f ref="S25:S27" t="shared" si="10">N25*0.1</f>
        <v>17596.264000000003</v>
      </c>
      <c r="T25" s="455">
        <f ref="T25:T27" t="shared" si="11">R25+S25</f>
        <v>2715591.904</v>
      </c>
      <c r="U25" s="581">
        <v>44393</v>
      </c>
      <c r="V25" s="582">
        <v>44500</v>
      </c>
    </row>
    <row r="26" ht="18" customHeight="1">
      <c r="A26" s="491" t="s">
        <v>24</v>
      </c>
      <c r="B26" s="441">
        <v>2785</v>
      </c>
      <c r="C26" s="444" t="s">
        <v>117</v>
      </c>
      <c r="D26" s="559" t="s">
        <v>34</v>
      </c>
      <c r="E26" s="441" t="s">
        <v>86</v>
      </c>
      <c r="F26" s="441" t="s">
        <v>87</v>
      </c>
      <c r="G26" s="381">
        <f>1970000/31*14</f>
        <v>889677.419354839</v>
      </c>
      <c r="H26" s="381"/>
      <c r="I26" s="449">
        <f>+'PURWOKERTO AOP AGUSTUS - OK'!$G$4*4.89%</f>
        <v>96333</v>
      </c>
      <c r="J26" s="449">
        <f>+'PURWOKERTO AOP AGUSTUS - OK'!$G$4*4%</f>
        <v>78800</v>
      </c>
      <c r="K26" s="449">
        <f>+'PURWOKERTO AOP AGUSTUS - OK'!$G$4*2%</f>
        <v>39400</v>
      </c>
      <c r="L26" s="449">
        <v>15000</v>
      </c>
      <c r="M26" s="295">
        <f t="shared" si="2"/>
        <v>1119210.419354839</v>
      </c>
      <c r="N26" s="406">
        <f t="shared" si="8"/>
        <v>89536.83354838712</v>
      </c>
      <c r="O26" s="406"/>
      <c r="P26" s="574"/>
      <c r="Q26" s="406"/>
      <c r="R26" s="454">
        <f t="shared" si="9"/>
        <v>1208747.252903226</v>
      </c>
      <c r="S26" s="454">
        <f t="shared" si="10"/>
        <v>8953.683354838713</v>
      </c>
      <c r="T26" s="455">
        <f t="shared" si="11"/>
        <v>1217700.9362580648</v>
      </c>
      <c r="U26" s="581">
        <v>44410</v>
      </c>
      <c r="V26" s="582">
        <v>44500</v>
      </c>
    </row>
    <row r="27" ht="18" customHeight="1">
      <c r="A27" s="560" t="s">
        <v>30</v>
      </c>
      <c r="B27" s="1937"/>
      <c r="C27" s="561" t="s">
        <v>118</v>
      </c>
      <c r="D27" s="562" t="s">
        <v>34</v>
      </c>
      <c r="E27" s="563" t="s">
        <v>119</v>
      </c>
      <c r="F27" s="564" t="s">
        <v>87</v>
      </c>
      <c r="G27" s="565">
        <f>1970000/31*15</f>
        <v>953225.806451613</v>
      </c>
      <c r="H27" s="566"/>
      <c r="I27" s="518"/>
      <c r="J27" s="518"/>
      <c r="K27" s="518"/>
      <c r="L27" s="518"/>
      <c r="M27" s="295">
        <f t="shared" si="2"/>
        <v>953225.806451613</v>
      </c>
      <c r="N27" s="521">
        <f t="shared" si="8"/>
        <v>76258.06451612904</v>
      </c>
      <c r="O27" s="521">
        <v>1365000</v>
      </c>
      <c r="P27" s="521"/>
      <c r="Q27" s="521"/>
      <c r="R27" s="583">
        <f t="shared" si="9"/>
        <v>2394483.870967742</v>
      </c>
      <c r="S27" s="583">
        <f t="shared" si="10"/>
        <v>7625.806451612905</v>
      </c>
      <c r="T27" s="584">
        <f t="shared" si="11"/>
        <v>2402109.677419355</v>
      </c>
      <c r="U27" s="545">
        <v>44348</v>
      </c>
      <c r="V27" s="585">
        <v>44408</v>
      </c>
      <c r="W27" s="586" t="s">
        <v>120</v>
      </c>
    </row>
    <row r="28" ht="18" customHeight="1">
      <c r="A28" s="1773" t="s">
        <v>30</v>
      </c>
      <c r="B28" s="1938"/>
      <c r="C28" s="1773"/>
      <c r="D28" s="1773"/>
      <c r="E28" s="1773"/>
      <c r="F28" s="1773"/>
      <c r="G28" s="567">
        <f>SUM(G12:G27)</f>
        <v>29422903.2258064</v>
      </c>
      <c r="H28" s="567">
        <f ref="H28:T28" t="shared" si="12">SUM(H12:H27)</f>
        <v>0</v>
      </c>
      <c r="I28" s="567">
        <f t="shared" si="12"/>
        <v>1444995</v>
      </c>
      <c r="J28" s="567">
        <f t="shared" si="12"/>
        <v>1182000</v>
      </c>
      <c r="K28" s="567">
        <f t="shared" si="12"/>
        <v>591000</v>
      </c>
      <c r="L28" s="567">
        <f t="shared" si="12"/>
        <v>225000</v>
      </c>
      <c r="M28" s="567">
        <f t="shared" si="12"/>
        <v>32865898.22580645</v>
      </c>
      <c r="N28" s="567">
        <f t="shared" si="12"/>
        <v>2629271.858064517</v>
      </c>
      <c r="O28" s="567">
        <f t="shared" si="12"/>
        <v>11450000</v>
      </c>
      <c r="P28" s="567">
        <f t="shared" si="12"/>
        <v>0</v>
      </c>
      <c r="Q28" s="567">
        <f t="shared" si="12"/>
        <v>200000</v>
      </c>
      <c r="R28" s="567">
        <f t="shared" si="12"/>
        <v>47145170.08387096</v>
      </c>
      <c r="S28" s="567">
        <f t="shared" si="12"/>
        <v>262927.1858064516</v>
      </c>
      <c r="T28" s="567">
        <f t="shared" si="12"/>
        <v>47408097.269677415</v>
      </c>
      <c r="U28" s="567"/>
      <c r="V28" s="567"/>
    </row>
    <row r="29">
      <c r="A29" s="0" t="s">
        <v>30</v>
      </c>
      <c r="B29" s="1910"/>
      <c r="C29" s="209"/>
      <c r="D29" s="208"/>
      <c r="E29" s="208"/>
      <c r="F29" s="208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316"/>
      <c r="V29" s="317"/>
    </row>
    <row r="30" ht="18" customHeight="1">
      <c r="A30" s="1773" t="s">
        <v>30</v>
      </c>
      <c r="B30" s="1938"/>
      <c r="C30" s="1773"/>
      <c r="D30" s="1773"/>
      <c r="E30" s="1773"/>
      <c r="F30" s="1773"/>
      <c r="G30" s="567">
        <f ref="G30:T30" t="shared" si="13">SUM(G8,G28)</f>
        <v>31392903.2258064</v>
      </c>
      <c r="H30" s="567">
        <f t="shared" si="13"/>
        <v>0</v>
      </c>
      <c r="I30" s="567">
        <f t="shared" si="13"/>
        <v>1541328</v>
      </c>
      <c r="J30" s="567">
        <f t="shared" si="13"/>
        <v>1260800</v>
      </c>
      <c r="K30" s="567">
        <f t="shared" si="13"/>
        <v>630400</v>
      </c>
      <c r="L30" s="567">
        <f t="shared" si="13"/>
        <v>226667</v>
      </c>
      <c r="M30" s="567">
        <f t="shared" si="13"/>
        <v>35052098.225806445</v>
      </c>
      <c r="N30" s="567">
        <f t="shared" si="13"/>
        <v>2804167.858064517</v>
      </c>
      <c r="O30" s="567">
        <f t="shared" si="13"/>
        <v>11950000</v>
      </c>
      <c r="P30" s="567">
        <f t="shared" si="13"/>
        <v>100000</v>
      </c>
      <c r="Q30" s="567">
        <f t="shared" si="13"/>
        <v>524000</v>
      </c>
      <c r="R30" s="567">
        <f t="shared" si="13"/>
        <v>50430266.08387096</v>
      </c>
      <c r="S30" s="567">
        <f t="shared" si="13"/>
        <v>280416.7858064516</v>
      </c>
      <c r="T30" s="567">
        <f t="shared" si="13"/>
        <v>50710682.86967742</v>
      </c>
      <c r="U30" s="567"/>
      <c r="V30" s="567"/>
    </row>
    <row r="31">
      <c r="A31" s="0" t="s">
        <v>30</v>
      </c>
      <c r="B31" s="1910"/>
      <c r="D31" s="262"/>
      <c r="E31" s="263"/>
      <c r="F31" s="264"/>
      <c r="G31" s="210"/>
      <c r="H31" s="2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48"/>
      <c r="V31" s="317"/>
    </row>
    <row r="32">
      <c r="A32" s="0" t="s">
        <v>30</v>
      </c>
      <c r="B32" s="1869"/>
      <c r="C32" s="264" t="str">
        <f>+'MALANG BAT AGUSTUS - OK'!C26</f>
        <v>Karawang, 16 Agustus 2021</v>
      </c>
      <c r="D32" s="270"/>
      <c r="E32" s="270"/>
      <c r="F32" s="270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317"/>
    </row>
    <row r="33">
      <c r="A33" s="0" t="s">
        <v>30</v>
      </c>
      <c r="B33" s="1870"/>
      <c r="D33" s="263"/>
      <c r="E33" s="264"/>
      <c r="F33" s="264"/>
      <c r="G33" s="210"/>
      <c r="H33" s="210"/>
      <c r="I33" s="270"/>
      <c r="J33" s="270"/>
      <c r="K33" s="270"/>
      <c r="L33" s="270"/>
      <c r="M33" s="263" t="s">
        <v>39</v>
      </c>
      <c r="N33" s="310"/>
      <c r="O33" s="310"/>
      <c r="P33" s="310"/>
      <c r="Q33" s="310"/>
      <c r="R33" s="270"/>
      <c r="S33" s="270"/>
      <c r="T33" s="310"/>
      <c r="U33" s="348"/>
      <c r="V33" s="317"/>
    </row>
    <row r="34">
      <c r="A34" s="0" t="s">
        <v>30</v>
      </c>
      <c r="B34" s="1869"/>
      <c r="C34" s="264" t="s">
        <v>38</v>
      </c>
      <c r="D34" s="274"/>
      <c r="E34" s="264"/>
      <c r="F34" s="264"/>
      <c r="G34" s="275"/>
      <c r="H34" s="275"/>
      <c r="I34" s="262"/>
      <c r="J34" s="262"/>
      <c r="K34" s="262"/>
      <c r="L34" s="312"/>
      <c r="N34" s="313"/>
      <c r="R34" s="349"/>
      <c r="S34" s="270"/>
      <c r="T34" s="313"/>
      <c r="U34" s="348"/>
      <c r="V34" s="348"/>
    </row>
    <row r="35">
      <c r="A35" s="0" t="s">
        <v>30</v>
      </c>
      <c r="B35" s="1871"/>
      <c r="C35" s="446"/>
      <c r="D35" s="209"/>
      <c r="E35" s="208"/>
      <c r="F35" s="208"/>
      <c r="G35" s="275"/>
      <c r="H35" s="275"/>
      <c r="I35" s="262"/>
      <c r="J35" s="315"/>
      <c r="K35" s="262"/>
      <c r="L35" s="312"/>
      <c r="M35" s="262"/>
      <c r="N35" s="270"/>
      <c r="O35" s="270"/>
      <c r="P35" s="270"/>
      <c r="Q35" s="270"/>
      <c r="R35" s="349"/>
      <c r="S35" s="270"/>
      <c r="T35" s="270"/>
      <c r="U35" s="348"/>
      <c r="V35" s="348"/>
    </row>
    <row r="36">
      <c r="A36" s="0" t="s">
        <v>30</v>
      </c>
      <c r="B36" s="1871"/>
      <c r="C36" s="446"/>
      <c r="D36" s="209"/>
      <c r="E36" s="208"/>
      <c r="F36" s="208"/>
      <c r="G36" s="210"/>
      <c r="H36" s="210"/>
      <c r="I36" s="210"/>
      <c r="J36" s="270"/>
      <c r="K36" s="270"/>
      <c r="L36" s="310"/>
      <c r="M36" s="270"/>
      <c r="N36" s="270"/>
      <c r="O36" s="270"/>
      <c r="P36" s="270"/>
      <c r="Q36" s="270"/>
      <c r="R36" s="208"/>
      <c r="S36" s="270"/>
      <c r="T36" s="270"/>
      <c r="U36" s="348"/>
      <c r="V36" s="348"/>
    </row>
    <row r="37">
      <c r="A37" s="0" t="s">
        <v>30</v>
      </c>
      <c r="B37" s="1869"/>
      <c r="C37" s="445"/>
      <c r="D37" s="274"/>
      <c r="E37" s="264"/>
      <c r="F37" s="264"/>
      <c r="G37" s="275"/>
      <c r="H37" s="275"/>
      <c r="I37" s="275"/>
      <c r="J37" s="262"/>
      <c r="K37" s="262"/>
      <c r="L37" s="312"/>
      <c r="M37" s="262"/>
      <c r="N37" s="262"/>
      <c r="O37" s="262"/>
      <c r="P37" s="262"/>
      <c r="Q37" s="262"/>
      <c r="R37" s="264"/>
      <c r="S37" s="270"/>
      <c r="T37" s="270"/>
      <c r="U37" s="348"/>
      <c r="V37" s="348"/>
    </row>
    <row r="38">
      <c r="A38" s="0" t="s">
        <v>30</v>
      </c>
      <c r="B38" s="1870"/>
      <c r="C38" s="264"/>
      <c r="D38" s="264"/>
      <c r="E38" s="264"/>
      <c r="F38" s="264"/>
      <c r="G38" s="275"/>
      <c r="H38" s="275"/>
      <c r="I38" s="275"/>
      <c r="J38" s="262"/>
      <c r="K38" s="262"/>
      <c r="L38" s="312"/>
      <c r="M38" s="262"/>
      <c r="N38" s="262"/>
      <c r="O38" s="262"/>
      <c r="P38" s="262"/>
      <c r="Q38" s="262"/>
      <c r="R38" s="264"/>
      <c r="S38" s="208"/>
      <c r="T38" s="270"/>
      <c r="U38" s="348"/>
      <c r="V38" s="348"/>
    </row>
    <row r="39">
      <c r="A39" s="0" t="s">
        <v>30</v>
      </c>
      <c r="B39" s="1870"/>
      <c r="C39" s="264"/>
      <c r="D39" s="264"/>
      <c r="E39" s="264"/>
      <c r="F39" s="264"/>
      <c r="G39" s="275"/>
      <c r="H39" s="275"/>
      <c r="I39" s="275"/>
      <c r="J39" s="262"/>
      <c r="K39" s="262"/>
      <c r="L39" s="312"/>
      <c r="M39" s="262"/>
      <c r="N39" s="262"/>
      <c r="O39" s="262"/>
      <c r="P39" s="262"/>
      <c r="Q39" s="262"/>
      <c r="R39" s="264"/>
      <c r="S39" s="270"/>
      <c r="U39" s="348"/>
      <c r="V39" s="348"/>
    </row>
    <row r="40">
      <c r="A40" s="0" t="s">
        <v>30</v>
      </c>
      <c r="B40" s="1870"/>
      <c r="C40" s="264" t="s">
        <v>40</v>
      </c>
      <c r="D40" s="568"/>
      <c r="E40" s="264"/>
      <c r="F40" s="264"/>
      <c r="G40" s="275"/>
      <c r="H40" s="275"/>
      <c r="I40" s="275"/>
      <c r="J40" s="312" t="s">
        <v>41</v>
      </c>
      <c r="K40" s="263"/>
      <c r="L40" s="263"/>
      <c r="M40" s="263" t="s">
        <v>42</v>
      </c>
      <c r="O40" s="264" t="s">
        <v>43</v>
      </c>
      <c r="P40" s="264"/>
      <c r="Q40" s="263"/>
      <c r="U40" s="350"/>
      <c r="V40" s="350"/>
    </row>
    <row r="41">
      <c r="A41" s="263" t="s">
        <v>30</v>
      </c>
      <c r="B41" s="1868"/>
      <c r="C41" s="274"/>
      <c r="D41" s="264"/>
      <c r="E41" s="264"/>
      <c r="F41" s="279"/>
      <c r="G41" s="275"/>
      <c r="H41" s="275"/>
      <c r="I41" s="263"/>
      <c r="J41" s="263"/>
      <c r="K41" s="263"/>
      <c r="L41" s="263"/>
      <c r="M41" s="275"/>
      <c r="N41" s="263"/>
      <c r="O41" s="263"/>
      <c r="P41" s="263"/>
      <c r="Q41" s="263"/>
      <c r="R41" s="263"/>
      <c r="U41" s="350"/>
      <c r="V41" s="350"/>
    </row>
    <row r="42">
      <c r="A42" s="263" t="s">
        <v>30</v>
      </c>
      <c r="B42" s="1868"/>
      <c r="C42" s="274"/>
      <c r="D42" s="264"/>
      <c r="E42" s="264"/>
      <c r="F42" s="279"/>
      <c r="G42" s="275"/>
      <c r="H42" s="275"/>
      <c r="I42" s="263"/>
      <c r="J42" s="263"/>
      <c r="K42" s="263"/>
      <c r="L42" s="263"/>
      <c r="M42" s="275"/>
      <c r="N42" s="263"/>
      <c r="O42" s="263"/>
      <c r="P42" s="263"/>
      <c r="Q42" s="263"/>
      <c r="R42" s="263"/>
      <c r="U42" s="350"/>
      <c r="V42" s="350"/>
    </row>
  </sheetData>
  <mergeCells>
    <mergeCell ref="A28:F28"/>
    <mergeCell ref="A30:F30"/>
  </mergeCells>
  <printOptions horizontalCentered="1"/>
  <pageMargins left="0" right="0" top="0.75" bottom="0.75" header="0.3" footer="0.3"/>
  <pageSetup scale="70" orientation="landscape"/>
  <headerFooter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Y78"/>
  <sheetViews>
    <sheetView zoomScale="80" zoomScaleNormal="80" workbookViewId="0">
      <pane xSplit="7" ySplit="6" topLeftCell="H46" activePane="bottomRight" state="frozen"/>
      <selection activeCell="O25" sqref="O25"/>
      <selection pane="topRight" activeCell="O25" sqref="O25"/>
      <selection pane="bottomLeft" activeCell="O25" sqref="O25"/>
      <selection pane="bottomRight" activeCell="O25" sqref="O25"/>
    </sheetView>
  </sheetViews>
  <sheetFormatPr defaultColWidth="9.140625" defaultRowHeight="15"/>
  <cols>
    <col min="1" max="1" width="6.140625" customWidth="1"/>
    <col min="2" max="2" width="5.42578125" customWidth="1"/>
    <col min="3" max="3" width="23.85546875" customWidth="1"/>
    <col min="4" max="4" width="12.28515625" customWidth="1"/>
    <col min="5" max="5" width="13" customWidth="1"/>
    <col min="6" max="6" width="10.5703125" customWidth="1"/>
    <col min="7" max="7" width="12.7109375" customWidth="1"/>
    <col min="8" max="8" width="10.140625" customWidth="1"/>
    <col min="9" max="9" width="11.5703125" customWidth="1"/>
    <col min="10" max="10" width="12.140625" customWidth="1"/>
    <col min="11" max="11" width="10.85546875" customWidth="1"/>
    <col min="12" max="12" width="10.7109375" customWidth="1"/>
    <col min="13" max="13" width="12.7109375" customWidth="1"/>
    <col min="14" max="14" width="12.42578125" customWidth="1"/>
    <col min="15" max="15" width="9.85546875" customWidth="1"/>
    <col min="16" max="16" width="9.5703125" customWidth="1"/>
    <col min="17" max="17" width="10" customWidth="1"/>
    <col min="18" max="18" width="12.7109375" customWidth="1"/>
    <col min="19" max="19" width="10" customWidth="1"/>
    <col min="20" max="20" width="12.85546875" customWidth="1"/>
    <col min="21" max="21" width="8.7109375" customWidth="1"/>
    <col min="22" max="22" width="8.42578125" customWidth="1"/>
    <col min="23" max="23" width="17.28515625" customWidth="1"/>
    <col min="24" max="25" width="11" customWidth="1"/>
  </cols>
  <sheetData>
    <row r="1">
      <c r="A1" s="436" t="s">
        <v>0</v>
      </c>
      <c r="D1" s="353"/>
      <c r="E1" s="353"/>
      <c r="F1" s="353"/>
      <c r="M1" s="391"/>
      <c r="V1" s="317"/>
    </row>
    <row r="2">
      <c r="A2" s="436" t="s">
        <v>1080</v>
      </c>
      <c r="B2" s="265"/>
      <c r="C2" s="354"/>
      <c r="D2" s="265"/>
      <c r="E2" s="265"/>
      <c r="F2" s="265"/>
      <c r="G2" s="355"/>
      <c r="H2" s="392"/>
      <c r="I2" s="392"/>
      <c r="J2" s="392"/>
      <c r="K2" s="392"/>
      <c r="L2" s="392"/>
      <c r="M2" s="355"/>
      <c r="N2" s="355"/>
      <c r="O2" s="355"/>
      <c r="P2" s="355"/>
      <c r="Q2" s="355"/>
      <c r="R2" s="392"/>
      <c r="S2" s="392"/>
      <c r="T2" s="392"/>
      <c r="U2" s="318"/>
      <c r="V2" s="318"/>
    </row>
    <row r="3">
      <c r="A3" s="436" t="str">
        <f>+'MALANG BAT AGUSTUS - OK'!A3</f>
        <v>Periode Bulan Agustus  2021</v>
      </c>
      <c r="D3" s="353"/>
      <c r="E3" s="353"/>
      <c r="F3" s="353"/>
      <c r="G3" s="356"/>
      <c r="H3" s="393"/>
      <c r="I3" s="393"/>
      <c r="M3" s="391"/>
      <c r="V3" s="317"/>
    </row>
    <row r="4">
      <c r="A4" s="352"/>
      <c r="D4" s="353"/>
      <c r="E4" s="353"/>
      <c r="F4" s="353"/>
      <c r="G4" s="357">
        <v>2069530</v>
      </c>
      <c r="H4" s="393"/>
      <c r="I4" s="393"/>
      <c r="M4" s="391"/>
      <c r="O4" s="394">
        <v>25000</v>
      </c>
      <c r="V4" s="317"/>
    </row>
    <row r="5">
      <c r="A5" s="352"/>
      <c r="D5" s="353"/>
      <c r="E5" s="353"/>
      <c r="F5" s="353"/>
      <c r="G5" s="357"/>
      <c r="H5" s="393"/>
      <c r="I5" s="393"/>
      <c r="M5" s="391"/>
      <c r="O5" s="394"/>
      <c r="V5" s="317"/>
    </row>
    <row r="6" ht="24" customHeight="1">
      <c r="A6" s="463" t="s">
        <v>2</v>
      </c>
      <c r="B6" s="464" t="s">
        <v>3</v>
      </c>
      <c r="C6" s="464" t="s">
        <v>4</v>
      </c>
      <c r="D6" s="464" t="s">
        <v>5</v>
      </c>
      <c r="E6" s="464" t="s">
        <v>6</v>
      </c>
      <c r="F6" s="465" t="s">
        <v>7</v>
      </c>
      <c r="G6" s="466" t="s">
        <v>8</v>
      </c>
      <c r="H6" s="219" t="s">
        <v>9</v>
      </c>
      <c r="I6" s="467" t="s">
        <v>10</v>
      </c>
      <c r="J6" s="477" t="s">
        <v>11</v>
      </c>
      <c r="K6" s="477" t="s">
        <v>12</v>
      </c>
      <c r="L6" s="477" t="s">
        <v>13</v>
      </c>
      <c r="M6" s="478" t="s">
        <v>14</v>
      </c>
      <c r="N6" s="286" t="s">
        <v>15</v>
      </c>
      <c r="O6" s="286" t="s">
        <v>32</v>
      </c>
      <c r="P6" s="286" t="s">
        <v>17</v>
      </c>
      <c r="Q6" s="286" t="s">
        <v>18</v>
      </c>
      <c r="R6" s="483" t="s">
        <v>19</v>
      </c>
      <c r="S6" s="484" t="s">
        <v>20</v>
      </c>
      <c r="T6" s="484" t="s">
        <v>21</v>
      </c>
      <c r="U6" s="485" t="s">
        <v>22</v>
      </c>
      <c r="V6" s="486" t="s">
        <v>23</v>
      </c>
    </row>
    <row r="7" ht="18.75" customHeight="1">
      <c r="A7" s="491" t="s">
        <v>24</v>
      </c>
      <c r="B7" s="239" t="s">
        <v>1081</v>
      </c>
      <c r="C7" s="240" t="s">
        <v>367</v>
      </c>
      <c r="D7" s="239" t="s">
        <v>26</v>
      </c>
      <c r="E7" s="240" t="s">
        <v>170</v>
      </c>
      <c r="F7" s="240" t="s">
        <v>87</v>
      </c>
      <c r="G7" s="244">
        <v>2069530</v>
      </c>
      <c r="H7" s="492"/>
      <c r="I7" s="508">
        <f>+$G$4*4.89%</f>
        <v>101200.017</v>
      </c>
      <c r="J7" s="508">
        <f>+$G$4*4%</f>
        <v>82781.2</v>
      </c>
      <c r="K7" s="508">
        <f>+$G$4*2%</f>
        <v>41390.6</v>
      </c>
      <c r="L7" s="508">
        <v>1667</v>
      </c>
      <c r="M7" s="295">
        <f ref="M7:M8" t="shared" si="0">SUM(G7,I7:L7)-H7</f>
        <v>2296568.817</v>
      </c>
      <c r="N7" s="509">
        <f>+M7*8%</f>
        <v>183725.50536</v>
      </c>
      <c r="O7" s="304">
        <f>500000+50000</f>
        <v>550000</v>
      </c>
      <c r="P7" s="304">
        <v>100000</v>
      </c>
      <c r="Q7" s="300">
        <f>31*12000</f>
        <v>372000</v>
      </c>
      <c r="R7" s="523">
        <f>SUM(M7:Q7)</f>
        <v>3502294.32236</v>
      </c>
      <c r="S7" s="524">
        <f>N7*0.1</f>
        <v>18372.550536</v>
      </c>
      <c r="T7" s="525">
        <f>R7+S7</f>
        <v>3520666.872896</v>
      </c>
      <c r="U7" s="526">
        <v>44348</v>
      </c>
      <c r="V7" s="527">
        <v>44439</v>
      </c>
      <c r="W7" s="490"/>
      <c r="X7" s="490"/>
      <c r="Y7" s="490"/>
    </row>
    <row r="8" ht="18.75" customHeight="1">
      <c r="A8" s="491" t="s">
        <v>24</v>
      </c>
      <c r="B8" s="239" t="s">
        <v>1082</v>
      </c>
      <c r="C8" s="240" t="s">
        <v>265</v>
      </c>
      <c r="D8" s="239" t="s">
        <v>26</v>
      </c>
      <c r="E8" s="240" t="s">
        <v>170</v>
      </c>
      <c r="F8" s="240" t="s">
        <v>87</v>
      </c>
      <c r="G8" s="244">
        <v>2069530</v>
      </c>
      <c r="H8" s="493"/>
      <c r="I8" s="304">
        <f>+$G$4*4.89%</f>
        <v>101200.017</v>
      </c>
      <c r="J8" s="304">
        <f>+$G$4*4%</f>
        <v>82781.2</v>
      </c>
      <c r="K8" s="304">
        <f>+$G$4*2%</f>
        <v>41390.6</v>
      </c>
      <c r="L8" s="304">
        <v>1667</v>
      </c>
      <c r="M8" s="295">
        <f t="shared" si="0"/>
        <v>2296568.817</v>
      </c>
      <c r="N8" s="510">
        <f>+M8*8%</f>
        <v>183725.50536</v>
      </c>
      <c r="O8" s="304">
        <f>500000+25000</f>
        <v>525000</v>
      </c>
      <c r="P8" s="304">
        <v>100000</v>
      </c>
      <c r="Q8" s="300">
        <f>26*12000</f>
        <v>312000</v>
      </c>
      <c r="R8" s="528">
        <f>SUM(M8:Q8)</f>
        <v>3417294.32236</v>
      </c>
      <c r="S8" s="300">
        <f>N8*0.1</f>
        <v>18372.550536</v>
      </c>
      <c r="T8" s="416">
        <f>R8+S8</f>
        <v>3435666.872896</v>
      </c>
      <c r="U8" s="339">
        <v>44378</v>
      </c>
      <c r="V8" s="340">
        <v>44469</v>
      </c>
      <c r="W8" s="490"/>
      <c r="X8" s="490"/>
      <c r="Y8" s="490"/>
    </row>
    <row r="9" ht="18.75" customHeight="1">
      <c r="A9" s="473" t="s">
        <v>30</v>
      </c>
      <c r="B9" s="1939"/>
      <c r="C9" s="494"/>
      <c r="D9" s="494"/>
      <c r="E9" s="494"/>
      <c r="F9" s="494"/>
      <c r="G9" s="476">
        <f>SUM(G7:G8)</f>
        <v>4139060</v>
      </c>
      <c r="H9" s="476">
        <f ref="H9:T9" t="shared" si="1">SUM(H7:H8)</f>
        <v>0</v>
      </c>
      <c r="I9" s="476">
        <f t="shared" si="1"/>
        <v>202400.034</v>
      </c>
      <c r="J9" s="476">
        <f t="shared" si="1"/>
        <v>165562.4</v>
      </c>
      <c r="K9" s="476">
        <f t="shared" si="1"/>
        <v>82781.2</v>
      </c>
      <c r="L9" s="476">
        <f t="shared" si="1"/>
        <v>3334</v>
      </c>
      <c r="M9" s="476">
        <f t="shared" si="1"/>
        <v>4593137.634</v>
      </c>
      <c r="N9" s="476">
        <f t="shared" si="1"/>
        <v>367451.01072</v>
      </c>
      <c r="O9" s="476">
        <f t="shared" si="1"/>
        <v>1075000</v>
      </c>
      <c r="P9" s="476">
        <f t="shared" si="1"/>
        <v>200000</v>
      </c>
      <c r="Q9" s="476">
        <f t="shared" si="1"/>
        <v>684000</v>
      </c>
      <c r="R9" s="476">
        <f t="shared" si="1"/>
        <v>6919588.64472</v>
      </c>
      <c r="S9" s="476">
        <f t="shared" si="1"/>
        <v>36745.101072</v>
      </c>
      <c r="T9" s="476">
        <f t="shared" si="1"/>
        <v>6956333.745792</v>
      </c>
      <c r="U9" s="386"/>
      <c r="V9" s="435"/>
    </row>
    <row r="10">
      <c r="A10" s="0" t="s">
        <v>30</v>
      </c>
      <c r="B10" s="1861"/>
      <c r="C10" s="209"/>
      <c r="D10" s="208"/>
      <c r="E10" s="208"/>
      <c r="F10" s="208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V10" s="317"/>
    </row>
    <row r="11" ht="25.5" customHeight="1">
      <c r="A11" s="215" t="s">
        <v>31</v>
      </c>
      <c r="B11" s="1908" t="s">
        <v>3</v>
      </c>
      <c r="C11" s="216" t="s">
        <v>4</v>
      </c>
      <c r="D11" s="216" t="s">
        <v>5</v>
      </c>
      <c r="E11" s="216" t="s">
        <v>6</v>
      </c>
      <c r="F11" s="217" t="s">
        <v>7</v>
      </c>
      <c r="G11" s="218" t="s">
        <v>8</v>
      </c>
      <c r="H11" s="219" t="s">
        <v>9</v>
      </c>
      <c r="I11" s="282" t="s">
        <v>10</v>
      </c>
      <c r="J11" s="283" t="s">
        <v>11</v>
      </c>
      <c r="K11" s="283" t="s">
        <v>12</v>
      </c>
      <c r="L11" s="283" t="s">
        <v>13</v>
      </c>
      <c r="M11" s="284" t="s">
        <v>14</v>
      </c>
      <c r="N11" s="285" t="s">
        <v>15</v>
      </c>
      <c r="O11" s="285" t="s">
        <v>32</v>
      </c>
      <c r="P11" s="286" t="s">
        <v>17</v>
      </c>
      <c r="Q11" s="285" t="s">
        <v>18</v>
      </c>
      <c r="R11" s="319" t="s">
        <v>19</v>
      </c>
      <c r="S11" s="320" t="s">
        <v>20</v>
      </c>
      <c r="T11" s="320" t="s">
        <v>21</v>
      </c>
      <c r="U11" s="321" t="s">
        <v>22</v>
      </c>
      <c r="V11" s="322" t="s">
        <v>23</v>
      </c>
    </row>
    <row r="12" ht="18.75" customHeight="1">
      <c r="A12" s="238" t="s">
        <v>24</v>
      </c>
      <c r="B12" s="239" t="s">
        <v>1083</v>
      </c>
      <c r="C12" s="242" t="s">
        <v>1084</v>
      </c>
      <c r="D12" s="247" t="s">
        <v>34</v>
      </c>
      <c r="E12" s="242" t="s">
        <v>170</v>
      </c>
      <c r="F12" s="242" t="s">
        <v>87</v>
      </c>
      <c r="G12" s="495">
        <v>2069530</v>
      </c>
      <c r="H12" s="304"/>
      <c r="I12" s="304">
        <f ref="I12:I40" t="shared" si="2">+$G$4*4.89%</f>
        <v>101200.017</v>
      </c>
      <c r="J12" s="304">
        <f ref="J12:J40" t="shared" si="3">+$G$4*4%</f>
        <v>82781.2</v>
      </c>
      <c r="K12" s="304">
        <f ref="K12:K40" t="shared" si="4">+$G$4*2%</f>
        <v>41390.6</v>
      </c>
      <c r="L12" s="298">
        <v>15000</v>
      </c>
      <c r="M12" s="295">
        <f ref="M12:M40" t="shared" si="5">SUM(G12,I12:L12)-H12</f>
        <v>2309901.817</v>
      </c>
      <c r="N12" s="303">
        <f ref="N12:N40" t="shared" si="6">+M12*8%</f>
        <v>184792.14536</v>
      </c>
      <c r="O12" s="300">
        <v>735000</v>
      </c>
      <c r="P12" s="303"/>
      <c r="Q12" s="303"/>
      <c r="R12" s="300">
        <f ref="R12:R40" t="shared" si="7">SUM(M12:Q12)</f>
        <v>3229693.96236</v>
      </c>
      <c r="S12" s="300">
        <f ref="S12:S40" t="shared" si="8">N12*0.1</f>
        <v>18479.214536</v>
      </c>
      <c r="T12" s="416">
        <f ref="T12:T40" t="shared" si="9">R12+S12</f>
        <v>3248173.176896</v>
      </c>
      <c r="U12" s="339">
        <v>44378</v>
      </c>
      <c r="V12" s="340">
        <v>44469</v>
      </c>
      <c r="W12" s="529"/>
      <c r="X12" s="490"/>
      <c r="Y12" s="490"/>
    </row>
    <row r="13" ht="18.75" customHeight="1">
      <c r="A13" s="238" t="s">
        <v>24</v>
      </c>
      <c r="B13" s="239" t="s">
        <v>1085</v>
      </c>
      <c r="C13" s="242" t="s">
        <v>1086</v>
      </c>
      <c r="D13" s="247" t="s">
        <v>34</v>
      </c>
      <c r="E13" s="242" t="s">
        <v>170</v>
      </c>
      <c r="F13" s="242" t="s">
        <v>87</v>
      </c>
      <c r="G13" s="495">
        <v>2069530</v>
      </c>
      <c r="H13" s="304"/>
      <c r="I13" s="304">
        <f t="shared" si="2"/>
        <v>101200.017</v>
      </c>
      <c r="J13" s="304">
        <f t="shared" si="3"/>
        <v>82781.2</v>
      </c>
      <c r="K13" s="304">
        <f t="shared" si="4"/>
        <v>41390.6</v>
      </c>
      <c r="L13" s="298">
        <v>15000</v>
      </c>
      <c r="M13" s="295">
        <f t="shared" si="5"/>
        <v>2309901.817</v>
      </c>
      <c r="N13" s="303">
        <f t="shared" si="6"/>
        <v>184792.14536</v>
      </c>
      <c r="O13" s="300">
        <v>872500</v>
      </c>
      <c r="P13" s="303"/>
      <c r="Q13" s="303"/>
      <c r="R13" s="300">
        <f t="shared" si="7"/>
        <v>3367193.96236</v>
      </c>
      <c r="S13" s="300">
        <f t="shared" si="8"/>
        <v>18479.214536</v>
      </c>
      <c r="T13" s="416">
        <f t="shared" si="9"/>
        <v>3385673.176896</v>
      </c>
      <c r="U13" s="339">
        <v>44346</v>
      </c>
      <c r="V13" s="340">
        <v>44439</v>
      </c>
      <c r="W13" s="529"/>
      <c r="X13" s="490"/>
      <c r="Y13" s="490"/>
    </row>
    <row r="14" ht="18.75" customHeight="1">
      <c r="A14" s="238" t="s">
        <v>24</v>
      </c>
      <c r="B14" s="239" t="s">
        <v>1087</v>
      </c>
      <c r="C14" s="242" t="s">
        <v>211</v>
      </c>
      <c r="D14" s="247" t="s">
        <v>34</v>
      </c>
      <c r="E14" s="242" t="s">
        <v>170</v>
      </c>
      <c r="F14" s="242" t="s">
        <v>87</v>
      </c>
      <c r="G14" s="495">
        <v>2069530</v>
      </c>
      <c r="H14" s="304"/>
      <c r="I14" s="304">
        <f t="shared" si="2"/>
        <v>101200.017</v>
      </c>
      <c r="J14" s="304">
        <f t="shared" si="3"/>
        <v>82781.2</v>
      </c>
      <c r="K14" s="304">
        <f t="shared" si="4"/>
        <v>41390.6</v>
      </c>
      <c r="L14" s="304">
        <v>15000</v>
      </c>
      <c r="M14" s="295">
        <f t="shared" si="5"/>
        <v>2309901.817</v>
      </c>
      <c r="N14" s="300">
        <f t="shared" si="6"/>
        <v>184792.14536</v>
      </c>
      <c r="O14" s="300">
        <v>892500</v>
      </c>
      <c r="P14" s="300"/>
      <c r="Q14" s="300"/>
      <c r="R14" s="300">
        <f t="shared" si="7"/>
        <v>3387193.96236</v>
      </c>
      <c r="S14" s="300">
        <f t="shared" si="8"/>
        <v>18479.214536</v>
      </c>
      <c r="T14" s="416">
        <f t="shared" si="9"/>
        <v>3405673.176896</v>
      </c>
      <c r="U14" s="339">
        <v>44378</v>
      </c>
      <c r="V14" s="340">
        <v>44469</v>
      </c>
      <c r="W14" s="490"/>
      <c r="X14" s="490"/>
      <c r="Y14" s="490"/>
    </row>
    <row r="15" ht="18.75" customHeight="1">
      <c r="A15" s="238" t="s">
        <v>24</v>
      </c>
      <c r="B15" s="239" t="s">
        <v>1088</v>
      </c>
      <c r="C15" s="242" t="s">
        <v>263</v>
      </c>
      <c r="D15" s="247" t="s">
        <v>34</v>
      </c>
      <c r="E15" s="242" t="s">
        <v>170</v>
      </c>
      <c r="F15" s="242" t="s">
        <v>87</v>
      </c>
      <c r="G15" s="495">
        <v>2069530</v>
      </c>
      <c r="H15" s="304"/>
      <c r="I15" s="304">
        <f t="shared" si="2"/>
        <v>101200.017</v>
      </c>
      <c r="J15" s="304">
        <f t="shared" si="3"/>
        <v>82781.2</v>
      </c>
      <c r="K15" s="304">
        <f t="shared" si="4"/>
        <v>41390.6</v>
      </c>
      <c r="L15" s="304">
        <v>15000</v>
      </c>
      <c r="M15" s="295">
        <f t="shared" si="5"/>
        <v>2309901.817</v>
      </c>
      <c r="N15" s="300">
        <f t="shared" si="6"/>
        <v>184792.14536</v>
      </c>
      <c r="O15" s="300">
        <v>900000</v>
      </c>
      <c r="P15" s="300"/>
      <c r="Q15" s="300"/>
      <c r="R15" s="300">
        <f t="shared" si="7"/>
        <v>3394693.96236</v>
      </c>
      <c r="S15" s="300">
        <f t="shared" si="8"/>
        <v>18479.214536</v>
      </c>
      <c r="T15" s="416">
        <f t="shared" si="9"/>
        <v>3413173.176896</v>
      </c>
      <c r="U15" s="339">
        <v>44378</v>
      </c>
      <c r="V15" s="340">
        <v>44469</v>
      </c>
      <c r="W15" s="490"/>
      <c r="X15" s="490"/>
      <c r="Y15" s="490"/>
    </row>
    <row r="16" ht="18.75" customHeight="1">
      <c r="A16" s="238" t="s">
        <v>24</v>
      </c>
      <c r="B16" s="239" t="s">
        <v>1089</v>
      </c>
      <c r="C16" s="242" t="s">
        <v>1090</v>
      </c>
      <c r="D16" s="247" t="s">
        <v>34</v>
      </c>
      <c r="E16" s="242" t="s">
        <v>170</v>
      </c>
      <c r="F16" s="242" t="s">
        <v>87</v>
      </c>
      <c r="G16" s="495">
        <v>2069530</v>
      </c>
      <c r="H16" s="304"/>
      <c r="I16" s="304">
        <f t="shared" si="2"/>
        <v>101200.017</v>
      </c>
      <c r="J16" s="304">
        <f t="shared" si="3"/>
        <v>82781.2</v>
      </c>
      <c r="K16" s="304">
        <f t="shared" si="4"/>
        <v>41390.6</v>
      </c>
      <c r="L16" s="298">
        <v>15000</v>
      </c>
      <c r="M16" s="295">
        <f t="shared" si="5"/>
        <v>2309901.817</v>
      </c>
      <c r="N16" s="303">
        <f t="shared" si="6"/>
        <v>184792.14536</v>
      </c>
      <c r="O16" s="300">
        <v>550000</v>
      </c>
      <c r="P16" s="303"/>
      <c r="Q16" s="303"/>
      <c r="R16" s="300">
        <f t="shared" si="7"/>
        <v>3044693.96236</v>
      </c>
      <c r="S16" s="300">
        <f t="shared" si="8"/>
        <v>18479.214536</v>
      </c>
      <c r="T16" s="416">
        <f t="shared" si="9"/>
        <v>3063173.176896</v>
      </c>
      <c r="U16" s="339">
        <v>44358</v>
      </c>
      <c r="V16" s="340">
        <v>44439</v>
      </c>
      <c r="W16" s="529"/>
      <c r="X16" s="490"/>
      <c r="Y16" s="490"/>
    </row>
    <row r="17" ht="18.75" customHeight="1">
      <c r="A17" s="238" t="s">
        <v>24</v>
      </c>
      <c r="B17" s="239" t="s">
        <v>1091</v>
      </c>
      <c r="C17" s="242" t="s">
        <v>1092</v>
      </c>
      <c r="D17" s="247" t="s">
        <v>34</v>
      </c>
      <c r="E17" s="242" t="s">
        <v>170</v>
      </c>
      <c r="F17" s="242" t="s">
        <v>87</v>
      </c>
      <c r="G17" s="495">
        <v>2069530</v>
      </c>
      <c r="H17" s="304">
        <v>-165562</v>
      </c>
      <c r="I17" s="304">
        <f t="shared" si="2"/>
        <v>101200.017</v>
      </c>
      <c r="J17" s="304">
        <f t="shared" si="3"/>
        <v>82781.2</v>
      </c>
      <c r="K17" s="304">
        <f t="shared" si="4"/>
        <v>41390.6</v>
      </c>
      <c r="L17" s="298">
        <v>15000</v>
      </c>
      <c r="M17" s="295">
        <f t="shared" si="5"/>
        <v>2475463.817</v>
      </c>
      <c r="N17" s="303">
        <f t="shared" si="6"/>
        <v>198037.10536</v>
      </c>
      <c r="O17" s="300">
        <v>695000</v>
      </c>
      <c r="P17" s="303"/>
      <c r="Q17" s="303"/>
      <c r="R17" s="300">
        <f t="shared" si="7"/>
        <v>3368500.92236</v>
      </c>
      <c r="S17" s="300">
        <f t="shared" si="8"/>
        <v>19803.710536</v>
      </c>
      <c r="T17" s="416">
        <f t="shared" si="9"/>
        <v>3388304.632896</v>
      </c>
      <c r="U17" s="339">
        <v>44333</v>
      </c>
      <c r="V17" s="340">
        <v>44439</v>
      </c>
      <c r="W17" s="529"/>
      <c r="X17" s="490"/>
      <c r="Y17" s="490"/>
    </row>
    <row r="18" ht="18.75" customHeight="1">
      <c r="A18" s="238" t="s">
        <v>24</v>
      </c>
      <c r="B18" s="239" t="s">
        <v>1093</v>
      </c>
      <c r="C18" s="242" t="s">
        <v>1094</v>
      </c>
      <c r="D18" s="247" t="s">
        <v>34</v>
      </c>
      <c r="E18" s="242" t="s">
        <v>170</v>
      </c>
      <c r="F18" s="242" t="s">
        <v>87</v>
      </c>
      <c r="G18" s="495">
        <v>2069530</v>
      </c>
      <c r="H18" s="304"/>
      <c r="I18" s="304">
        <f t="shared" si="2"/>
        <v>101200.017</v>
      </c>
      <c r="J18" s="304">
        <f t="shared" si="3"/>
        <v>82781.2</v>
      </c>
      <c r="K18" s="304">
        <f t="shared" si="4"/>
        <v>41390.6</v>
      </c>
      <c r="L18" s="298">
        <v>15000</v>
      </c>
      <c r="M18" s="295">
        <f t="shared" si="5"/>
        <v>2309901.817</v>
      </c>
      <c r="N18" s="303">
        <f t="shared" si="6"/>
        <v>184792.14536</v>
      </c>
      <c r="O18" s="300">
        <v>645000</v>
      </c>
      <c r="P18" s="303"/>
      <c r="Q18" s="303"/>
      <c r="R18" s="300">
        <f t="shared" si="7"/>
        <v>3139693.96236</v>
      </c>
      <c r="S18" s="300">
        <f t="shared" si="8"/>
        <v>18479.214536</v>
      </c>
      <c r="T18" s="416">
        <f t="shared" si="9"/>
        <v>3158173.176896</v>
      </c>
      <c r="U18" s="339">
        <v>44409</v>
      </c>
      <c r="V18" s="340">
        <v>44500</v>
      </c>
      <c r="X18" s="490"/>
      <c r="Y18" s="490"/>
    </row>
    <row r="19" ht="18.75" customHeight="1">
      <c r="A19" s="238" t="s">
        <v>24</v>
      </c>
      <c r="B19" s="239" t="s">
        <v>1095</v>
      </c>
      <c r="C19" s="242" t="s">
        <v>1096</v>
      </c>
      <c r="D19" s="247" t="s">
        <v>34</v>
      </c>
      <c r="E19" s="242" t="s">
        <v>170</v>
      </c>
      <c r="F19" s="242" t="s">
        <v>87</v>
      </c>
      <c r="G19" s="495">
        <v>2069530</v>
      </c>
      <c r="H19" s="304"/>
      <c r="I19" s="304">
        <f t="shared" si="2"/>
        <v>101200.017</v>
      </c>
      <c r="J19" s="304">
        <f t="shared" si="3"/>
        <v>82781.2</v>
      </c>
      <c r="K19" s="304">
        <f t="shared" si="4"/>
        <v>41390.6</v>
      </c>
      <c r="L19" s="298">
        <v>15000</v>
      </c>
      <c r="M19" s="295">
        <f t="shared" si="5"/>
        <v>2309901.817</v>
      </c>
      <c r="N19" s="303">
        <f t="shared" si="6"/>
        <v>184792.14536</v>
      </c>
      <c r="O19" s="300">
        <v>735000</v>
      </c>
      <c r="P19" s="303"/>
      <c r="Q19" s="303"/>
      <c r="R19" s="300">
        <f t="shared" si="7"/>
        <v>3229693.96236</v>
      </c>
      <c r="S19" s="300">
        <f t="shared" si="8"/>
        <v>18479.214536</v>
      </c>
      <c r="T19" s="416">
        <f t="shared" si="9"/>
        <v>3248173.176896</v>
      </c>
      <c r="U19" s="339">
        <v>44378</v>
      </c>
      <c r="V19" s="340">
        <v>44469</v>
      </c>
      <c r="X19" s="490"/>
      <c r="Y19" s="490"/>
    </row>
    <row r="20" ht="18.75" customHeight="1">
      <c r="A20" s="238" t="s">
        <v>24</v>
      </c>
      <c r="B20" s="239" t="s">
        <v>1097</v>
      </c>
      <c r="C20" s="242" t="s">
        <v>1098</v>
      </c>
      <c r="D20" s="247" t="s">
        <v>34</v>
      </c>
      <c r="E20" s="242" t="s">
        <v>170</v>
      </c>
      <c r="F20" s="242" t="s">
        <v>87</v>
      </c>
      <c r="G20" s="495">
        <v>2069530</v>
      </c>
      <c r="H20" s="304"/>
      <c r="I20" s="304">
        <f t="shared" si="2"/>
        <v>101200.017</v>
      </c>
      <c r="J20" s="304">
        <f t="shared" si="3"/>
        <v>82781.2</v>
      </c>
      <c r="K20" s="304">
        <f t="shared" si="4"/>
        <v>41390.6</v>
      </c>
      <c r="L20" s="304">
        <v>15000</v>
      </c>
      <c r="M20" s="295">
        <f t="shared" si="5"/>
        <v>2309901.817</v>
      </c>
      <c r="N20" s="300">
        <f t="shared" si="6"/>
        <v>184792.14536</v>
      </c>
      <c r="O20" s="300">
        <v>1092500</v>
      </c>
      <c r="P20" s="305"/>
      <c r="Q20" s="305"/>
      <c r="R20" s="300">
        <f t="shared" si="7"/>
        <v>3587193.96236</v>
      </c>
      <c r="S20" s="300">
        <f t="shared" si="8"/>
        <v>18479.214536</v>
      </c>
      <c r="T20" s="416">
        <f t="shared" si="9"/>
        <v>3605673.176896</v>
      </c>
      <c r="U20" s="339">
        <v>44409</v>
      </c>
      <c r="V20" s="340">
        <v>44500</v>
      </c>
      <c r="W20" s="490"/>
      <c r="X20" s="490"/>
      <c r="Y20" s="490"/>
    </row>
    <row r="21" ht="18.75" customHeight="1">
      <c r="A21" s="238" t="s">
        <v>24</v>
      </c>
      <c r="B21" s="245" t="s">
        <v>1099</v>
      </c>
      <c r="C21" s="246" t="s">
        <v>503</v>
      </c>
      <c r="D21" s="245" t="s">
        <v>34</v>
      </c>
      <c r="E21" s="246" t="s">
        <v>170</v>
      </c>
      <c r="F21" s="246" t="s">
        <v>87</v>
      </c>
      <c r="G21" s="495">
        <v>2069530</v>
      </c>
      <c r="H21" s="304"/>
      <c r="I21" s="304">
        <f t="shared" si="2"/>
        <v>101200.017</v>
      </c>
      <c r="J21" s="304">
        <f t="shared" si="3"/>
        <v>82781.2</v>
      </c>
      <c r="K21" s="304">
        <f t="shared" si="4"/>
        <v>41390.6</v>
      </c>
      <c r="L21" s="304">
        <v>15000</v>
      </c>
      <c r="M21" s="295">
        <f t="shared" si="5"/>
        <v>2309901.817</v>
      </c>
      <c r="N21" s="300">
        <f t="shared" si="6"/>
        <v>184792.14536</v>
      </c>
      <c r="O21" s="300">
        <v>730000</v>
      </c>
      <c r="P21" s="302"/>
      <c r="Q21" s="302"/>
      <c r="R21" s="300">
        <f t="shared" si="7"/>
        <v>3224693.96236</v>
      </c>
      <c r="S21" s="300">
        <f t="shared" si="8"/>
        <v>18479.214536</v>
      </c>
      <c r="T21" s="416">
        <f t="shared" si="9"/>
        <v>3243173.176896</v>
      </c>
      <c r="U21" s="337">
        <v>44378</v>
      </c>
      <c r="V21" s="338">
        <v>44469</v>
      </c>
      <c r="W21" s="490"/>
      <c r="X21" s="490"/>
      <c r="Y21" s="490"/>
    </row>
    <row r="22" ht="18.75" customHeight="1">
      <c r="A22" s="238" t="s">
        <v>24</v>
      </c>
      <c r="B22" s="245" t="s">
        <v>1100</v>
      </c>
      <c r="C22" s="246" t="s">
        <v>1101</v>
      </c>
      <c r="D22" s="245" t="s">
        <v>34</v>
      </c>
      <c r="E22" s="246" t="s">
        <v>170</v>
      </c>
      <c r="F22" s="246" t="s">
        <v>87</v>
      </c>
      <c r="G22" s="495">
        <v>2069530</v>
      </c>
      <c r="H22" s="304"/>
      <c r="I22" s="304">
        <f t="shared" si="2"/>
        <v>101200.017</v>
      </c>
      <c r="J22" s="304">
        <f t="shared" si="3"/>
        <v>82781.2</v>
      </c>
      <c r="K22" s="304">
        <f t="shared" si="4"/>
        <v>41390.6</v>
      </c>
      <c r="L22" s="298">
        <v>15000</v>
      </c>
      <c r="M22" s="295">
        <f t="shared" si="5"/>
        <v>2309901.817</v>
      </c>
      <c r="N22" s="303">
        <f t="shared" si="6"/>
        <v>184792.14536</v>
      </c>
      <c r="O22" s="300">
        <v>957500</v>
      </c>
      <c r="P22" s="399"/>
      <c r="Q22" s="399"/>
      <c r="R22" s="300">
        <f t="shared" si="7"/>
        <v>3452193.96236</v>
      </c>
      <c r="S22" s="300">
        <f t="shared" si="8"/>
        <v>18479.214536</v>
      </c>
      <c r="T22" s="416">
        <f t="shared" si="9"/>
        <v>3470673.176896</v>
      </c>
      <c r="U22" s="337">
        <v>44351</v>
      </c>
      <c r="V22" s="338">
        <v>44439</v>
      </c>
      <c r="W22" s="529"/>
      <c r="X22" s="490"/>
      <c r="Y22" s="490"/>
    </row>
    <row r="23" ht="18.75" customHeight="1">
      <c r="A23" s="238" t="s">
        <v>24</v>
      </c>
      <c r="B23" s="245" t="s">
        <v>1102</v>
      </c>
      <c r="C23" s="246" t="s">
        <v>369</v>
      </c>
      <c r="D23" s="245" t="s">
        <v>34</v>
      </c>
      <c r="E23" s="246" t="s">
        <v>170</v>
      </c>
      <c r="F23" s="246" t="s">
        <v>87</v>
      </c>
      <c r="G23" s="495">
        <v>2069530</v>
      </c>
      <c r="H23" s="304"/>
      <c r="I23" s="304">
        <f t="shared" si="2"/>
        <v>101200.017</v>
      </c>
      <c r="J23" s="304">
        <f t="shared" si="3"/>
        <v>82781.2</v>
      </c>
      <c r="K23" s="304">
        <f t="shared" si="4"/>
        <v>41390.6</v>
      </c>
      <c r="L23" s="304">
        <v>15000</v>
      </c>
      <c r="M23" s="295">
        <f t="shared" si="5"/>
        <v>2309901.817</v>
      </c>
      <c r="N23" s="300">
        <f t="shared" si="6"/>
        <v>184792.14536</v>
      </c>
      <c r="O23" s="300">
        <v>477500</v>
      </c>
      <c r="P23" s="302"/>
      <c r="Q23" s="302"/>
      <c r="R23" s="300">
        <f t="shared" si="7"/>
        <v>2972193.96236</v>
      </c>
      <c r="S23" s="300">
        <f t="shared" si="8"/>
        <v>18479.214536</v>
      </c>
      <c r="T23" s="416">
        <f t="shared" si="9"/>
        <v>2990673.176896</v>
      </c>
      <c r="U23" s="337">
        <v>44409</v>
      </c>
      <c r="V23" s="338">
        <v>44500</v>
      </c>
      <c r="W23" s="490"/>
      <c r="X23" s="490"/>
      <c r="Y23" s="490"/>
    </row>
    <row r="24" ht="18.75" customHeight="1">
      <c r="A24" s="238" t="s">
        <v>24</v>
      </c>
      <c r="B24" s="239" t="s">
        <v>1103</v>
      </c>
      <c r="C24" s="242" t="s">
        <v>1104</v>
      </c>
      <c r="D24" s="247" t="s">
        <v>34</v>
      </c>
      <c r="E24" s="246" t="s">
        <v>170</v>
      </c>
      <c r="F24" s="246" t="s">
        <v>87</v>
      </c>
      <c r="G24" s="495">
        <v>2069530</v>
      </c>
      <c r="H24" s="304"/>
      <c r="I24" s="304">
        <f t="shared" si="2"/>
        <v>101200.017</v>
      </c>
      <c r="J24" s="304">
        <f t="shared" si="3"/>
        <v>82781.2</v>
      </c>
      <c r="K24" s="304">
        <f t="shared" si="4"/>
        <v>41390.6</v>
      </c>
      <c r="L24" s="304">
        <v>15000</v>
      </c>
      <c r="M24" s="295">
        <f t="shared" si="5"/>
        <v>2309901.817</v>
      </c>
      <c r="N24" s="300">
        <f t="shared" si="6"/>
        <v>184792.14536</v>
      </c>
      <c r="O24" s="300">
        <v>1672500</v>
      </c>
      <c r="P24" s="300"/>
      <c r="Q24" s="300"/>
      <c r="R24" s="300">
        <f t="shared" si="7"/>
        <v>4167193.96236</v>
      </c>
      <c r="S24" s="300">
        <f t="shared" si="8"/>
        <v>18479.214536</v>
      </c>
      <c r="T24" s="416">
        <f t="shared" si="9"/>
        <v>4185673.176896</v>
      </c>
      <c r="U24" s="339">
        <v>44348</v>
      </c>
      <c r="V24" s="340">
        <v>44439</v>
      </c>
      <c r="W24" s="490"/>
      <c r="X24" s="490"/>
      <c r="Y24" s="490"/>
    </row>
    <row r="25" ht="18.75" customHeight="1">
      <c r="A25" s="238" t="s">
        <v>24</v>
      </c>
      <c r="B25" s="245" t="s">
        <v>1105</v>
      </c>
      <c r="C25" s="246" t="s">
        <v>266</v>
      </c>
      <c r="D25" s="245" t="s">
        <v>34</v>
      </c>
      <c r="E25" s="246" t="s">
        <v>170</v>
      </c>
      <c r="F25" s="246" t="s">
        <v>87</v>
      </c>
      <c r="G25" s="495">
        <v>2069530</v>
      </c>
      <c r="H25" s="304"/>
      <c r="I25" s="304">
        <f t="shared" si="2"/>
        <v>101200.017</v>
      </c>
      <c r="J25" s="304">
        <f t="shared" si="3"/>
        <v>82781.2</v>
      </c>
      <c r="K25" s="304">
        <f t="shared" si="4"/>
        <v>41390.6</v>
      </c>
      <c r="L25" s="304">
        <v>15000</v>
      </c>
      <c r="M25" s="295">
        <f t="shared" si="5"/>
        <v>2309901.817</v>
      </c>
      <c r="N25" s="300">
        <f t="shared" si="6"/>
        <v>184792.14536</v>
      </c>
      <c r="O25" s="300">
        <v>1040000</v>
      </c>
      <c r="P25" s="302"/>
      <c r="Q25" s="302"/>
      <c r="R25" s="300">
        <f t="shared" si="7"/>
        <v>3534693.96236</v>
      </c>
      <c r="S25" s="300">
        <f t="shared" si="8"/>
        <v>18479.214536</v>
      </c>
      <c r="T25" s="416">
        <f t="shared" si="9"/>
        <v>3553173.176896</v>
      </c>
      <c r="U25" s="337">
        <v>44378</v>
      </c>
      <c r="V25" s="338">
        <v>44469</v>
      </c>
      <c r="W25" s="490"/>
      <c r="X25" s="490"/>
      <c r="Y25" s="490"/>
    </row>
    <row r="26" ht="18" customHeight="1">
      <c r="A26" s="238" t="s">
        <v>24</v>
      </c>
      <c r="B26" s="239" t="s">
        <v>1106</v>
      </c>
      <c r="C26" s="242" t="s">
        <v>1107</v>
      </c>
      <c r="D26" s="247" t="s">
        <v>34</v>
      </c>
      <c r="E26" s="246" t="s">
        <v>170</v>
      </c>
      <c r="F26" s="246" t="s">
        <v>87</v>
      </c>
      <c r="G26" s="495">
        <v>2069530</v>
      </c>
      <c r="H26" s="304">
        <v>-82781</v>
      </c>
      <c r="I26" s="304">
        <f t="shared" si="2"/>
        <v>101200.017</v>
      </c>
      <c r="J26" s="304">
        <f t="shared" si="3"/>
        <v>82781.2</v>
      </c>
      <c r="K26" s="304">
        <f t="shared" si="4"/>
        <v>41390.6</v>
      </c>
      <c r="L26" s="298">
        <v>15000</v>
      </c>
      <c r="M26" s="295">
        <f t="shared" si="5"/>
        <v>2392682.817</v>
      </c>
      <c r="N26" s="303">
        <f t="shared" si="6"/>
        <v>191414.62536</v>
      </c>
      <c r="O26" s="300">
        <v>665000</v>
      </c>
      <c r="P26" s="303"/>
      <c r="Q26" s="303"/>
      <c r="R26" s="300">
        <f t="shared" si="7"/>
        <v>3249097.44236</v>
      </c>
      <c r="S26" s="300">
        <f t="shared" si="8"/>
        <v>19141.462536</v>
      </c>
      <c r="T26" s="416">
        <f t="shared" si="9"/>
        <v>3268238.904896</v>
      </c>
      <c r="U26" s="339">
        <v>44356</v>
      </c>
      <c r="V26" s="340">
        <v>44439</v>
      </c>
      <c r="W26" s="529"/>
      <c r="X26" s="490"/>
      <c r="Y26" s="490"/>
    </row>
    <row r="27" ht="18" customHeight="1">
      <c r="A27" s="238" t="s">
        <v>24</v>
      </c>
      <c r="B27" s="239" t="s">
        <v>1108</v>
      </c>
      <c r="C27" s="242" t="s">
        <v>1109</v>
      </c>
      <c r="D27" s="247" t="s">
        <v>34</v>
      </c>
      <c r="E27" s="246" t="s">
        <v>170</v>
      </c>
      <c r="F27" s="246" t="s">
        <v>87</v>
      </c>
      <c r="G27" s="495">
        <v>2069530</v>
      </c>
      <c r="H27" s="304"/>
      <c r="I27" s="304">
        <f t="shared" si="2"/>
        <v>101200.017</v>
      </c>
      <c r="J27" s="304">
        <f t="shared" si="3"/>
        <v>82781.2</v>
      </c>
      <c r="K27" s="304">
        <f t="shared" si="4"/>
        <v>41390.6</v>
      </c>
      <c r="L27" s="304">
        <v>15000</v>
      </c>
      <c r="M27" s="295">
        <f t="shared" si="5"/>
        <v>2309901.817</v>
      </c>
      <c r="N27" s="300">
        <f t="shared" si="6"/>
        <v>184792.14536</v>
      </c>
      <c r="O27" s="300">
        <v>1012500</v>
      </c>
      <c r="P27" s="300"/>
      <c r="Q27" s="300"/>
      <c r="R27" s="300">
        <f t="shared" si="7"/>
        <v>3507193.96236</v>
      </c>
      <c r="S27" s="300">
        <f t="shared" si="8"/>
        <v>18479.214536</v>
      </c>
      <c r="T27" s="416">
        <f t="shared" si="9"/>
        <v>3525673.176896</v>
      </c>
      <c r="U27" s="339">
        <v>44409</v>
      </c>
      <c r="V27" s="340">
        <v>44500</v>
      </c>
      <c r="W27" s="490"/>
      <c r="X27" s="490"/>
      <c r="Y27" s="490"/>
    </row>
    <row r="28" ht="18" customHeight="1">
      <c r="A28" s="238" t="s">
        <v>24</v>
      </c>
      <c r="B28" s="239" t="s">
        <v>1110</v>
      </c>
      <c r="C28" s="242" t="s">
        <v>1111</v>
      </c>
      <c r="D28" s="247" t="s">
        <v>34</v>
      </c>
      <c r="E28" s="246" t="s">
        <v>170</v>
      </c>
      <c r="F28" s="246" t="s">
        <v>87</v>
      </c>
      <c r="G28" s="495">
        <v>2069530</v>
      </c>
      <c r="H28" s="304"/>
      <c r="I28" s="304">
        <f t="shared" si="2"/>
        <v>101200.017</v>
      </c>
      <c r="J28" s="304">
        <f t="shared" si="3"/>
        <v>82781.2</v>
      </c>
      <c r="K28" s="304">
        <f t="shared" si="4"/>
        <v>41390.6</v>
      </c>
      <c r="L28" s="304">
        <v>15000</v>
      </c>
      <c r="M28" s="295">
        <f t="shared" si="5"/>
        <v>2309901.817</v>
      </c>
      <c r="N28" s="300">
        <f t="shared" si="6"/>
        <v>184792.14536</v>
      </c>
      <c r="O28" s="300">
        <v>872500</v>
      </c>
      <c r="P28" s="300"/>
      <c r="Q28" s="300"/>
      <c r="R28" s="300">
        <f t="shared" si="7"/>
        <v>3367193.96236</v>
      </c>
      <c r="S28" s="300">
        <f t="shared" si="8"/>
        <v>18479.214536</v>
      </c>
      <c r="T28" s="416">
        <f t="shared" si="9"/>
        <v>3385673.176896</v>
      </c>
      <c r="U28" s="339">
        <v>44409</v>
      </c>
      <c r="V28" s="340">
        <v>44500</v>
      </c>
      <c r="W28" s="490"/>
      <c r="X28" s="490"/>
      <c r="Y28" s="490"/>
    </row>
    <row r="29" ht="18" customHeight="1">
      <c r="A29" s="238" t="s">
        <v>24</v>
      </c>
      <c r="B29" s="239" t="s">
        <v>675</v>
      </c>
      <c r="C29" s="242" t="s">
        <v>676</v>
      </c>
      <c r="D29" s="247" t="s">
        <v>34</v>
      </c>
      <c r="E29" s="246" t="s">
        <v>170</v>
      </c>
      <c r="F29" s="246" t="s">
        <v>87</v>
      </c>
      <c r="G29" s="495">
        <v>2069530</v>
      </c>
      <c r="H29" s="304"/>
      <c r="I29" s="304">
        <f t="shared" si="2"/>
        <v>101200.017</v>
      </c>
      <c r="J29" s="304">
        <f t="shared" si="3"/>
        <v>82781.2</v>
      </c>
      <c r="K29" s="304">
        <f t="shared" si="4"/>
        <v>41390.6</v>
      </c>
      <c r="L29" s="304">
        <v>15000</v>
      </c>
      <c r="M29" s="295">
        <f t="shared" si="5"/>
        <v>2309901.817</v>
      </c>
      <c r="N29" s="300">
        <f t="shared" si="6"/>
        <v>184792.14536</v>
      </c>
      <c r="O29" s="300">
        <v>1790000</v>
      </c>
      <c r="P29" s="300"/>
      <c r="Q29" s="300"/>
      <c r="R29" s="300">
        <f t="shared" si="7"/>
        <v>4284693.96236</v>
      </c>
      <c r="S29" s="300">
        <f t="shared" si="8"/>
        <v>18479.214536</v>
      </c>
      <c r="T29" s="416">
        <f t="shared" si="9"/>
        <v>4303173.176896</v>
      </c>
      <c r="U29" s="339">
        <v>44409</v>
      </c>
      <c r="V29" s="340">
        <v>44500</v>
      </c>
      <c r="W29" s="490"/>
      <c r="X29" s="490"/>
      <c r="Y29" s="490"/>
    </row>
    <row r="30" ht="18" customHeight="1">
      <c r="A30" s="238" t="s">
        <v>24</v>
      </c>
      <c r="B30" s="245" t="s">
        <v>1112</v>
      </c>
      <c r="C30" s="246" t="s">
        <v>1113</v>
      </c>
      <c r="D30" s="245" t="s">
        <v>34</v>
      </c>
      <c r="E30" s="246" t="s">
        <v>170</v>
      </c>
      <c r="F30" s="246" t="s">
        <v>87</v>
      </c>
      <c r="G30" s="495">
        <v>2069530</v>
      </c>
      <c r="H30" s="304"/>
      <c r="I30" s="304">
        <f t="shared" si="2"/>
        <v>101200.017</v>
      </c>
      <c r="J30" s="304">
        <f t="shared" si="3"/>
        <v>82781.2</v>
      </c>
      <c r="K30" s="304">
        <f t="shared" si="4"/>
        <v>41390.6</v>
      </c>
      <c r="L30" s="304">
        <v>15000</v>
      </c>
      <c r="M30" s="295">
        <f t="shared" si="5"/>
        <v>2309901.817</v>
      </c>
      <c r="N30" s="300">
        <f t="shared" si="6"/>
        <v>184792.14536</v>
      </c>
      <c r="O30" s="300">
        <v>780000</v>
      </c>
      <c r="P30" s="300"/>
      <c r="Q30" s="300"/>
      <c r="R30" s="300">
        <f t="shared" si="7"/>
        <v>3274693.96236</v>
      </c>
      <c r="S30" s="300">
        <f t="shared" si="8"/>
        <v>18479.214536</v>
      </c>
      <c r="T30" s="416">
        <f t="shared" si="9"/>
        <v>3293173.176896</v>
      </c>
      <c r="U30" s="339">
        <v>44378</v>
      </c>
      <c r="V30" s="340">
        <v>44469</v>
      </c>
      <c r="W30" s="490"/>
      <c r="X30" s="490"/>
      <c r="Y30" s="490"/>
    </row>
    <row r="31" ht="18" customHeight="1">
      <c r="A31" s="238" t="s">
        <v>24</v>
      </c>
      <c r="B31" s="245" t="s">
        <v>1114</v>
      </c>
      <c r="C31" s="246" t="s">
        <v>1115</v>
      </c>
      <c r="D31" s="245" t="s">
        <v>34</v>
      </c>
      <c r="E31" s="246" t="s">
        <v>170</v>
      </c>
      <c r="F31" s="246" t="s">
        <v>87</v>
      </c>
      <c r="G31" s="495">
        <v>2069530</v>
      </c>
      <c r="H31" s="304"/>
      <c r="I31" s="304">
        <f t="shared" si="2"/>
        <v>101200.017</v>
      </c>
      <c r="J31" s="304">
        <f t="shared" si="3"/>
        <v>82781.2</v>
      </c>
      <c r="K31" s="304">
        <f t="shared" si="4"/>
        <v>41390.6</v>
      </c>
      <c r="L31" s="304">
        <v>15000</v>
      </c>
      <c r="M31" s="295">
        <f t="shared" si="5"/>
        <v>2309901.817</v>
      </c>
      <c r="N31" s="300">
        <f t="shared" si="6"/>
        <v>184792.14536</v>
      </c>
      <c r="O31" s="300">
        <v>802500</v>
      </c>
      <c r="P31" s="300"/>
      <c r="Q31" s="300"/>
      <c r="R31" s="300">
        <f t="shared" si="7"/>
        <v>3297193.96236</v>
      </c>
      <c r="S31" s="300">
        <f t="shared" si="8"/>
        <v>18479.214536</v>
      </c>
      <c r="T31" s="416">
        <f t="shared" si="9"/>
        <v>3315673.176896</v>
      </c>
      <c r="U31" s="339">
        <v>44378</v>
      </c>
      <c r="V31" s="340">
        <v>44469</v>
      </c>
      <c r="W31" s="490"/>
      <c r="X31" s="490"/>
      <c r="Y31" s="490"/>
    </row>
    <row r="32" ht="18" customHeight="1">
      <c r="A32" s="238" t="s">
        <v>24</v>
      </c>
      <c r="B32" s="245" t="s">
        <v>1116</v>
      </c>
      <c r="C32" s="246" t="s">
        <v>1117</v>
      </c>
      <c r="D32" s="245" t="s">
        <v>34</v>
      </c>
      <c r="E32" s="246" t="s">
        <v>170</v>
      </c>
      <c r="F32" s="246" t="s">
        <v>87</v>
      </c>
      <c r="G32" s="495">
        <v>2069530</v>
      </c>
      <c r="H32" s="304">
        <v>-82781</v>
      </c>
      <c r="I32" s="304">
        <f t="shared" si="2"/>
        <v>101200.017</v>
      </c>
      <c r="J32" s="304">
        <f t="shared" si="3"/>
        <v>82781.2</v>
      </c>
      <c r="K32" s="304">
        <f t="shared" si="4"/>
        <v>41390.6</v>
      </c>
      <c r="L32" s="298">
        <v>15000</v>
      </c>
      <c r="M32" s="295">
        <f t="shared" si="5"/>
        <v>2392682.817</v>
      </c>
      <c r="N32" s="303">
        <f t="shared" si="6"/>
        <v>191414.62536</v>
      </c>
      <c r="O32" s="300">
        <v>795000</v>
      </c>
      <c r="P32" s="303"/>
      <c r="Q32" s="303"/>
      <c r="R32" s="300">
        <f t="shared" si="7"/>
        <v>3379097.44236</v>
      </c>
      <c r="S32" s="300">
        <f t="shared" si="8"/>
        <v>19141.462536</v>
      </c>
      <c r="T32" s="416">
        <f t="shared" si="9"/>
        <v>3398238.904896</v>
      </c>
      <c r="U32" s="339">
        <v>44378</v>
      </c>
      <c r="V32" s="340">
        <v>44469</v>
      </c>
      <c r="X32" s="490"/>
      <c r="Y32" s="490"/>
    </row>
    <row r="33" ht="18" customHeight="1">
      <c r="A33" s="238" t="s">
        <v>24</v>
      </c>
      <c r="B33" s="245" t="s">
        <v>1118</v>
      </c>
      <c r="C33" s="246" t="s">
        <v>1119</v>
      </c>
      <c r="D33" s="245" t="s">
        <v>34</v>
      </c>
      <c r="E33" s="246" t="s">
        <v>170</v>
      </c>
      <c r="F33" s="246" t="s">
        <v>87</v>
      </c>
      <c r="G33" s="495">
        <v>2069530</v>
      </c>
      <c r="H33" s="304"/>
      <c r="I33" s="304">
        <f t="shared" si="2"/>
        <v>101200.017</v>
      </c>
      <c r="J33" s="304">
        <f t="shared" si="3"/>
        <v>82781.2</v>
      </c>
      <c r="K33" s="304">
        <f t="shared" si="4"/>
        <v>41390.6</v>
      </c>
      <c r="L33" s="298">
        <v>15000</v>
      </c>
      <c r="M33" s="295">
        <f t="shared" si="5"/>
        <v>2309901.817</v>
      </c>
      <c r="N33" s="303">
        <f t="shared" si="6"/>
        <v>184792.14536</v>
      </c>
      <c r="O33" s="300">
        <v>615000</v>
      </c>
      <c r="P33" s="303"/>
      <c r="Q33" s="303"/>
      <c r="R33" s="300">
        <f t="shared" si="7"/>
        <v>3109693.96236</v>
      </c>
      <c r="S33" s="300">
        <f t="shared" si="8"/>
        <v>18479.214536</v>
      </c>
      <c r="T33" s="416">
        <f t="shared" si="9"/>
        <v>3128173.176896</v>
      </c>
      <c r="U33" s="339">
        <v>44383</v>
      </c>
      <c r="V33" s="340">
        <v>44469</v>
      </c>
      <c r="W33" s="529"/>
      <c r="X33" s="490"/>
      <c r="Y33" s="490"/>
    </row>
    <row r="34" ht="18" customHeight="1">
      <c r="A34" s="238" t="s">
        <v>24</v>
      </c>
      <c r="B34" s="245" t="s">
        <v>1120</v>
      </c>
      <c r="C34" s="246" t="s">
        <v>365</v>
      </c>
      <c r="D34" s="245" t="s">
        <v>34</v>
      </c>
      <c r="E34" s="246" t="s">
        <v>170</v>
      </c>
      <c r="F34" s="246" t="s">
        <v>87</v>
      </c>
      <c r="G34" s="495">
        <v>2069530</v>
      </c>
      <c r="H34" s="304"/>
      <c r="I34" s="304">
        <f t="shared" si="2"/>
        <v>101200.017</v>
      </c>
      <c r="J34" s="304">
        <f t="shared" si="3"/>
        <v>82781.2</v>
      </c>
      <c r="K34" s="304">
        <f t="shared" si="4"/>
        <v>41390.6</v>
      </c>
      <c r="L34" s="298">
        <v>15000</v>
      </c>
      <c r="M34" s="295">
        <f t="shared" si="5"/>
        <v>2309901.817</v>
      </c>
      <c r="N34" s="303">
        <f t="shared" si="6"/>
        <v>184792.14536</v>
      </c>
      <c r="O34" s="300">
        <v>1480000</v>
      </c>
      <c r="P34" s="303"/>
      <c r="Q34" s="303"/>
      <c r="R34" s="300">
        <f t="shared" si="7"/>
        <v>3974693.96236</v>
      </c>
      <c r="S34" s="300">
        <f t="shared" si="8"/>
        <v>18479.214536</v>
      </c>
      <c r="T34" s="416">
        <f t="shared" si="9"/>
        <v>3993173.176896</v>
      </c>
      <c r="U34" s="339">
        <v>44348</v>
      </c>
      <c r="V34" s="340">
        <v>44439</v>
      </c>
      <c r="W34" s="490"/>
      <c r="X34" s="490"/>
      <c r="Y34" s="490"/>
    </row>
    <row r="35" ht="18" customHeight="1">
      <c r="A35" s="238" t="s">
        <v>24</v>
      </c>
      <c r="B35" s="245" t="s">
        <v>1121</v>
      </c>
      <c r="C35" s="246" t="s">
        <v>1122</v>
      </c>
      <c r="D35" s="245" t="s">
        <v>34</v>
      </c>
      <c r="E35" s="246" t="s">
        <v>170</v>
      </c>
      <c r="F35" s="246" t="s">
        <v>87</v>
      </c>
      <c r="G35" s="495">
        <v>2069530</v>
      </c>
      <c r="H35" s="304"/>
      <c r="I35" s="304">
        <f t="shared" si="2"/>
        <v>101200.017</v>
      </c>
      <c r="J35" s="304">
        <f t="shared" si="3"/>
        <v>82781.2</v>
      </c>
      <c r="K35" s="304">
        <f t="shared" si="4"/>
        <v>41390.6</v>
      </c>
      <c r="L35" s="298">
        <v>15000</v>
      </c>
      <c r="M35" s="295">
        <f t="shared" si="5"/>
        <v>2309901.817</v>
      </c>
      <c r="N35" s="303">
        <f t="shared" si="6"/>
        <v>184792.14536</v>
      </c>
      <c r="O35" s="300">
        <v>832500</v>
      </c>
      <c r="P35" s="303"/>
      <c r="Q35" s="303"/>
      <c r="R35" s="300">
        <f t="shared" si="7"/>
        <v>3327193.96236</v>
      </c>
      <c r="S35" s="300">
        <f t="shared" si="8"/>
        <v>18479.214536</v>
      </c>
      <c r="T35" s="416">
        <f t="shared" si="9"/>
        <v>3345673.176896</v>
      </c>
      <c r="U35" s="339">
        <v>44367</v>
      </c>
      <c r="V35" s="340">
        <v>44469</v>
      </c>
      <c r="W35" s="529"/>
      <c r="X35" s="490"/>
      <c r="Y35" s="490"/>
    </row>
    <row r="36" ht="18" customHeight="1">
      <c r="A36" s="238" t="s">
        <v>24</v>
      </c>
      <c r="B36" s="245" t="s">
        <v>673</v>
      </c>
      <c r="C36" s="246" t="s">
        <v>674</v>
      </c>
      <c r="D36" s="245" t="s">
        <v>34</v>
      </c>
      <c r="E36" s="246" t="s">
        <v>170</v>
      </c>
      <c r="F36" s="246" t="s">
        <v>87</v>
      </c>
      <c r="G36" s="495">
        <v>2069530</v>
      </c>
      <c r="H36" s="304"/>
      <c r="I36" s="304">
        <f t="shared" si="2"/>
        <v>101200.017</v>
      </c>
      <c r="J36" s="304">
        <f t="shared" si="3"/>
        <v>82781.2</v>
      </c>
      <c r="K36" s="304">
        <f t="shared" si="4"/>
        <v>41390.6</v>
      </c>
      <c r="L36" s="304">
        <v>15000</v>
      </c>
      <c r="M36" s="295">
        <f t="shared" si="5"/>
        <v>2309901.817</v>
      </c>
      <c r="N36" s="300">
        <f t="shared" si="6"/>
        <v>184792.14536</v>
      </c>
      <c r="O36" s="300">
        <v>1385000</v>
      </c>
      <c r="P36" s="300"/>
      <c r="Q36" s="300"/>
      <c r="R36" s="300">
        <f t="shared" si="7"/>
        <v>3879693.96236</v>
      </c>
      <c r="S36" s="300">
        <f t="shared" si="8"/>
        <v>18479.214536</v>
      </c>
      <c r="T36" s="416">
        <f t="shared" si="9"/>
        <v>3898173.176896</v>
      </c>
      <c r="U36" s="339">
        <v>44409</v>
      </c>
      <c r="V36" s="340">
        <v>44500</v>
      </c>
      <c r="W36" s="490"/>
      <c r="X36" s="490"/>
      <c r="Y36" s="490"/>
    </row>
    <row r="37" ht="18" customHeight="1">
      <c r="A37" s="238" t="s">
        <v>24</v>
      </c>
      <c r="B37" s="245" t="s">
        <v>1123</v>
      </c>
      <c r="C37" s="246" t="s">
        <v>1124</v>
      </c>
      <c r="D37" s="245" t="s">
        <v>34</v>
      </c>
      <c r="E37" s="246" t="s">
        <v>170</v>
      </c>
      <c r="F37" s="246" t="s">
        <v>87</v>
      </c>
      <c r="G37" s="495">
        <v>2069530</v>
      </c>
      <c r="H37" s="304">
        <v>-82781</v>
      </c>
      <c r="I37" s="304">
        <f t="shared" si="2"/>
        <v>101200.017</v>
      </c>
      <c r="J37" s="304">
        <f t="shared" si="3"/>
        <v>82781.2</v>
      </c>
      <c r="K37" s="304">
        <f t="shared" si="4"/>
        <v>41390.6</v>
      </c>
      <c r="L37" s="304">
        <v>15000</v>
      </c>
      <c r="M37" s="295">
        <f t="shared" si="5"/>
        <v>2392682.817</v>
      </c>
      <c r="N37" s="300">
        <f t="shared" si="6"/>
        <v>191414.62536</v>
      </c>
      <c r="O37" s="300">
        <v>812500</v>
      </c>
      <c r="P37" s="244"/>
      <c r="Q37" s="244"/>
      <c r="R37" s="300">
        <f t="shared" si="7"/>
        <v>3396597.44236</v>
      </c>
      <c r="S37" s="300">
        <f t="shared" si="8"/>
        <v>19141.462536</v>
      </c>
      <c r="T37" s="416">
        <f t="shared" si="9"/>
        <v>3415738.904896</v>
      </c>
      <c r="U37" s="339">
        <v>44378</v>
      </c>
      <c r="V37" s="340">
        <v>44469</v>
      </c>
      <c r="W37" s="490"/>
      <c r="X37" s="490"/>
      <c r="Y37" s="490"/>
    </row>
    <row r="38" ht="18" customHeight="1">
      <c r="A38" s="238" t="s">
        <v>24</v>
      </c>
      <c r="B38" s="245" t="s">
        <v>1125</v>
      </c>
      <c r="C38" s="246" t="s">
        <v>1126</v>
      </c>
      <c r="D38" s="245" t="s">
        <v>34</v>
      </c>
      <c r="E38" s="246" t="s">
        <v>170</v>
      </c>
      <c r="F38" s="246" t="s">
        <v>87</v>
      </c>
      <c r="G38" s="495">
        <v>2069530</v>
      </c>
      <c r="H38" s="304"/>
      <c r="I38" s="304">
        <f t="shared" si="2"/>
        <v>101200.017</v>
      </c>
      <c r="J38" s="304">
        <f t="shared" si="3"/>
        <v>82781.2</v>
      </c>
      <c r="K38" s="304">
        <f t="shared" si="4"/>
        <v>41390.6</v>
      </c>
      <c r="L38" s="298">
        <v>15000</v>
      </c>
      <c r="M38" s="295">
        <f t="shared" si="5"/>
        <v>2309901.817</v>
      </c>
      <c r="N38" s="303">
        <f t="shared" si="6"/>
        <v>184792.14536</v>
      </c>
      <c r="O38" s="300">
        <v>720000</v>
      </c>
      <c r="P38" s="303"/>
      <c r="Q38" s="303"/>
      <c r="R38" s="300">
        <f t="shared" si="7"/>
        <v>3214693.96236</v>
      </c>
      <c r="S38" s="300">
        <f t="shared" si="8"/>
        <v>18479.214536</v>
      </c>
      <c r="T38" s="416">
        <f t="shared" si="9"/>
        <v>3233173.176896</v>
      </c>
      <c r="U38" s="339">
        <v>44347</v>
      </c>
      <c r="V38" s="340">
        <v>44439</v>
      </c>
      <c r="W38" s="529"/>
      <c r="X38" s="490"/>
      <c r="Y38" s="490"/>
    </row>
    <row r="39" ht="18" customHeight="1">
      <c r="A39" s="238" t="s">
        <v>24</v>
      </c>
      <c r="B39" s="245" t="s">
        <v>1127</v>
      </c>
      <c r="C39" s="246" t="s">
        <v>1128</v>
      </c>
      <c r="D39" s="245" t="s">
        <v>34</v>
      </c>
      <c r="E39" s="246" t="s">
        <v>170</v>
      </c>
      <c r="F39" s="246" t="s">
        <v>87</v>
      </c>
      <c r="G39" s="495">
        <v>2069530</v>
      </c>
      <c r="H39" s="304"/>
      <c r="I39" s="304">
        <f t="shared" si="2"/>
        <v>101200.017</v>
      </c>
      <c r="J39" s="304">
        <f t="shared" si="3"/>
        <v>82781.2</v>
      </c>
      <c r="K39" s="304">
        <f t="shared" si="4"/>
        <v>41390.6</v>
      </c>
      <c r="L39" s="298">
        <v>15000</v>
      </c>
      <c r="M39" s="295">
        <f t="shared" si="5"/>
        <v>2309901.817</v>
      </c>
      <c r="N39" s="303">
        <f t="shared" si="6"/>
        <v>184792.14536</v>
      </c>
      <c r="O39" s="300">
        <v>842500</v>
      </c>
      <c r="P39" s="303"/>
      <c r="Q39" s="303"/>
      <c r="R39" s="300">
        <f t="shared" si="7"/>
        <v>3337193.96236</v>
      </c>
      <c r="S39" s="300">
        <f t="shared" si="8"/>
        <v>18479.214536</v>
      </c>
      <c r="T39" s="416">
        <f t="shared" si="9"/>
        <v>3355673.176896</v>
      </c>
      <c r="U39" s="339">
        <v>44364</v>
      </c>
      <c r="V39" s="340">
        <v>44469</v>
      </c>
      <c r="W39" s="529"/>
      <c r="X39" s="490"/>
      <c r="Y39" s="490"/>
    </row>
    <row r="40" ht="18" customHeight="1">
      <c r="A40" s="238" t="s">
        <v>24</v>
      </c>
      <c r="B40" s="245" t="s">
        <v>1129</v>
      </c>
      <c r="C40" s="246" t="s">
        <v>1130</v>
      </c>
      <c r="D40" s="245" t="s">
        <v>34</v>
      </c>
      <c r="E40" s="246" t="s">
        <v>170</v>
      </c>
      <c r="F40" s="246" t="s">
        <v>87</v>
      </c>
      <c r="G40" s="495">
        <v>2069530</v>
      </c>
      <c r="H40" s="304"/>
      <c r="I40" s="304">
        <f t="shared" si="2"/>
        <v>101200.017</v>
      </c>
      <c r="J40" s="304">
        <f t="shared" si="3"/>
        <v>82781.2</v>
      </c>
      <c r="K40" s="304">
        <f t="shared" si="4"/>
        <v>41390.6</v>
      </c>
      <c r="L40" s="298">
        <v>15000</v>
      </c>
      <c r="M40" s="295">
        <f t="shared" si="5"/>
        <v>2309901.817</v>
      </c>
      <c r="N40" s="303">
        <f t="shared" si="6"/>
        <v>184792.14536</v>
      </c>
      <c r="O40" s="300">
        <v>1570000</v>
      </c>
      <c r="P40" s="303"/>
      <c r="Q40" s="303"/>
      <c r="R40" s="300">
        <f t="shared" si="7"/>
        <v>4064693.96236</v>
      </c>
      <c r="S40" s="300">
        <f t="shared" si="8"/>
        <v>18479.214536</v>
      </c>
      <c r="T40" s="416">
        <f t="shared" si="9"/>
        <v>4083173.176896</v>
      </c>
      <c r="U40" s="339">
        <v>44409</v>
      </c>
      <c r="V40" s="340">
        <v>44500</v>
      </c>
      <c r="W40" s="529"/>
      <c r="X40" s="490"/>
      <c r="Y40" s="490"/>
    </row>
    <row r="41" ht="18" customHeight="1">
      <c r="A41" s="238" t="s">
        <v>24</v>
      </c>
      <c r="B41" s="496" t="s">
        <v>1131</v>
      </c>
      <c r="C41" s="379" t="s">
        <v>1132</v>
      </c>
      <c r="D41" s="496" t="s">
        <v>34</v>
      </c>
      <c r="E41" s="379" t="s">
        <v>170</v>
      </c>
      <c r="F41" s="379" t="s">
        <v>87</v>
      </c>
      <c r="G41" s="497">
        <v>2069530</v>
      </c>
      <c r="H41" s="404"/>
      <c r="I41" s="404">
        <f ref="I41:I54" t="shared" si="11">+$G$4*4.89%</f>
        <v>101200.017</v>
      </c>
      <c r="J41" s="404">
        <f ref="J41:J54" t="shared" si="12">+$G$4*4%</f>
        <v>82781.2</v>
      </c>
      <c r="K41" s="404">
        <f ref="K41:K54" t="shared" si="13">+$G$4*2%</f>
        <v>41390.6</v>
      </c>
      <c r="L41" s="511">
        <v>15000</v>
      </c>
      <c r="M41" s="512">
        <f ref="M41:M60" t="shared" si="14">SUM(G41,I41:L41)-H41</f>
        <v>2309901.817</v>
      </c>
      <c r="N41" s="407">
        <f ref="N41:N60" t="shared" si="15">+M41*8%</f>
        <v>184792.14536</v>
      </c>
      <c r="O41" s="300">
        <v>385000</v>
      </c>
      <c r="P41" s="407"/>
      <c r="Q41" s="407"/>
      <c r="R41" s="428">
        <f ref="R41:R63" t="shared" si="16">SUM(M41:Q41)</f>
        <v>2879693.96236</v>
      </c>
      <c r="S41" s="428">
        <f ref="S41:S63" t="shared" si="17">N41*0.1</f>
        <v>18479.214536</v>
      </c>
      <c r="T41" s="429">
        <f ref="T41:T63" t="shared" si="18">R41+S41</f>
        <v>2898173.176896</v>
      </c>
      <c r="U41" s="430" t="s">
        <v>1133</v>
      </c>
      <c r="V41" s="431">
        <v>44500</v>
      </c>
      <c r="W41" s="530"/>
      <c r="X41" s="531"/>
    </row>
    <row r="42" ht="18" customHeight="1">
      <c r="A42" s="238" t="s">
        <v>24</v>
      </c>
      <c r="B42" s="496" t="s">
        <v>1134</v>
      </c>
      <c r="C42" s="379" t="s">
        <v>1135</v>
      </c>
      <c r="D42" s="496" t="s">
        <v>34</v>
      </c>
      <c r="E42" s="379" t="s">
        <v>170</v>
      </c>
      <c r="F42" s="379" t="s">
        <v>87</v>
      </c>
      <c r="G42" s="497">
        <v>2069530</v>
      </c>
      <c r="H42" s="404"/>
      <c r="I42" s="404">
        <f t="shared" si="11"/>
        <v>101200.017</v>
      </c>
      <c r="J42" s="404">
        <f t="shared" si="12"/>
        <v>82781.2</v>
      </c>
      <c r="K42" s="404">
        <f t="shared" si="13"/>
        <v>41390.6</v>
      </c>
      <c r="L42" s="511">
        <v>15000</v>
      </c>
      <c r="M42" s="512">
        <f t="shared" si="14"/>
        <v>2309901.817</v>
      </c>
      <c r="N42" s="407">
        <f t="shared" si="15"/>
        <v>184792.14536</v>
      </c>
      <c r="O42" s="300">
        <v>390000</v>
      </c>
      <c r="P42" s="407"/>
      <c r="Q42" s="407"/>
      <c r="R42" s="428">
        <f t="shared" si="16"/>
        <v>2884693.96236</v>
      </c>
      <c r="S42" s="428">
        <f t="shared" si="17"/>
        <v>18479.214536</v>
      </c>
      <c r="T42" s="429">
        <f t="shared" si="18"/>
        <v>2903173.176896</v>
      </c>
      <c r="U42" s="430" t="s">
        <v>1133</v>
      </c>
      <c r="V42" s="431">
        <v>44500</v>
      </c>
      <c r="W42" s="530"/>
      <c r="X42" s="531"/>
    </row>
    <row r="43" ht="18" customHeight="1">
      <c r="A43" s="238" t="s">
        <v>24</v>
      </c>
      <c r="B43" s="496" t="s">
        <v>1136</v>
      </c>
      <c r="C43" s="379" t="s">
        <v>1137</v>
      </c>
      <c r="D43" s="496" t="s">
        <v>34</v>
      </c>
      <c r="E43" s="379" t="s">
        <v>170</v>
      </c>
      <c r="F43" s="379" t="s">
        <v>87</v>
      </c>
      <c r="G43" s="497">
        <v>2069530</v>
      </c>
      <c r="H43" s="404"/>
      <c r="I43" s="404">
        <f t="shared" si="11"/>
        <v>101200.017</v>
      </c>
      <c r="J43" s="404">
        <f t="shared" si="12"/>
        <v>82781.2</v>
      </c>
      <c r="K43" s="404">
        <f t="shared" si="13"/>
        <v>41390.6</v>
      </c>
      <c r="L43" s="511">
        <v>15000</v>
      </c>
      <c r="M43" s="512">
        <f t="shared" si="14"/>
        <v>2309901.817</v>
      </c>
      <c r="N43" s="407">
        <f t="shared" si="15"/>
        <v>184792.14536</v>
      </c>
      <c r="O43" s="300">
        <v>300000</v>
      </c>
      <c r="P43" s="407"/>
      <c r="Q43" s="407"/>
      <c r="R43" s="428">
        <f t="shared" si="16"/>
        <v>2794693.96236</v>
      </c>
      <c r="S43" s="428">
        <f t="shared" si="17"/>
        <v>18479.214536</v>
      </c>
      <c r="T43" s="429">
        <f t="shared" si="18"/>
        <v>2813173.176896</v>
      </c>
      <c r="U43" s="430" t="s">
        <v>1133</v>
      </c>
      <c r="V43" s="431">
        <v>44500</v>
      </c>
      <c r="W43" s="530"/>
      <c r="X43" s="531"/>
    </row>
    <row r="44" ht="18" customHeight="1">
      <c r="A44" s="238" t="s">
        <v>24</v>
      </c>
      <c r="B44" s="496" t="s">
        <v>1138</v>
      </c>
      <c r="C44" s="379" t="s">
        <v>1139</v>
      </c>
      <c r="D44" s="496" t="s">
        <v>34</v>
      </c>
      <c r="E44" s="379" t="s">
        <v>170</v>
      </c>
      <c r="F44" s="379" t="s">
        <v>87</v>
      </c>
      <c r="G44" s="497">
        <v>2069530</v>
      </c>
      <c r="H44" s="404"/>
      <c r="I44" s="404">
        <f t="shared" si="11"/>
        <v>101200.017</v>
      </c>
      <c r="J44" s="404">
        <f t="shared" si="12"/>
        <v>82781.2</v>
      </c>
      <c r="K44" s="404">
        <f t="shared" si="13"/>
        <v>41390.6</v>
      </c>
      <c r="L44" s="511">
        <v>15000</v>
      </c>
      <c r="M44" s="512">
        <f t="shared" si="14"/>
        <v>2309901.817</v>
      </c>
      <c r="N44" s="407">
        <f t="shared" si="15"/>
        <v>184792.14536</v>
      </c>
      <c r="O44" s="300">
        <v>345000</v>
      </c>
      <c r="P44" s="407"/>
      <c r="Q44" s="407"/>
      <c r="R44" s="428">
        <f t="shared" si="16"/>
        <v>2839693.96236</v>
      </c>
      <c r="S44" s="428">
        <f t="shared" si="17"/>
        <v>18479.214536</v>
      </c>
      <c r="T44" s="429">
        <f t="shared" si="18"/>
        <v>2858173.176896</v>
      </c>
      <c r="U44" s="430" t="s">
        <v>1140</v>
      </c>
      <c r="V44" s="431">
        <v>44500</v>
      </c>
      <c r="W44" s="530"/>
      <c r="X44" s="531"/>
    </row>
    <row r="45" ht="18" customHeight="1">
      <c r="A45" s="238" t="s">
        <v>24</v>
      </c>
      <c r="B45" s="496" t="s">
        <v>1141</v>
      </c>
      <c r="C45" s="379" t="s">
        <v>1142</v>
      </c>
      <c r="D45" s="496" t="s">
        <v>34</v>
      </c>
      <c r="E45" s="379" t="s">
        <v>170</v>
      </c>
      <c r="F45" s="379" t="s">
        <v>87</v>
      </c>
      <c r="G45" s="497">
        <v>2069530</v>
      </c>
      <c r="H45" s="404"/>
      <c r="I45" s="404">
        <f t="shared" si="11"/>
        <v>101200.017</v>
      </c>
      <c r="J45" s="404">
        <f t="shared" si="12"/>
        <v>82781.2</v>
      </c>
      <c r="K45" s="404">
        <f t="shared" si="13"/>
        <v>41390.6</v>
      </c>
      <c r="L45" s="511">
        <v>15000</v>
      </c>
      <c r="M45" s="512">
        <f t="shared" si="14"/>
        <v>2309901.817</v>
      </c>
      <c r="N45" s="407">
        <f t="shared" si="15"/>
        <v>184792.14536</v>
      </c>
      <c r="O45" s="300">
        <v>435000</v>
      </c>
      <c r="P45" s="407"/>
      <c r="Q45" s="407"/>
      <c r="R45" s="428">
        <f t="shared" si="16"/>
        <v>2929693.96236</v>
      </c>
      <c r="S45" s="428">
        <f t="shared" si="17"/>
        <v>18479.214536</v>
      </c>
      <c r="T45" s="429">
        <f t="shared" si="18"/>
        <v>2948173.176896</v>
      </c>
      <c r="U45" s="430" t="s">
        <v>1140</v>
      </c>
      <c r="V45" s="431">
        <v>44500</v>
      </c>
      <c r="W45" s="530"/>
      <c r="X45" s="531"/>
    </row>
    <row r="46" ht="18" customHeight="1">
      <c r="A46" s="238" t="s">
        <v>24</v>
      </c>
      <c r="B46" s="496" t="s">
        <v>1143</v>
      </c>
      <c r="C46" s="379" t="s">
        <v>1144</v>
      </c>
      <c r="D46" s="496" t="s">
        <v>34</v>
      </c>
      <c r="E46" s="379" t="s">
        <v>170</v>
      </c>
      <c r="F46" s="379" t="s">
        <v>87</v>
      </c>
      <c r="G46" s="497">
        <v>2069530</v>
      </c>
      <c r="H46" s="404"/>
      <c r="I46" s="404">
        <f t="shared" si="11"/>
        <v>101200.017</v>
      </c>
      <c r="J46" s="404">
        <f t="shared" si="12"/>
        <v>82781.2</v>
      </c>
      <c r="K46" s="404">
        <f t="shared" si="13"/>
        <v>41390.6</v>
      </c>
      <c r="L46" s="511">
        <v>15000</v>
      </c>
      <c r="M46" s="512">
        <f t="shared" si="14"/>
        <v>2309901.817</v>
      </c>
      <c r="N46" s="407">
        <f t="shared" si="15"/>
        <v>184792.14536</v>
      </c>
      <c r="O46" s="300">
        <v>225000</v>
      </c>
      <c r="P46" s="407"/>
      <c r="Q46" s="407"/>
      <c r="R46" s="428">
        <f t="shared" si="16"/>
        <v>2719693.96236</v>
      </c>
      <c r="S46" s="428">
        <f t="shared" si="17"/>
        <v>18479.214536</v>
      </c>
      <c r="T46" s="429">
        <f t="shared" si="18"/>
        <v>2738173.176896</v>
      </c>
      <c r="U46" s="430" t="s">
        <v>1145</v>
      </c>
      <c r="V46" s="431">
        <v>44500</v>
      </c>
      <c r="W46" s="530"/>
      <c r="X46" s="531"/>
    </row>
    <row r="47" ht="18" customHeight="1">
      <c r="A47" s="238" t="s">
        <v>24</v>
      </c>
      <c r="B47" s="496">
        <v>2759</v>
      </c>
      <c r="C47" s="379" t="s">
        <v>1146</v>
      </c>
      <c r="D47" s="496" t="s">
        <v>34</v>
      </c>
      <c r="E47" s="379" t="s">
        <v>170</v>
      </c>
      <c r="F47" s="379" t="s">
        <v>87</v>
      </c>
      <c r="G47" s="497">
        <v>2069530</v>
      </c>
      <c r="H47" s="404"/>
      <c r="I47" s="404">
        <f t="shared" si="11"/>
        <v>101200.017</v>
      </c>
      <c r="J47" s="404">
        <f t="shared" si="12"/>
        <v>82781.2</v>
      </c>
      <c r="K47" s="404">
        <f t="shared" si="13"/>
        <v>41390.6</v>
      </c>
      <c r="L47" s="511">
        <v>15000</v>
      </c>
      <c r="M47" s="512">
        <f t="shared" si="14"/>
        <v>2309901.817</v>
      </c>
      <c r="N47" s="407">
        <f t="shared" si="15"/>
        <v>184792.14536</v>
      </c>
      <c r="O47" s="300">
        <v>175000</v>
      </c>
      <c r="P47" s="407"/>
      <c r="Q47" s="407"/>
      <c r="R47" s="428">
        <f t="shared" si="16"/>
        <v>2669693.96236</v>
      </c>
      <c r="S47" s="428">
        <f t="shared" si="17"/>
        <v>18479.214536</v>
      </c>
      <c r="T47" s="429">
        <f t="shared" si="18"/>
        <v>2688173.176896</v>
      </c>
      <c r="U47" s="430" t="s">
        <v>1147</v>
      </c>
      <c r="V47" s="431">
        <v>44500</v>
      </c>
      <c r="W47" s="530"/>
      <c r="X47" s="531"/>
    </row>
    <row r="48" ht="18" customHeight="1">
      <c r="A48" s="238" t="s">
        <v>24</v>
      </c>
      <c r="B48" s="496">
        <v>2765</v>
      </c>
      <c r="C48" s="379" t="s">
        <v>1148</v>
      </c>
      <c r="D48" s="496" t="s">
        <v>34</v>
      </c>
      <c r="E48" s="379" t="s">
        <v>170</v>
      </c>
      <c r="F48" s="379" t="s">
        <v>87</v>
      </c>
      <c r="G48" s="497">
        <v>2069530</v>
      </c>
      <c r="H48" s="404"/>
      <c r="I48" s="404">
        <f t="shared" si="11"/>
        <v>101200.017</v>
      </c>
      <c r="J48" s="404">
        <f t="shared" si="12"/>
        <v>82781.2</v>
      </c>
      <c r="K48" s="404">
        <f t="shared" si="13"/>
        <v>41390.6</v>
      </c>
      <c r="L48" s="511">
        <v>15000</v>
      </c>
      <c r="M48" s="512">
        <f t="shared" si="14"/>
        <v>2309901.817</v>
      </c>
      <c r="N48" s="407">
        <f t="shared" si="15"/>
        <v>184792.14536</v>
      </c>
      <c r="O48" s="300"/>
      <c r="P48" s="407"/>
      <c r="Q48" s="407"/>
      <c r="R48" s="428">
        <f t="shared" si="16"/>
        <v>2494693.96236</v>
      </c>
      <c r="S48" s="428">
        <f t="shared" si="17"/>
        <v>18479.214536</v>
      </c>
      <c r="T48" s="429">
        <f t="shared" si="18"/>
        <v>2513173.176896</v>
      </c>
      <c r="U48" s="430" t="s">
        <v>1149</v>
      </c>
      <c r="V48" s="431">
        <v>44500</v>
      </c>
      <c r="W48" s="530"/>
      <c r="X48" s="531"/>
    </row>
    <row r="49" ht="18" customHeight="1">
      <c r="A49" s="238" t="s">
        <v>24</v>
      </c>
      <c r="B49" s="496">
        <v>2760</v>
      </c>
      <c r="C49" s="379" t="s">
        <v>1150</v>
      </c>
      <c r="D49" s="496" t="s">
        <v>34</v>
      </c>
      <c r="E49" s="379" t="s">
        <v>170</v>
      </c>
      <c r="F49" s="379" t="s">
        <v>87</v>
      </c>
      <c r="G49" s="497">
        <v>2069530</v>
      </c>
      <c r="H49" s="404"/>
      <c r="I49" s="404">
        <f t="shared" si="11"/>
        <v>101200.017</v>
      </c>
      <c r="J49" s="404">
        <f t="shared" si="12"/>
        <v>82781.2</v>
      </c>
      <c r="K49" s="404">
        <f t="shared" si="13"/>
        <v>41390.6</v>
      </c>
      <c r="L49" s="511">
        <v>15000</v>
      </c>
      <c r="M49" s="512">
        <f t="shared" si="14"/>
        <v>2309901.817</v>
      </c>
      <c r="N49" s="407">
        <f t="shared" si="15"/>
        <v>184792.14536</v>
      </c>
      <c r="O49" s="300">
        <v>75000</v>
      </c>
      <c r="P49" s="407"/>
      <c r="Q49" s="407"/>
      <c r="R49" s="428">
        <f t="shared" si="16"/>
        <v>2569693.96236</v>
      </c>
      <c r="S49" s="428">
        <f t="shared" si="17"/>
        <v>18479.214536</v>
      </c>
      <c r="T49" s="429">
        <f t="shared" si="18"/>
        <v>2588173.176896</v>
      </c>
      <c r="U49" s="430" t="s">
        <v>1151</v>
      </c>
      <c r="V49" s="431">
        <v>44500</v>
      </c>
      <c r="W49" s="530"/>
      <c r="X49" s="531"/>
    </row>
    <row r="50" ht="18" customHeight="1">
      <c r="A50" s="238" t="s">
        <v>24</v>
      </c>
      <c r="B50" s="496">
        <v>2761</v>
      </c>
      <c r="C50" s="379" t="s">
        <v>1152</v>
      </c>
      <c r="D50" s="496" t="s">
        <v>34</v>
      </c>
      <c r="E50" s="379" t="s">
        <v>170</v>
      </c>
      <c r="F50" s="379" t="s">
        <v>87</v>
      </c>
      <c r="G50" s="497">
        <v>2069530</v>
      </c>
      <c r="H50" s="404"/>
      <c r="I50" s="404">
        <f t="shared" si="11"/>
        <v>101200.017</v>
      </c>
      <c r="J50" s="404">
        <f t="shared" si="12"/>
        <v>82781.2</v>
      </c>
      <c r="K50" s="404">
        <f t="shared" si="13"/>
        <v>41390.6</v>
      </c>
      <c r="L50" s="511">
        <v>15000</v>
      </c>
      <c r="M50" s="512">
        <f t="shared" si="14"/>
        <v>2309901.817</v>
      </c>
      <c r="N50" s="407">
        <f t="shared" si="15"/>
        <v>184792.14536</v>
      </c>
      <c r="O50" s="300">
        <v>25000</v>
      </c>
      <c r="P50" s="407"/>
      <c r="Q50" s="407"/>
      <c r="R50" s="428">
        <f t="shared" si="16"/>
        <v>2519693.96236</v>
      </c>
      <c r="S50" s="428">
        <f t="shared" si="17"/>
        <v>18479.214536</v>
      </c>
      <c r="T50" s="429">
        <f t="shared" si="18"/>
        <v>2538173.176896</v>
      </c>
      <c r="U50" s="430" t="s">
        <v>1151</v>
      </c>
      <c r="V50" s="431">
        <v>44500</v>
      </c>
      <c r="W50" s="530"/>
      <c r="X50" s="531"/>
    </row>
    <row r="51" ht="18" customHeight="1">
      <c r="A51" s="238" t="s">
        <v>24</v>
      </c>
      <c r="B51" s="496">
        <v>2762</v>
      </c>
      <c r="C51" s="379" t="s">
        <v>1153</v>
      </c>
      <c r="D51" s="496" t="s">
        <v>34</v>
      </c>
      <c r="E51" s="379" t="s">
        <v>170</v>
      </c>
      <c r="F51" s="379" t="s">
        <v>87</v>
      </c>
      <c r="G51" s="497">
        <v>2069530</v>
      </c>
      <c r="H51" s="404"/>
      <c r="I51" s="404">
        <f t="shared" si="11"/>
        <v>101200.017</v>
      </c>
      <c r="J51" s="404">
        <f t="shared" si="12"/>
        <v>82781.2</v>
      </c>
      <c r="K51" s="404">
        <f t="shared" si="13"/>
        <v>41390.6</v>
      </c>
      <c r="L51" s="511">
        <v>15000</v>
      </c>
      <c r="M51" s="512">
        <f t="shared" si="14"/>
        <v>2309901.817</v>
      </c>
      <c r="N51" s="407">
        <f t="shared" si="15"/>
        <v>184792.14536</v>
      </c>
      <c r="O51" s="300"/>
      <c r="P51" s="407"/>
      <c r="Q51" s="407"/>
      <c r="R51" s="428">
        <f t="shared" si="16"/>
        <v>2494693.96236</v>
      </c>
      <c r="S51" s="428">
        <f t="shared" si="17"/>
        <v>18479.214536</v>
      </c>
      <c r="T51" s="429">
        <f t="shared" si="18"/>
        <v>2513173.176896</v>
      </c>
      <c r="U51" s="430" t="s">
        <v>1151</v>
      </c>
      <c r="V51" s="431">
        <v>44500</v>
      </c>
      <c r="W51" s="530"/>
      <c r="X51" s="531"/>
    </row>
    <row r="52" ht="18" customHeight="1">
      <c r="A52" s="238" t="s">
        <v>24</v>
      </c>
      <c r="B52" s="496">
        <v>2763</v>
      </c>
      <c r="C52" s="379" t="s">
        <v>1154</v>
      </c>
      <c r="D52" s="496" t="s">
        <v>34</v>
      </c>
      <c r="E52" s="379" t="s">
        <v>170</v>
      </c>
      <c r="F52" s="379" t="s">
        <v>87</v>
      </c>
      <c r="G52" s="497">
        <v>2069530</v>
      </c>
      <c r="H52" s="404"/>
      <c r="I52" s="404">
        <f t="shared" si="11"/>
        <v>101200.017</v>
      </c>
      <c r="J52" s="404">
        <f t="shared" si="12"/>
        <v>82781.2</v>
      </c>
      <c r="K52" s="404">
        <f t="shared" si="13"/>
        <v>41390.6</v>
      </c>
      <c r="L52" s="511">
        <v>15000</v>
      </c>
      <c r="M52" s="512">
        <f t="shared" si="14"/>
        <v>2309901.817</v>
      </c>
      <c r="N52" s="407">
        <f t="shared" si="15"/>
        <v>184792.14536</v>
      </c>
      <c r="O52" s="300"/>
      <c r="P52" s="407"/>
      <c r="Q52" s="407"/>
      <c r="R52" s="428">
        <f t="shared" si="16"/>
        <v>2494693.96236</v>
      </c>
      <c r="S52" s="428">
        <f t="shared" si="17"/>
        <v>18479.214536</v>
      </c>
      <c r="T52" s="429">
        <f t="shared" si="18"/>
        <v>2513173.176896</v>
      </c>
      <c r="U52" s="430" t="s">
        <v>1151</v>
      </c>
      <c r="V52" s="431">
        <v>44500</v>
      </c>
      <c r="W52" s="530"/>
      <c r="X52" s="531"/>
    </row>
    <row r="53" ht="18" customHeight="1">
      <c r="A53" s="238" t="s">
        <v>31</v>
      </c>
      <c r="B53" s="1940">
        <v>2764</v>
      </c>
      <c r="C53" s="379" t="s">
        <v>1155</v>
      </c>
      <c r="D53" s="496" t="s">
        <v>34</v>
      </c>
      <c r="E53" s="379" t="s">
        <v>170</v>
      </c>
      <c r="F53" s="379" t="s">
        <v>87</v>
      </c>
      <c r="G53" s="497">
        <v>2069530</v>
      </c>
      <c r="H53" s="404"/>
      <c r="I53" s="404">
        <f t="shared" si="11"/>
        <v>101200.017</v>
      </c>
      <c r="J53" s="404">
        <f t="shared" si="12"/>
        <v>82781.2</v>
      </c>
      <c r="K53" s="404">
        <f t="shared" si="13"/>
        <v>41390.6</v>
      </c>
      <c r="L53" s="511">
        <v>15000</v>
      </c>
      <c r="M53" s="512">
        <f t="shared" si="14"/>
        <v>2309901.817</v>
      </c>
      <c r="N53" s="407">
        <f t="shared" si="15"/>
        <v>184792.14536</v>
      </c>
      <c r="O53" s="300"/>
      <c r="P53" s="407"/>
      <c r="Q53" s="407"/>
      <c r="R53" s="428">
        <f t="shared" si="16"/>
        <v>2494693.96236</v>
      </c>
      <c r="S53" s="428">
        <f t="shared" si="17"/>
        <v>18479.214536</v>
      </c>
      <c r="T53" s="429">
        <f t="shared" si="18"/>
        <v>2513173.176896</v>
      </c>
      <c r="U53" s="430" t="s">
        <v>1151</v>
      </c>
      <c r="V53" s="431">
        <v>44500</v>
      </c>
      <c r="W53" s="530"/>
      <c r="X53" s="531"/>
    </row>
    <row r="54" ht="18" customHeight="1">
      <c r="A54" s="238" t="s">
        <v>24</v>
      </c>
      <c r="B54" s="496">
        <v>2877</v>
      </c>
      <c r="C54" s="379" t="s">
        <v>1156</v>
      </c>
      <c r="D54" s="496" t="s">
        <v>34</v>
      </c>
      <c r="E54" s="379" t="s">
        <v>170</v>
      </c>
      <c r="F54" s="379" t="s">
        <v>87</v>
      </c>
      <c r="G54" s="497">
        <v>2069530</v>
      </c>
      <c r="H54" s="404"/>
      <c r="I54" s="404">
        <f t="shared" si="11"/>
        <v>101200.017</v>
      </c>
      <c r="J54" s="404">
        <f t="shared" si="12"/>
        <v>82781.2</v>
      </c>
      <c r="K54" s="404">
        <f t="shared" si="13"/>
        <v>41390.6</v>
      </c>
      <c r="L54" s="511">
        <v>15000</v>
      </c>
      <c r="M54" s="512">
        <f t="shared" si="14"/>
        <v>2309901.817</v>
      </c>
      <c r="N54" s="407">
        <f t="shared" si="15"/>
        <v>184792.14536</v>
      </c>
      <c r="O54" s="300"/>
      <c r="P54" s="407"/>
      <c r="Q54" s="407"/>
      <c r="R54" s="428">
        <f t="shared" si="16"/>
        <v>2494693.96236</v>
      </c>
      <c r="S54" s="428">
        <f t="shared" si="17"/>
        <v>18479.214536</v>
      </c>
      <c r="T54" s="429">
        <f t="shared" si="18"/>
        <v>2513173.176896</v>
      </c>
      <c r="U54" s="430">
        <v>44411</v>
      </c>
      <c r="V54" s="431">
        <v>44500</v>
      </c>
      <c r="W54" s="530"/>
      <c r="X54" s="531"/>
    </row>
    <row r="55" ht="18" customHeight="1">
      <c r="A55" s="238" t="s">
        <v>31</v>
      </c>
      <c r="B55" s="1941" t="s">
        <v>1157</v>
      </c>
      <c r="C55" s="499" t="s">
        <v>1158</v>
      </c>
      <c r="D55" s="498" t="s">
        <v>34</v>
      </c>
      <c r="E55" s="499" t="s">
        <v>170</v>
      </c>
      <c r="F55" s="499" t="s">
        <v>87</v>
      </c>
      <c r="G55" s="500">
        <f>2069530/31*11</f>
        <v>734349.35483871</v>
      </c>
      <c r="H55" s="501"/>
      <c r="I55" s="501"/>
      <c r="J55" s="501"/>
      <c r="K55" s="501"/>
      <c r="L55" s="513"/>
      <c r="M55" s="514">
        <f t="shared" si="14"/>
        <v>734349.35483871</v>
      </c>
      <c r="N55" s="515">
        <f t="shared" si="15"/>
        <v>58747.9483870968</v>
      </c>
      <c r="O55" s="515">
        <v>420000</v>
      </c>
      <c r="P55" s="515"/>
      <c r="Q55" s="515"/>
      <c r="R55" s="516">
        <f t="shared" si="16"/>
        <v>1213097.30322581</v>
      </c>
      <c r="S55" s="516">
        <f t="shared" si="17"/>
        <v>5874.79483870968</v>
      </c>
      <c r="T55" s="532">
        <f t="shared" si="18"/>
        <v>1218972.09806452</v>
      </c>
      <c r="U55" s="533">
        <v>44378</v>
      </c>
      <c r="V55" s="534">
        <v>44403</v>
      </c>
      <c r="W55" s="535"/>
      <c r="X55" s="536"/>
      <c r="Y55" s="536"/>
    </row>
    <row r="56" ht="18" customHeight="1">
      <c r="A56" s="238" t="s">
        <v>31</v>
      </c>
      <c r="B56" s="1941" t="s">
        <v>1159</v>
      </c>
      <c r="C56" s="499" t="s">
        <v>1160</v>
      </c>
      <c r="D56" s="498" t="s">
        <v>34</v>
      </c>
      <c r="E56" s="499" t="s">
        <v>170</v>
      </c>
      <c r="F56" s="499" t="s">
        <v>87</v>
      </c>
      <c r="G56" s="500">
        <f>2069530/31*9</f>
        <v>600831.290322581</v>
      </c>
      <c r="H56" s="501">
        <v>-331124</v>
      </c>
      <c r="I56" s="501"/>
      <c r="J56" s="501"/>
      <c r="K56" s="501"/>
      <c r="L56" s="513"/>
      <c r="M56" s="514">
        <f t="shared" si="14"/>
        <v>931955.290322581</v>
      </c>
      <c r="N56" s="515">
        <f t="shared" si="15"/>
        <v>74556.4232258065</v>
      </c>
      <c r="O56" s="515">
        <v>425000</v>
      </c>
      <c r="P56" s="515"/>
      <c r="Q56" s="515"/>
      <c r="R56" s="516">
        <f t="shared" si="16"/>
        <v>1431511.71354839</v>
      </c>
      <c r="S56" s="516">
        <f t="shared" si="17"/>
        <v>7455.64232258065</v>
      </c>
      <c r="T56" s="532">
        <f t="shared" si="18"/>
        <v>1438967.35587097</v>
      </c>
      <c r="U56" s="533">
        <v>44381</v>
      </c>
      <c r="V56" s="534">
        <v>44405</v>
      </c>
      <c r="W56" s="535"/>
      <c r="X56" s="536"/>
      <c r="Y56" s="536"/>
    </row>
    <row r="57" ht="18" customHeight="1">
      <c r="A57" s="238" t="s">
        <v>31</v>
      </c>
      <c r="B57" s="1941" t="s">
        <v>1161</v>
      </c>
      <c r="C57" s="499" t="s">
        <v>1162</v>
      </c>
      <c r="D57" s="498" t="s">
        <v>34</v>
      </c>
      <c r="E57" s="499" t="s">
        <v>170</v>
      </c>
      <c r="F57" s="499" t="s">
        <v>87</v>
      </c>
      <c r="G57" s="500">
        <f>2069530/31*11</f>
        <v>734349.35483871</v>
      </c>
      <c r="H57" s="501"/>
      <c r="I57" s="501"/>
      <c r="J57" s="501"/>
      <c r="K57" s="501"/>
      <c r="L57" s="513"/>
      <c r="M57" s="514">
        <f t="shared" si="14"/>
        <v>734349.35483871</v>
      </c>
      <c r="N57" s="515">
        <f t="shared" si="15"/>
        <v>58747.9483870968</v>
      </c>
      <c r="O57" s="515">
        <v>680000</v>
      </c>
      <c r="P57" s="515"/>
      <c r="Q57" s="515"/>
      <c r="R57" s="516">
        <f t="shared" si="16"/>
        <v>1473097.30322581</v>
      </c>
      <c r="S57" s="516">
        <f t="shared" si="17"/>
        <v>5874.79483870968</v>
      </c>
      <c r="T57" s="532">
        <f t="shared" si="18"/>
        <v>1478972.09806452</v>
      </c>
      <c r="U57" s="533">
        <v>44381</v>
      </c>
      <c r="V57" s="534">
        <v>44403</v>
      </c>
      <c r="W57" s="535"/>
      <c r="X57" s="536"/>
    </row>
    <row r="58" ht="18.75" customHeight="1">
      <c r="A58" s="238" t="s">
        <v>31</v>
      </c>
      <c r="B58" s="1941" t="s">
        <v>1163</v>
      </c>
      <c r="C58" s="499" t="s">
        <v>505</v>
      </c>
      <c r="D58" s="498" t="s">
        <v>34</v>
      </c>
      <c r="E58" s="499" t="s">
        <v>170</v>
      </c>
      <c r="F58" s="499" t="s">
        <v>87</v>
      </c>
      <c r="G58" s="500"/>
      <c r="H58" s="501"/>
      <c r="I58" s="501"/>
      <c r="J58" s="501"/>
      <c r="K58" s="501"/>
      <c r="L58" s="501"/>
      <c r="M58" s="514">
        <f t="shared" si="14"/>
        <v>0</v>
      </c>
      <c r="N58" s="516">
        <f t="shared" si="15"/>
        <v>0</v>
      </c>
      <c r="O58" s="516">
        <v>345000</v>
      </c>
      <c r="P58" s="517"/>
      <c r="Q58" s="517"/>
      <c r="R58" s="516">
        <f t="shared" si="16"/>
        <v>345000</v>
      </c>
      <c r="S58" s="516">
        <f t="shared" si="17"/>
        <v>0</v>
      </c>
      <c r="T58" s="532">
        <f t="shared" si="18"/>
        <v>345000</v>
      </c>
      <c r="U58" s="537">
        <v>44348</v>
      </c>
      <c r="V58" s="538">
        <v>44390</v>
      </c>
      <c r="W58" s="536"/>
      <c r="X58" s="536"/>
      <c r="Y58" s="536"/>
    </row>
    <row r="59" ht="18" customHeight="1">
      <c r="A59" s="238" t="s">
        <v>31</v>
      </c>
      <c r="B59" s="1942" t="s">
        <v>1164</v>
      </c>
      <c r="C59" s="502" t="s">
        <v>169</v>
      </c>
      <c r="D59" s="503" t="s">
        <v>34</v>
      </c>
      <c r="E59" s="499" t="s">
        <v>170</v>
      </c>
      <c r="F59" s="499" t="s">
        <v>87</v>
      </c>
      <c r="G59" s="500"/>
      <c r="H59" s="501"/>
      <c r="I59" s="501"/>
      <c r="J59" s="501"/>
      <c r="K59" s="501"/>
      <c r="L59" s="513"/>
      <c r="M59" s="514">
        <f t="shared" si="14"/>
        <v>0</v>
      </c>
      <c r="N59" s="515">
        <f t="shared" si="15"/>
        <v>0</v>
      </c>
      <c r="O59" s="516">
        <v>140000</v>
      </c>
      <c r="P59" s="515"/>
      <c r="Q59" s="515"/>
      <c r="R59" s="516">
        <f t="shared" si="16"/>
        <v>140000</v>
      </c>
      <c r="S59" s="516">
        <f t="shared" si="17"/>
        <v>0</v>
      </c>
      <c r="T59" s="532">
        <f t="shared" si="18"/>
        <v>140000</v>
      </c>
      <c r="U59" s="533">
        <v>44348</v>
      </c>
      <c r="V59" s="534">
        <v>44382</v>
      </c>
      <c r="W59" s="536"/>
      <c r="X59" s="536"/>
      <c r="Y59" s="536"/>
    </row>
    <row r="60" ht="18.75" customHeight="1">
      <c r="A60" s="238" t="s">
        <v>31</v>
      </c>
      <c r="B60" s="1941" t="s">
        <v>669</v>
      </c>
      <c r="C60" s="499" t="s">
        <v>670</v>
      </c>
      <c r="D60" s="498" t="s">
        <v>34</v>
      </c>
      <c r="E60" s="499" t="s">
        <v>170</v>
      </c>
      <c r="F60" s="499" t="s">
        <v>87</v>
      </c>
      <c r="G60" s="500"/>
      <c r="H60" s="501"/>
      <c r="I60" s="501"/>
      <c r="J60" s="501"/>
      <c r="K60" s="501"/>
      <c r="L60" s="513"/>
      <c r="M60" s="514">
        <f t="shared" si="14"/>
        <v>0</v>
      </c>
      <c r="N60" s="516">
        <f t="shared" si="15"/>
        <v>0</v>
      </c>
      <c r="O60" s="515">
        <v>230000</v>
      </c>
      <c r="P60" s="517"/>
      <c r="Q60" s="517"/>
      <c r="R60" s="516">
        <f t="shared" si="16"/>
        <v>230000</v>
      </c>
      <c r="S60" s="516">
        <f t="shared" si="17"/>
        <v>0</v>
      </c>
      <c r="T60" s="532">
        <f t="shared" si="18"/>
        <v>230000</v>
      </c>
      <c r="U60" s="537">
        <v>44287</v>
      </c>
      <c r="V60" s="538">
        <v>44384</v>
      </c>
      <c r="W60" s="536"/>
      <c r="X60" s="536"/>
    </row>
    <row r="61" ht="18.75" customHeight="1">
      <c r="A61" s="238" t="s">
        <v>30</v>
      </c>
      <c r="B61" s="1943"/>
      <c r="C61" s="505" t="s">
        <v>1165</v>
      </c>
      <c r="D61" s="504" t="s">
        <v>34</v>
      </c>
      <c r="E61" s="505" t="s">
        <v>170</v>
      </c>
      <c r="F61" s="505" t="s">
        <v>87</v>
      </c>
      <c r="G61" s="506"/>
      <c r="H61" s="507"/>
      <c r="I61" s="507"/>
      <c r="J61" s="507"/>
      <c r="K61" s="507"/>
      <c r="L61" s="518"/>
      <c r="M61" s="519"/>
      <c r="N61" s="520"/>
      <c r="O61" s="521">
        <v>75000</v>
      </c>
      <c r="P61" s="522"/>
      <c r="Q61" s="522"/>
      <c r="R61" s="539">
        <f t="shared" si="16"/>
        <v>75000</v>
      </c>
      <c r="S61" s="539">
        <f t="shared" si="17"/>
        <v>0</v>
      </c>
      <c r="T61" s="540">
        <f t="shared" si="18"/>
        <v>75000</v>
      </c>
      <c r="U61" s="541"/>
      <c r="V61" s="542"/>
      <c r="W61" s="543" t="s">
        <v>1166</v>
      </c>
      <c r="X61" s="543"/>
    </row>
    <row r="62" ht="18" customHeight="1">
      <c r="A62" s="238" t="s">
        <v>30</v>
      </c>
      <c r="B62" s="1943"/>
      <c r="C62" s="505" t="s">
        <v>1167</v>
      </c>
      <c r="D62" s="504" t="s">
        <v>34</v>
      </c>
      <c r="E62" s="505" t="s">
        <v>170</v>
      </c>
      <c r="F62" s="505" t="s">
        <v>87</v>
      </c>
      <c r="G62" s="506"/>
      <c r="H62" s="507"/>
      <c r="I62" s="507"/>
      <c r="J62" s="507"/>
      <c r="K62" s="507"/>
      <c r="L62" s="518"/>
      <c r="M62" s="519">
        <f>SUM(G62,I62:L62)-H62</f>
        <v>0</v>
      </c>
      <c r="N62" s="521">
        <f>+M62*8%</f>
        <v>0</v>
      </c>
      <c r="O62" s="521">
        <v>145000</v>
      </c>
      <c r="P62" s="521"/>
      <c r="Q62" s="521"/>
      <c r="R62" s="520">
        <f t="shared" si="16"/>
        <v>145000</v>
      </c>
      <c r="S62" s="520">
        <f t="shared" si="17"/>
        <v>0</v>
      </c>
      <c r="T62" s="544">
        <f t="shared" si="18"/>
        <v>145000</v>
      </c>
      <c r="U62" s="545">
        <v>44333</v>
      </c>
      <c r="V62" s="546">
        <v>44363</v>
      </c>
      <c r="W62" s="547" t="s">
        <v>1168</v>
      </c>
      <c r="X62" s="543"/>
    </row>
    <row r="63" ht="18" customHeight="1">
      <c r="A63" s="238" t="s">
        <v>30</v>
      </c>
      <c r="B63" s="1943"/>
      <c r="C63" s="505" t="s">
        <v>1169</v>
      </c>
      <c r="D63" s="504" t="s">
        <v>34</v>
      </c>
      <c r="E63" s="505" t="s">
        <v>170</v>
      </c>
      <c r="F63" s="505" t="s">
        <v>87</v>
      </c>
      <c r="G63" s="506"/>
      <c r="H63" s="507"/>
      <c r="I63" s="507"/>
      <c r="J63" s="507"/>
      <c r="K63" s="507"/>
      <c r="L63" s="518"/>
      <c r="M63" s="519">
        <f>SUM(G63,I63:L63)-H63</f>
        <v>0</v>
      </c>
      <c r="N63" s="521">
        <f>+M63*8%</f>
        <v>0</v>
      </c>
      <c r="O63" s="521">
        <v>195000</v>
      </c>
      <c r="P63" s="521"/>
      <c r="Q63" s="521"/>
      <c r="R63" s="520">
        <f t="shared" si="16"/>
        <v>195000</v>
      </c>
      <c r="S63" s="520">
        <f t="shared" si="17"/>
        <v>0</v>
      </c>
      <c r="T63" s="544">
        <f t="shared" si="18"/>
        <v>195000</v>
      </c>
      <c r="U63" s="545"/>
      <c r="V63" s="546">
        <v>44361</v>
      </c>
      <c r="W63" s="547" t="s">
        <v>1170</v>
      </c>
      <c r="X63" s="543"/>
    </row>
    <row r="64" ht="18.75" customHeight="1">
      <c r="A64" s="1744" t="s">
        <v>30</v>
      </c>
      <c r="B64" s="1867"/>
      <c r="C64" s="1745"/>
      <c r="D64" s="1745"/>
      <c r="E64" s="1745"/>
      <c r="F64" s="1745"/>
      <c r="G64" s="386">
        <f>SUM(G12:G63)</f>
        <v>91059320</v>
      </c>
      <c r="H64" s="386">
        <f ref="H64:T64" t="shared" si="19">SUM(H12:H63)</f>
        <v>-745029</v>
      </c>
      <c r="I64" s="386">
        <f t="shared" si="19"/>
        <v>4351600.731</v>
      </c>
      <c r="J64" s="386">
        <f t="shared" si="19"/>
        <v>3559591.6</v>
      </c>
      <c r="K64" s="386">
        <f t="shared" si="19"/>
        <v>1779795.8</v>
      </c>
      <c r="L64" s="386">
        <f t="shared" si="19"/>
        <v>645000</v>
      </c>
      <c r="M64" s="386">
        <f t="shared" si="19"/>
        <v>102140337.131</v>
      </c>
      <c r="N64" s="386">
        <f t="shared" si="19"/>
        <v>8171226.97048001</v>
      </c>
      <c r="O64" s="386">
        <f t="shared" si="19"/>
        <v>31980000</v>
      </c>
      <c r="P64" s="386">
        <f t="shared" si="19"/>
        <v>0</v>
      </c>
      <c r="Q64" s="386">
        <f t="shared" si="19"/>
        <v>0</v>
      </c>
      <c r="R64" s="386">
        <f t="shared" si="19"/>
        <v>142291564.10148</v>
      </c>
      <c r="S64" s="386">
        <f t="shared" si="19"/>
        <v>817122.697048</v>
      </c>
      <c r="T64" s="386">
        <f t="shared" si="19"/>
        <v>143108686.798528</v>
      </c>
      <c r="U64" s="386"/>
      <c r="V64" s="435"/>
    </row>
    <row r="65" ht="18.75" customHeight="1">
      <c r="A65" s="0" t="s">
        <v>30</v>
      </c>
      <c r="B65" s="1861"/>
      <c r="C65" s="387"/>
      <c r="D65" s="262"/>
      <c r="E65" s="263"/>
      <c r="F65" s="264"/>
      <c r="G65" s="2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48"/>
      <c r="V65" s="317"/>
    </row>
    <row r="66" ht="18.75" customHeight="1">
      <c r="A66" s="1760" t="s">
        <v>30</v>
      </c>
      <c r="B66" s="1890"/>
      <c r="C66" s="1749"/>
      <c r="D66" s="1749"/>
      <c r="E66" s="1749"/>
      <c r="F66" s="1749"/>
      <c r="G66" s="548">
        <f ref="G66:T66" t="shared" si="20">SUM(G9,G64)</f>
        <v>95198380</v>
      </c>
      <c r="H66" s="548">
        <f t="shared" si="20"/>
        <v>-745029</v>
      </c>
      <c r="I66" s="548">
        <f t="shared" si="20"/>
        <v>4554000.765</v>
      </c>
      <c r="J66" s="548">
        <f t="shared" si="20"/>
        <v>3725154</v>
      </c>
      <c r="K66" s="548">
        <f t="shared" si="20"/>
        <v>1862577</v>
      </c>
      <c r="L66" s="548">
        <f t="shared" si="20"/>
        <v>648334</v>
      </c>
      <c r="M66" s="548">
        <f t="shared" si="20"/>
        <v>106733474.765</v>
      </c>
      <c r="N66" s="548">
        <f t="shared" si="20"/>
        <v>8538677.98120001</v>
      </c>
      <c r="O66" s="548">
        <f t="shared" si="20"/>
        <v>33055000</v>
      </c>
      <c r="P66" s="548">
        <f t="shared" si="20"/>
        <v>200000</v>
      </c>
      <c r="Q66" s="548">
        <f t="shared" si="20"/>
        <v>684000</v>
      </c>
      <c r="R66" s="548">
        <f t="shared" si="20"/>
        <v>149211152.7462</v>
      </c>
      <c r="S66" s="548">
        <f t="shared" si="20"/>
        <v>853867.79812</v>
      </c>
      <c r="T66" s="548">
        <f t="shared" si="20"/>
        <v>150065020.54432</v>
      </c>
      <c r="U66" s="548"/>
      <c r="V66" s="549"/>
    </row>
    <row r="67">
      <c r="A67" s="265" t="s">
        <v>30</v>
      </c>
      <c r="B67" s="1944"/>
      <c r="C67" s="266"/>
      <c r="D67" s="266"/>
      <c r="E67" s="266"/>
      <c r="F67" s="266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</row>
    <row r="68">
      <c r="A68" s="0" t="s">
        <v>30</v>
      </c>
      <c r="B68" s="1869"/>
      <c r="C68" s="236" t="str">
        <f>+'MALANG BAT AGUSTUS - OK'!C26</f>
        <v>Karawang, 16 Agustus 2021</v>
      </c>
      <c r="D68" s="270"/>
      <c r="E68" s="270"/>
      <c r="F68" s="270"/>
      <c r="G68" s="271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10"/>
      <c r="S68" s="310"/>
      <c r="T68" s="310"/>
      <c r="U68" s="348"/>
      <c r="V68" s="317"/>
    </row>
    <row r="69">
      <c r="A69" s="0" t="s">
        <v>30</v>
      </c>
      <c r="B69" s="1945"/>
      <c r="C69" s="353"/>
      <c r="D69" s="263"/>
      <c r="E69" s="264"/>
      <c r="F69" s="264"/>
      <c r="G69" s="210"/>
      <c r="H69" s="270"/>
      <c r="I69" s="270"/>
      <c r="J69" s="270"/>
      <c r="K69" s="270"/>
      <c r="L69" s="270"/>
      <c r="M69" s="270"/>
      <c r="N69" s="310"/>
      <c r="O69" s="310"/>
      <c r="P69" s="310"/>
      <c r="Q69" s="310"/>
      <c r="R69" s="270"/>
      <c r="S69" s="270"/>
      <c r="T69" s="310"/>
      <c r="U69" s="348"/>
      <c r="V69" s="317"/>
    </row>
    <row r="70">
      <c r="A70" s="0" t="s">
        <v>30</v>
      </c>
      <c r="B70" s="1869"/>
      <c r="C70" s="236" t="s">
        <v>38</v>
      </c>
      <c r="D70" s="274"/>
      <c r="E70" s="264"/>
      <c r="F70" s="264"/>
      <c r="G70" s="275"/>
      <c r="H70" s="262"/>
      <c r="I70" s="262"/>
      <c r="J70" s="262"/>
      <c r="K70" s="262"/>
      <c r="L70" s="312"/>
      <c r="M70" s="263" t="s">
        <v>39</v>
      </c>
      <c r="N70" s="313"/>
      <c r="O70" s="387"/>
      <c r="P70" s="313"/>
      <c r="Q70" s="387"/>
      <c r="R70" s="349"/>
      <c r="S70" s="270"/>
      <c r="T70" s="313"/>
      <c r="U70" s="348"/>
      <c r="V70" s="348"/>
    </row>
    <row r="71">
      <c r="A71" s="0" t="s">
        <v>30</v>
      </c>
      <c r="B71" s="1871"/>
      <c r="C71" s="276"/>
      <c r="D71" s="209"/>
      <c r="E71" s="208"/>
      <c r="F71" s="208"/>
      <c r="G71" s="275"/>
      <c r="H71" s="262"/>
      <c r="I71" s="262"/>
      <c r="J71" s="315"/>
      <c r="K71" s="262"/>
      <c r="L71" s="312"/>
      <c r="M71" s="262"/>
      <c r="N71" s="270"/>
      <c r="O71" s="270"/>
      <c r="P71" s="270"/>
      <c r="Q71" s="270"/>
      <c r="R71" s="349"/>
      <c r="S71" s="270"/>
      <c r="T71" s="270"/>
      <c r="U71" s="348"/>
      <c r="V71" s="348"/>
    </row>
    <row r="72">
      <c r="A72" s="0" t="s">
        <v>30</v>
      </c>
      <c r="B72" s="1871"/>
      <c r="C72" s="276"/>
      <c r="D72" s="209"/>
      <c r="E72" s="208"/>
      <c r="F72" s="208"/>
      <c r="G72" s="210"/>
      <c r="H72" s="210"/>
      <c r="I72" s="210"/>
      <c r="J72" s="270"/>
      <c r="K72" s="270"/>
      <c r="L72" s="310"/>
      <c r="M72" s="270"/>
      <c r="N72" s="270"/>
      <c r="O72" s="270"/>
      <c r="P72" s="270"/>
      <c r="Q72" s="270"/>
      <c r="R72" s="208"/>
      <c r="S72" s="270"/>
      <c r="T72" s="270"/>
      <c r="U72" s="348"/>
      <c r="V72" s="348"/>
    </row>
    <row r="73">
      <c r="A73" s="0" t="s">
        <v>30</v>
      </c>
      <c r="B73" s="1869"/>
      <c r="C73" s="269"/>
      <c r="D73" s="274"/>
      <c r="E73" s="264"/>
      <c r="F73" s="264"/>
      <c r="G73" s="275"/>
      <c r="H73" s="275"/>
      <c r="I73" s="275"/>
      <c r="J73" s="262"/>
      <c r="K73" s="262"/>
      <c r="L73" s="312"/>
      <c r="M73" s="262"/>
      <c r="N73" s="262"/>
      <c r="O73" s="262"/>
      <c r="P73" s="262"/>
      <c r="Q73" s="262"/>
      <c r="R73" s="264"/>
      <c r="S73" s="270"/>
      <c r="T73" s="270"/>
      <c r="U73" s="348"/>
      <c r="V73" s="348"/>
    </row>
    <row r="74">
      <c r="A74" s="0" t="s">
        <v>30</v>
      </c>
      <c r="B74" s="1945"/>
      <c r="C74" s="236"/>
      <c r="D74" s="264"/>
      <c r="E74" s="264"/>
      <c r="F74" s="264"/>
      <c r="G74" s="275"/>
      <c r="H74" s="275"/>
      <c r="I74" s="275"/>
      <c r="J74" s="262"/>
      <c r="K74" s="262"/>
      <c r="L74" s="312"/>
      <c r="M74" s="262"/>
      <c r="N74" s="262"/>
      <c r="O74" s="262"/>
      <c r="P74" s="262"/>
      <c r="Q74" s="262"/>
      <c r="R74" s="264"/>
      <c r="S74" s="208"/>
      <c r="T74" s="270"/>
      <c r="U74" s="348"/>
      <c r="V74" s="348"/>
    </row>
    <row r="75">
      <c r="A75" s="0" t="s">
        <v>30</v>
      </c>
      <c r="B75" s="1945"/>
      <c r="C75" s="236"/>
      <c r="D75" s="264"/>
      <c r="E75" s="264"/>
      <c r="F75" s="264"/>
      <c r="G75" s="275"/>
      <c r="H75" s="275"/>
      <c r="I75" s="275"/>
      <c r="J75" s="262"/>
      <c r="K75" s="262"/>
      <c r="L75" s="312"/>
      <c r="M75" s="262"/>
      <c r="N75" s="262"/>
      <c r="O75" s="262"/>
      <c r="P75" s="262"/>
      <c r="Q75" s="262"/>
      <c r="R75" s="264"/>
      <c r="S75" s="270"/>
      <c r="T75" s="387"/>
      <c r="U75" s="348"/>
      <c r="V75" s="348"/>
    </row>
    <row r="76">
      <c r="A76" s="0" t="s">
        <v>30</v>
      </c>
      <c r="B76" s="1945"/>
      <c r="C76" s="236" t="s">
        <v>40</v>
      </c>
      <c r="D76" s="268"/>
      <c r="E76" s="277"/>
      <c r="F76" s="277"/>
      <c r="G76" s="278"/>
      <c r="H76" s="297"/>
      <c r="I76" s="297"/>
      <c r="J76" s="412" t="s">
        <v>41</v>
      </c>
      <c r="K76" s="389"/>
      <c r="L76" s="389"/>
      <c r="M76" s="272" t="s">
        <v>42</v>
      </c>
      <c r="O76" s="236" t="s">
        <v>43</v>
      </c>
      <c r="Q76" s="389"/>
      <c r="U76" s="350"/>
      <c r="V76" s="350"/>
    </row>
    <row r="77">
      <c r="A77" s="389" t="s">
        <v>30</v>
      </c>
      <c r="B77" s="1868"/>
      <c r="C77" s="236"/>
      <c r="D77" s="277"/>
      <c r="E77" s="277"/>
      <c r="F77" s="388"/>
      <c r="G77" s="278"/>
      <c r="H77" s="389"/>
      <c r="I77" s="389"/>
      <c r="J77" s="389"/>
      <c r="K77" s="389"/>
      <c r="L77" s="389"/>
      <c r="M77" s="278"/>
      <c r="N77" s="389"/>
      <c r="O77" s="389"/>
      <c r="P77" s="389"/>
      <c r="Q77" s="389"/>
      <c r="R77" s="389"/>
      <c r="U77" s="350"/>
      <c r="V77" s="350"/>
    </row>
    <row r="78">
      <c r="A78" s="389" t="s">
        <v>30</v>
      </c>
      <c r="B78" s="1868"/>
      <c r="C78" s="390"/>
      <c r="D78" s="277"/>
      <c r="E78" s="277"/>
      <c r="F78" s="388"/>
      <c r="G78" s="278"/>
      <c r="H78" s="389"/>
      <c r="I78" s="389"/>
      <c r="J78" s="389"/>
      <c r="K78" s="389"/>
      <c r="L78" s="389"/>
      <c r="M78" s="278"/>
      <c r="N78" s="389"/>
      <c r="O78" s="389"/>
      <c r="P78" s="389"/>
      <c r="Q78" s="389"/>
      <c r="R78" s="389"/>
      <c r="U78" s="350"/>
      <c r="V78" s="350"/>
    </row>
  </sheetData>
  <mergeCells>
    <mergeCell ref="A64:F64"/>
    <mergeCell ref="A66:F66"/>
  </mergeCells>
  <printOptions horizontalCentered="1"/>
  <pageMargins left="0" right="0" top="0" bottom="0" header="0.3" footer="0.3"/>
  <pageSetup paperSize="9" scale="65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/>
  </sheetPr>
  <dimension ref="A1:W22"/>
  <sheetViews>
    <sheetView zoomScale="80" zoomScaleNormal="80" workbookViewId="0">
      <pane xSplit="7" ySplit="6" topLeftCell="H7" activePane="bottomRight" state="frozen"/>
      <selection pane="topRight"/>
      <selection pane="bottomLeft"/>
      <selection pane="bottomRight" activeCell="Q26" sqref="Q26"/>
    </sheetView>
  </sheetViews>
  <sheetFormatPr defaultColWidth="9.140625" defaultRowHeight="15"/>
  <cols>
    <col min="1" max="1" width="6.140625" customWidth="1"/>
    <col min="2" max="2" width="5.42578125" customWidth="1"/>
    <col min="3" max="3" width="23.85546875" customWidth="1"/>
    <col min="4" max="4" width="12.28515625" customWidth="1"/>
    <col min="5" max="5" hidden="1" width="13" customWidth="1"/>
    <col min="6" max="6" hidden="1" width="10.5703125" customWidth="1"/>
    <col min="7" max="7" width="12.7109375" customWidth="1"/>
    <col min="8" max="8" width="10.140625" customWidth="1"/>
    <col min="9" max="9" width="11.5703125" customWidth="1"/>
    <col min="10" max="10" width="12.140625" customWidth="1"/>
    <col min="11" max="11" width="10.85546875" customWidth="1"/>
    <col min="12" max="12" width="10.7109375" customWidth="1"/>
    <col min="13" max="13" width="12.7109375" customWidth="1"/>
    <col min="14" max="14" width="13.7109375" customWidth="1"/>
    <col min="15" max="15" width="12.42578125" customWidth="1"/>
    <col min="16" max="16" width="9.5703125" customWidth="1"/>
    <col min="17" max="17" bestFit="1" width="11.28515625" customWidth="1"/>
    <col min="18" max="18" width="12.7109375" customWidth="1"/>
    <col min="19" max="19" width="10" customWidth="1"/>
    <col min="20" max="20" width="12.85546875" customWidth="1"/>
    <col min="21" max="21" width="8.7109375" customWidth="1"/>
    <col min="22" max="22" width="8.42578125" customWidth="1"/>
    <col min="23" max="23" width="17.28515625" customWidth="1"/>
    <col min="24" max="25" width="11" customWidth="1"/>
  </cols>
  <sheetData>
    <row r="1">
      <c r="A1" s="436" t="s">
        <v>0</v>
      </c>
      <c r="D1" s="353"/>
      <c r="E1" s="353"/>
      <c r="F1" s="353"/>
      <c r="M1" s="391"/>
      <c r="V1" s="317"/>
    </row>
    <row r="2">
      <c r="A2" s="436" t="s">
        <v>1080</v>
      </c>
      <c r="B2" s="265"/>
      <c r="C2" s="354"/>
      <c r="D2" s="265"/>
      <c r="E2" s="265"/>
      <c r="F2" s="265"/>
      <c r="G2" s="355"/>
      <c r="H2" s="392"/>
      <c r="I2" s="392"/>
      <c r="J2" s="392"/>
      <c r="K2" s="392"/>
      <c r="L2" s="392"/>
      <c r="M2" s="355"/>
      <c r="N2" s="355"/>
      <c r="O2" s="355"/>
      <c r="P2" s="355"/>
      <c r="Q2" s="355"/>
      <c r="R2" s="392"/>
      <c r="S2" s="392"/>
      <c r="T2" s="392"/>
      <c r="U2" s="318"/>
      <c r="V2" s="318"/>
    </row>
    <row r="3">
      <c r="A3" s="436" t="str">
        <f>+'MALANG BAT AGUSTUS - OK'!A3</f>
        <v>Periode Bulan Agustus  2021</v>
      </c>
      <c r="D3" s="353"/>
      <c r="E3" s="353"/>
      <c r="F3" s="353"/>
      <c r="G3" s="356"/>
      <c r="H3" s="393"/>
      <c r="I3" s="393"/>
      <c r="M3" s="391"/>
      <c r="V3" s="317"/>
    </row>
    <row r="4">
      <c r="A4" s="352"/>
      <c r="D4" s="353"/>
      <c r="E4" s="353"/>
      <c r="F4" s="353"/>
      <c r="G4" s="357">
        <v>2069530</v>
      </c>
      <c r="H4" s="393"/>
      <c r="I4" s="393"/>
      <c r="M4" s="391"/>
      <c r="N4" s="394">
        <v>25000</v>
      </c>
      <c r="V4" s="317"/>
    </row>
    <row r="5">
      <c r="A5" s="352"/>
      <c r="D5" s="353"/>
      <c r="E5" s="353"/>
      <c r="F5" s="353"/>
      <c r="G5" s="357"/>
      <c r="H5" s="393"/>
      <c r="I5" s="393"/>
      <c r="M5" s="391"/>
      <c r="N5" s="394"/>
      <c r="V5" s="317"/>
    </row>
    <row r="6" ht="24" customHeight="1">
      <c r="A6" s="463" t="s">
        <v>2</v>
      </c>
      <c r="B6" s="464" t="s">
        <v>3</v>
      </c>
      <c r="C6" s="464" t="s">
        <v>4</v>
      </c>
      <c r="D6" s="464" t="s">
        <v>5</v>
      </c>
      <c r="E6" s="464" t="s">
        <v>6</v>
      </c>
      <c r="F6" s="465" t="s">
        <v>7</v>
      </c>
      <c r="G6" s="466" t="s">
        <v>8</v>
      </c>
      <c r="H6" s="467" t="s">
        <v>10</v>
      </c>
      <c r="I6" s="477" t="s">
        <v>11</v>
      </c>
      <c r="J6" s="477" t="s">
        <v>12</v>
      </c>
      <c r="K6" s="477" t="s">
        <v>13</v>
      </c>
      <c r="L6" s="478" t="s">
        <v>14</v>
      </c>
      <c r="M6" s="286" t="s">
        <v>15</v>
      </c>
      <c r="N6" s="286" t="s">
        <v>32</v>
      </c>
      <c r="O6" s="286" t="s">
        <v>17</v>
      </c>
      <c r="P6" s="286" t="s">
        <v>18</v>
      </c>
      <c r="Q6" s="483" t="s">
        <v>19</v>
      </c>
      <c r="R6" s="484" t="s">
        <v>20</v>
      </c>
      <c r="S6" s="484" t="s">
        <v>21</v>
      </c>
      <c r="T6" s="485" t="s">
        <v>22</v>
      </c>
      <c r="U6" s="486" t="s">
        <v>23</v>
      </c>
      <c r="V6" s="387"/>
    </row>
    <row r="7" ht="24" customHeight="1" s="351" customFormat="1">
      <c r="A7" s="1696" t="s">
        <v>24</v>
      </c>
      <c r="B7" s="1697" t="s">
        <v>1082</v>
      </c>
      <c r="C7" s="1698" t="s">
        <v>265</v>
      </c>
      <c r="D7" s="1697" t="s">
        <v>26</v>
      </c>
      <c r="E7" s="1698" t="s">
        <v>170</v>
      </c>
      <c r="F7" s="1698" t="s">
        <v>87</v>
      </c>
      <c r="G7" s="1699"/>
      <c r="H7" s="1700"/>
      <c r="I7" s="1701"/>
      <c r="J7" s="1701"/>
      <c r="K7" s="1701"/>
      <c r="L7" s="1702"/>
      <c r="M7" s="1703"/>
      <c r="N7" s="1704">
        <v>500000</v>
      </c>
      <c r="O7" s="1704">
        <v>100000</v>
      </c>
      <c r="P7" s="1705"/>
      <c r="Q7" s="1705">
        <f>SUM(L7:P7)</f>
        <v>600000</v>
      </c>
      <c r="R7" s="1705">
        <f>M7*0.1</f>
        <v>0</v>
      </c>
      <c r="S7" s="1706">
        <f>Q7+R7</f>
        <v>600000</v>
      </c>
      <c r="T7" s="1707"/>
      <c r="U7" s="1707"/>
      <c r="V7" s="426" t="s">
        <v>1480</v>
      </c>
    </row>
    <row r="8" ht="18.75" customHeight="1">
      <c r="A8" s="468" t="s">
        <v>24</v>
      </c>
      <c r="B8" s="469" t="s">
        <v>1481</v>
      </c>
      <c r="C8" s="470" t="s">
        <v>749</v>
      </c>
      <c r="D8" s="469" t="s">
        <v>26</v>
      </c>
      <c r="E8" s="470"/>
      <c r="F8" s="470"/>
      <c r="G8" s="471"/>
      <c r="H8" s="472"/>
      <c r="I8" s="479"/>
      <c r="J8" s="479"/>
      <c r="K8" s="479"/>
      <c r="L8" s="480">
        <f>SUM(G8:K8)</f>
        <v>0</v>
      </c>
      <c r="M8" s="481">
        <f>+L8*8%</f>
        <v>0</v>
      </c>
      <c r="N8" s="479">
        <f>500000+245000</f>
        <v>745000</v>
      </c>
      <c r="O8" s="479">
        <v>100000</v>
      </c>
      <c r="P8" s="480">
        <v>240000</v>
      </c>
      <c r="Q8" s="480">
        <f>SUM(L8:P8)</f>
        <v>1085000</v>
      </c>
      <c r="R8" s="480">
        <f>M8*0.1</f>
        <v>0</v>
      </c>
      <c r="S8" s="487">
        <f>Q8+R8</f>
        <v>1085000</v>
      </c>
      <c r="T8" s="488">
        <v>44348</v>
      </c>
      <c r="U8" s="489">
        <v>44377</v>
      </c>
      <c r="V8" s="490" t="s">
        <v>1482</v>
      </c>
      <c r="W8" s="490"/>
    </row>
    <row r="9" ht="18.75" customHeight="1">
      <c r="A9" s="473" t="s">
        <v>30</v>
      </c>
      <c r="B9" s="1946"/>
      <c r="C9" s="474"/>
      <c r="D9" s="474"/>
      <c r="E9" s="474"/>
      <c r="F9" s="475"/>
      <c r="G9" s="476">
        <f ref="G9:M9" t="shared" si="3">SUM(G8:G8)</f>
        <v>0</v>
      </c>
      <c r="H9" s="476">
        <f t="shared" si="3"/>
        <v>0</v>
      </c>
      <c r="I9" s="476">
        <f t="shared" si="3"/>
        <v>0</v>
      </c>
      <c r="J9" s="476">
        <f t="shared" si="3"/>
        <v>0</v>
      </c>
      <c r="K9" s="476">
        <f t="shared" si="3"/>
        <v>0</v>
      </c>
      <c r="L9" s="476">
        <f t="shared" si="3"/>
        <v>0</v>
      </c>
      <c r="M9" s="476">
        <f t="shared" si="3"/>
        <v>0</v>
      </c>
      <c r="N9" s="482">
        <f>SUM(N7:N8)</f>
        <v>1245000</v>
      </c>
      <c r="O9" s="482">
        <f ref="O9:S9" t="shared" si="4">SUM(O7:O8)</f>
        <v>200000</v>
      </c>
      <c r="P9" s="482">
        <f t="shared" si="4"/>
        <v>240000</v>
      </c>
      <c r="Q9" s="482">
        <f t="shared" si="4"/>
        <v>1685000</v>
      </c>
      <c r="R9" s="482">
        <f t="shared" si="4"/>
        <v>0</v>
      </c>
      <c r="S9" s="482">
        <f t="shared" si="4"/>
        <v>1685000</v>
      </c>
      <c r="T9" s="386"/>
      <c r="U9" s="435"/>
      <c r="V9" s="387"/>
    </row>
    <row r="10">
      <c r="A10" s="0" t="s">
        <v>30</v>
      </c>
      <c r="B10" s="1861"/>
      <c r="C10" s="209"/>
      <c r="D10" s="208"/>
      <c r="E10" s="208"/>
      <c r="F10" s="208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V10" s="317"/>
    </row>
    <row r="11">
      <c r="A11" s="265" t="s">
        <v>30</v>
      </c>
      <c r="B11" s="1944"/>
      <c r="C11" s="266"/>
      <c r="D11" s="266"/>
      <c r="E11" s="266"/>
      <c r="F11" s="266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</row>
    <row r="12">
      <c r="A12" s="0" t="s">
        <v>30</v>
      </c>
      <c r="B12" s="1869"/>
      <c r="C12" s="236" t="str">
        <f>+'MALANG BAT AGUSTUS - OK'!C26</f>
        <v>Karawang, 16 Agustus 2021</v>
      </c>
      <c r="D12" s="270"/>
      <c r="E12" s="270"/>
      <c r="F12" s="270"/>
      <c r="G12" s="271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48"/>
      <c r="V12" s="317"/>
    </row>
    <row r="13">
      <c r="A13" s="0" t="s">
        <v>30</v>
      </c>
      <c r="B13" s="1945"/>
      <c r="C13" s="353"/>
      <c r="D13" s="263"/>
      <c r="E13" s="264"/>
      <c r="F13" s="264"/>
      <c r="G13" s="210"/>
      <c r="H13" s="270"/>
      <c r="I13" s="270"/>
      <c r="J13" s="270"/>
      <c r="K13" s="270"/>
      <c r="L13" s="270"/>
      <c r="M13" s="270"/>
      <c r="N13" s="310"/>
      <c r="O13" s="310"/>
      <c r="P13" s="310"/>
      <c r="Q13" s="310"/>
      <c r="R13" s="270"/>
      <c r="S13" s="270"/>
      <c r="T13" s="310"/>
      <c r="U13" s="348"/>
      <c r="V13" s="317"/>
    </row>
    <row r="14">
      <c r="A14" s="0" t="s">
        <v>30</v>
      </c>
      <c r="B14" s="1869"/>
      <c r="C14" s="236" t="s">
        <v>38</v>
      </c>
      <c r="D14" s="274"/>
      <c r="E14" s="264"/>
      <c r="F14" s="264"/>
      <c r="G14" s="275"/>
      <c r="H14" s="262"/>
      <c r="I14" s="262"/>
      <c r="J14" s="262"/>
      <c r="K14" s="262"/>
      <c r="L14" s="312"/>
      <c r="M14" s="263" t="s">
        <v>39</v>
      </c>
      <c r="N14" s="387"/>
      <c r="O14" s="313"/>
      <c r="P14" s="313"/>
      <c r="Q14" s="387"/>
      <c r="R14" s="349"/>
      <c r="S14" s="270"/>
      <c r="T14" s="313"/>
      <c r="U14" s="348"/>
      <c r="V14" s="348"/>
    </row>
    <row r="15">
      <c r="A15" s="0" t="s">
        <v>30</v>
      </c>
      <c r="B15" s="1871"/>
      <c r="C15" s="276"/>
      <c r="D15" s="209"/>
      <c r="E15" s="208"/>
      <c r="F15" s="208"/>
      <c r="G15" s="275"/>
      <c r="H15" s="262"/>
      <c r="I15" s="262"/>
      <c r="J15" s="315"/>
      <c r="K15" s="262"/>
      <c r="L15" s="312"/>
      <c r="M15" s="262"/>
      <c r="N15" s="270"/>
      <c r="O15" s="270"/>
      <c r="P15" s="270"/>
      <c r="Q15" s="270"/>
      <c r="R15" s="349"/>
      <c r="S15" s="270"/>
      <c r="T15" s="270"/>
      <c r="U15" s="348"/>
      <c r="V15" s="348"/>
    </row>
    <row r="16">
      <c r="A16" s="0" t="s">
        <v>30</v>
      </c>
      <c r="B16" s="1871"/>
      <c r="C16" s="276"/>
      <c r="D16" s="209"/>
      <c r="E16" s="208"/>
      <c r="F16" s="208"/>
      <c r="G16" s="210"/>
      <c r="H16" s="210"/>
      <c r="I16" s="210"/>
      <c r="J16" s="270"/>
      <c r="K16" s="270"/>
      <c r="L16" s="310"/>
      <c r="M16" s="270"/>
      <c r="N16" s="270"/>
      <c r="O16" s="270"/>
      <c r="P16" s="270"/>
      <c r="Q16" s="270"/>
      <c r="R16" s="208"/>
      <c r="S16" s="270"/>
      <c r="T16" s="270"/>
      <c r="U16" s="348"/>
      <c r="V16" s="348"/>
    </row>
    <row r="17">
      <c r="A17" s="0" t="s">
        <v>30</v>
      </c>
      <c r="B17" s="1869"/>
      <c r="C17" s="269"/>
      <c r="D17" s="27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264"/>
      <c r="S17" s="270"/>
      <c r="T17" s="270"/>
      <c r="U17" s="348"/>
      <c r="V17" s="348"/>
    </row>
    <row r="18">
      <c r="A18" s="0" t="s">
        <v>30</v>
      </c>
      <c r="B18" s="1945"/>
      <c r="C18" s="236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4"/>
      <c r="S18" s="208"/>
      <c r="T18" s="270"/>
      <c r="U18" s="348"/>
      <c r="V18" s="348"/>
    </row>
    <row r="19">
      <c r="A19" s="0" t="s">
        <v>30</v>
      </c>
      <c r="B19" s="1945"/>
      <c r="C19" s="236"/>
      <c r="D19" s="264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262"/>
      <c r="P19" s="262"/>
      <c r="Q19" s="262"/>
      <c r="R19" s="264"/>
      <c r="S19" s="270"/>
      <c r="T19" s="387"/>
      <c r="U19" s="348"/>
      <c r="V19" s="348"/>
    </row>
    <row r="20">
      <c r="A20" s="0" t="s">
        <v>30</v>
      </c>
      <c r="B20" s="1945"/>
      <c r="C20" s="236" t="s">
        <v>40</v>
      </c>
      <c r="D20" s="268"/>
      <c r="E20" s="277"/>
      <c r="F20" s="277"/>
      <c r="G20" s="278"/>
      <c r="H20" s="297"/>
      <c r="I20" s="297"/>
      <c r="J20" s="412" t="s">
        <v>41</v>
      </c>
      <c r="K20" s="389"/>
      <c r="L20" s="389"/>
      <c r="M20" s="272" t="s">
        <v>42</v>
      </c>
      <c r="N20" s="236" t="s">
        <v>43</v>
      </c>
      <c r="Q20" s="389"/>
      <c r="U20" s="350"/>
      <c r="V20" s="350"/>
    </row>
    <row r="21">
      <c r="A21" s="389" t="s">
        <v>30</v>
      </c>
      <c r="B21" s="1868"/>
      <c r="C21" s="236"/>
      <c r="D21" s="277"/>
      <c r="E21" s="277"/>
      <c r="F21" s="388"/>
      <c r="G21" s="278"/>
      <c r="H21" s="389"/>
      <c r="I21" s="389"/>
      <c r="J21" s="389"/>
      <c r="K21" s="389"/>
      <c r="L21" s="389"/>
      <c r="M21" s="278"/>
      <c r="N21" s="389"/>
      <c r="O21" s="389"/>
      <c r="P21" s="389"/>
      <c r="Q21" s="389"/>
      <c r="R21" s="389"/>
      <c r="U21" s="350"/>
      <c r="V21" s="350"/>
    </row>
    <row r="22">
      <c r="A22" s="389" t="s">
        <v>30</v>
      </c>
      <c r="B22" s="1868"/>
      <c r="C22" s="390"/>
      <c r="D22" s="277"/>
      <c r="E22" s="277"/>
      <c r="F22" s="388"/>
      <c r="G22" s="278"/>
      <c r="H22" s="389"/>
      <c r="I22" s="389"/>
      <c r="J22" s="389"/>
      <c r="K22" s="389"/>
      <c r="L22" s="389"/>
      <c r="M22" s="278"/>
      <c r="N22" s="389"/>
      <c r="O22" s="389"/>
      <c r="P22" s="389"/>
      <c r="Q22" s="389"/>
      <c r="R22" s="389"/>
      <c r="U22" s="350"/>
      <c r="V22" s="350"/>
    </row>
  </sheetData>
  <printOptions horizontalCentered="1"/>
  <pageMargins left="0" right="0" top="0" bottom="0" header="0.3" footer="0.3"/>
  <pageSetup paperSize="9" scale="65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W37"/>
  <sheetViews>
    <sheetView zoomScale="85" zoomScaleNormal="85" workbookViewId="0">
      <pane xSplit="7" ySplit="11" topLeftCell="H12" activePane="bottomRight" state="frozen"/>
      <selection activeCell="M12" sqref="M12:M23"/>
      <selection pane="topRight" activeCell="M12" sqref="M12:M23"/>
      <selection pane="bottomLeft" activeCell="M12" sqref="M12:M23"/>
      <selection pane="bottomRight" activeCell="M12" sqref="M12:M23"/>
    </sheetView>
  </sheetViews>
  <sheetFormatPr defaultColWidth="9.140625" defaultRowHeight="15"/>
  <cols>
    <col min="1" max="2" width="4.85546875" customWidth="1"/>
    <col min="3" max="3" width="20.7109375" customWidth="1"/>
    <col min="4" max="4" width="12.28515625" customWidth="1"/>
    <col min="5" max="5" hidden="1" width="8.140625" customWidth="1"/>
    <col min="6" max="6" hidden="1" width="10.5703125" customWidth="1"/>
    <col min="7" max="7" width="12.28515625" customWidth="1"/>
    <col min="8" max="8" width="11.7109375" customWidth="1"/>
    <col min="9" max="9" width="10.85546875" customWidth="1"/>
    <col min="10" max="10" width="11.28515625" customWidth="1"/>
    <col min="11" max="11" width="12" customWidth="1"/>
    <col min="12" max="12" width="12.85546875" customWidth="1"/>
    <col min="13" max="13" width="11.85546875" customWidth="1"/>
    <col min="14" max="14" width="12.42578125" customWidth="1"/>
    <col min="15" max="15" width="13.7109375" customWidth="1"/>
    <col min="16" max="16" width="11.7109375" customWidth="1"/>
    <col min="17" max="17" width="10" customWidth="1"/>
    <col min="18" max="18" width="11.5703125" customWidth="1"/>
    <col min="19" max="19" width="9.5703125" customWidth="1"/>
    <col min="20" max="20" width="12.85546875" customWidth="1"/>
    <col min="21" max="21" width="8.42578125" customWidth="1"/>
    <col min="22" max="22" width="10.28515625" customWidth="1"/>
    <col min="23" max="23" width="7.85546875" customWidth="1"/>
    <col min="24" max="24" width="9.140625" customWidth="1"/>
  </cols>
  <sheetData>
    <row r="1">
      <c r="A1" s="207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207" t="s">
        <v>1483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207" t="str">
        <f>+'MALANG BAT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M3" s="210"/>
      <c r="U3" s="316"/>
      <c r="V3" s="317"/>
    </row>
    <row r="4">
      <c r="A4" s="207"/>
      <c r="B4" s="208"/>
      <c r="C4" s="209"/>
      <c r="D4" s="208"/>
      <c r="E4" s="208"/>
      <c r="F4" s="208"/>
      <c r="G4" s="213"/>
      <c r="H4" s="213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08"/>
      <c r="G5" s="214">
        <v>1982750</v>
      </c>
      <c r="H5" s="214"/>
      <c r="I5" s="281"/>
      <c r="M5" s="210"/>
      <c r="U5" s="316"/>
      <c r="V5" s="317"/>
    </row>
    <row r="6" ht="22.5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8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284" t="s">
        <v>14</v>
      </c>
      <c r="N6" s="285" t="s">
        <v>15</v>
      </c>
      <c r="O6" s="285" t="s">
        <v>32</v>
      </c>
      <c r="P6" s="285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7.25" customHeight="1">
      <c r="A7" s="238" t="s">
        <v>24</v>
      </c>
      <c r="B7" s="239" t="s">
        <v>1484</v>
      </c>
      <c r="C7" s="437" t="s">
        <v>1485</v>
      </c>
      <c r="D7" s="239" t="s">
        <v>26</v>
      </c>
      <c r="E7" s="241" t="s">
        <v>772</v>
      </c>
      <c r="F7" s="242" t="s">
        <v>87</v>
      </c>
      <c r="G7" s="243">
        <f>1982750</f>
        <v>1982750</v>
      </c>
      <c r="H7" s="244"/>
      <c r="I7" s="298">
        <f>+$G$5*4.89%</f>
        <v>96956.475</v>
      </c>
      <c r="J7" s="298">
        <f>+$G$5*4%</f>
        <v>79310</v>
      </c>
      <c r="K7" s="298">
        <f>+$G$5*2%</f>
        <v>39655</v>
      </c>
      <c r="L7" s="298">
        <v>1667</v>
      </c>
      <c r="M7" s="296">
        <f>SUM(G7:L7)</f>
        <v>2200338.475</v>
      </c>
      <c r="N7" s="303">
        <f>+M7*8%</f>
        <v>176027.078</v>
      </c>
      <c r="O7" s="447">
        <f>500000+375000</f>
        <v>875000</v>
      </c>
      <c r="P7" s="399">
        <v>100000</v>
      </c>
      <c r="Q7" s="303">
        <f>21*12000</f>
        <v>252000</v>
      </c>
      <c r="R7" s="335">
        <f>SUM(M7:Q7)</f>
        <v>3603365.5530000003</v>
      </c>
      <c r="S7" s="335">
        <f>N7*0.1</f>
        <v>17602.7078</v>
      </c>
      <c r="T7" s="336">
        <f>R7+S7</f>
        <v>3620968.2608000003</v>
      </c>
      <c r="U7" s="337">
        <v>44348</v>
      </c>
      <c r="V7" s="338">
        <v>44439</v>
      </c>
      <c r="W7" s="419"/>
    </row>
    <row r="8" ht="18" customHeight="1">
      <c r="A8" s="360" t="s">
        <v>30</v>
      </c>
      <c r="B8" s="1947"/>
      <c r="C8" s="438" t="s">
        <v>88</v>
      </c>
      <c r="D8" s="361"/>
      <c r="E8" s="439"/>
      <c r="F8" s="440"/>
      <c r="G8" s="364">
        <f ref="G8:T8" t="shared" si="0">SUM(G7)</f>
        <v>1982750</v>
      </c>
      <c r="H8" s="364">
        <f t="shared" si="0"/>
        <v>0</v>
      </c>
      <c r="I8" s="364">
        <f t="shared" si="0"/>
        <v>96956.475</v>
      </c>
      <c r="J8" s="364">
        <f t="shared" si="0"/>
        <v>79310</v>
      </c>
      <c r="K8" s="364">
        <f t="shared" si="0"/>
        <v>39655</v>
      </c>
      <c r="L8" s="364">
        <f t="shared" si="0"/>
        <v>1667</v>
      </c>
      <c r="M8" s="364">
        <f t="shared" si="0"/>
        <v>2200338.475</v>
      </c>
      <c r="N8" s="364">
        <f t="shared" si="0"/>
        <v>176027.078</v>
      </c>
      <c r="O8" s="364">
        <f t="shared" si="0"/>
        <v>875000</v>
      </c>
      <c r="P8" s="364">
        <f t="shared" si="0"/>
        <v>100000</v>
      </c>
      <c r="Q8" s="364">
        <f t="shared" si="0"/>
        <v>252000</v>
      </c>
      <c r="R8" s="364">
        <f t="shared" si="0"/>
        <v>3603365.5530000003</v>
      </c>
      <c r="S8" s="364">
        <f t="shared" si="0"/>
        <v>17602.7078</v>
      </c>
      <c r="T8" s="364">
        <f t="shared" si="0"/>
        <v>3620968.2608000003</v>
      </c>
      <c r="U8" s="414"/>
      <c r="V8" s="415"/>
    </row>
    <row r="9">
      <c r="A9" s="207" t="s">
        <v>30</v>
      </c>
      <c r="B9" s="1910"/>
      <c r="C9" s="209"/>
      <c r="D9" s="208"/>
      <c r="E9" s="208"/>
      <c r="F9" s="208"/>
      <c r="G9" s="214"/>
      <c r="H9" s="214"/>
      <c r="I9" s="281"/>
      <c r="M9" s="210"/>
      <c r="U9" s="316"/>
      <c r="V9" s="317"/>
    </row>
    <row r="10">
      <c r="A10" s="207" t="s">
        <v>30</v>
      </c>
      <c r="B10" s="1910"/>
      <c r="C10" s="209"/>
      <c r="D10" s="208"/>
      <c r="E10" s="208"/>
      <c r="F10" s="208"/>
      <c r="G10" s="214"/>
      <c r="H10" s="214"/>
      <c r="I10" s="281"/>
      <c r="M10" s="210"/>
      <c r="U10" s="316"/>
      <c r="V10" s="317"/>
    </row>
    <row r="11" ht="22.5">
      <c r="A11" s="215" t="s">
        <v>31</v>
      </c>
      <c r="B11" s="1908" t="s">
        <v>3</v>
      </c>
      <c r="C11" s="216" t="s">
        <v>4</v>
      </c>
      <c r="D11" s="216" t="s">
        <v>5</v>
      </c>
      <c r="E11" s="216" t="s">
        <v>6</v>
      </c>
      <c r="F11" s="217" t="s">
        <v>7</v>
      </c>
      <c r="G11" s="218" t="s">
        <v>8</v>
      </c>
      <c r="H11" s="218" t="s">
        <v>9</v>
      </c>
      <c r="I11" s="282" t="s">
        <v>10</v>
      </c>
      <c r="J11" s="283" t="s">
        <v>11</v>
      </c>
      <c r="K11" s="283" t="s">
        <v>12</v>
      </c>
      <c r="L11" s="284" t="s">
        <v>13</v>
      </c>
      <c r="M11" s="284" t="s">
        <v>14</v>
      </c>
      <c r="N11" s="285" t="s">
        <v>15</v>
      </c>
      <c r="O11" s="285" t="s">
        <v>32</v>
      </c>
      <c r="P11" s="285" t="s">
        <v>17</v>
      </c>
      <c r="Q11" s="285" t="s">
        <v>18</v>
      </c>
      <c r="R11" s="319" t="s">
        <v>19</v>
      </c>
      <c r="S11" s="320" t="s">
        <v>20</v>
      </c>
      <c r="T11" s="320" t="s">
        <v>21</v>
      </c>
      <c r="U11" s="321" t="s">
        <v>22</v>
      </c>
      <c r="V11" s="322" t="s">
        <v>23</v>
      </c>
    </row>
    <row r="12" ht="18" customHeight="1">
      <c r="A12" s="238" t="s">
        <v>24</v>
      </c>
      <c r="B12" s="239" t="s">
        <v>1486</v>
      </c>
      <c r="C12" s="437" t="s">
        <v>1487</v>
      </c>
      <c r="D12" s="239" t="s">
        <v>34</v>
      </c>
      <c r="E12" s="241" t="s">
        <v>772</v>
      </c>
      <c r="F12" s="242" t="s">
        <v>87</v>
      </c>
      <c r="G12" s="243">
        <v>1982750</v>
      </c>
      <c r="H12" s="244"/>
      <c r="I12" s="298">
        <f ref="I12:I23" t="shared" si="1">+$G$5*4.89%</f>
        <v>96956.475</v>
      </c>
      <c r="J12" s="298">
        <f ref="J12:J23" t="shared" si="2">+$G$5*4%</f>
        <v>79310</v>
      </c>
      <c r="K12" s="298">
        <f ref="K12:K23" t="shared" si="3">+$G$5*2%</f>
        <v>39655</v>
      </c>
      <c r="L12" s="298">
        <v>15000</v>
      </c>
      <c r="M12" s="296">
        <f ref="M12:M23" t="shared" si="4">SUM(G12:L12)</f>
        <v>2213671.475</v>
      </c>
      <c r="N12" s="303">
        <f ref="N12:N22" t="shared" si="5">+M12*8%</f>
        <v>177093.71800000002</v>
      </c>
      <c r="O12" s="447">
        <v>822500</v>
      </c>
      <c r="P12" s="399"/>
      <c r="Q12" s="303"/>
      <c r="R12" s="335">
        <f ref="R12:R22" t="shared" si="6">SUM(M12:Q12)</f>
        <v>3213265.193</v>
      </c>
      <c r="S12" s="335">
        <f ref="S12:S22" t="shared" si="7">N12*0.1</f>
        <v>17709.371800000004</v>
      </c>
      <c r="T12" s="336">
        <f ref="T12:T22" t="shared" si="8">R12+S12</f>
        <v>3230974.5648</v>
      </c>
      <c r="U12" s="337">
        <v>44317</v>
      </c>
      <c r="V12" s="338">
        <v>44408</v>
      </c>
    </row>
    <row r="13" ht="18" customHeight="1">
      <c r="A13" s="238" t="s">
        <v>24</v>
      </c>
      <c r="B13" s="228" t="s">
        <v>1488</v>
      </c>
      <c r="C13" s="229" t="s">
        <v>1489</v>
      </c>
      <c r="D13" s="228" t="s">
        <v>34</v>
      </c>
      <c r="E13" s="230" t="s">
        <v>775</v>
      </c>
      <c r="F13" s="231" t="s">
        <v>87</v>
      </c>
      <c r="G13" s="243">
        <v>1982750</v>
      </c>
      <c r="H13" s="244"/>
      <c r="I13" s="293">
        <f t="shared" si="1"/>
        <v>96956.475</v>
      </c>
      <c r="J13" s="293">
        <f t="shared" si="2"/>
        <v>79310</v>
      </c>
      <c r="K13" s="293">
        <f t="shared" si="3"/>
        <v>39655</v>
      </c>
      <c r="L13" s="293">
        <v>15000</v>
      </c>
      <c r="M13" s="296">
        <f t="shared" si="4"/>
        <v>2213671.475</v>
      </c>
      <c r="N13" s="296">
        <f t="shared" si="5"/>
        <v>177093.71800000002</v>
      </c>
      <c r="O13" s="447">
        <v>895000</v>
      </c>
      <c r="P13" s="448"/>
      <c r="Q13" s="296"/>
      <c r="R13" s="328">
        <f t="shared" si="6"/>
        <v>3285765.193</v>
      </c>
      <c r="S13" s="328">
        <f t="shared" si="7"/>
        <v>17709.371800000004</v>
      </c>
      <c r="T13" s="329">
        <f t="shared" si="8"/>
        <v>3303474.5648</v>
      </c>
      <c r="U13" s="452">
        <v>44332</v>
      </c>
      <c r="V13" s="453">
        <v>44439</v>
      </c>
      <c r="W13" s="350"/>
    </row>
    <row r="14" ht="18" customHeight="1">
      <c r="A14" s="238" t="s">
        <v>24</v>
      </c>
      <c r="B14" s="228" t="s">
        <v>1490</v>
      </c>
      <c r="C14" s="229" t="s">
        <v>1491</v>
      </c>
      <c r="D14" s="228" t="s">
        <v>34</v>
      </c>
      <c r="E14" s="230" t="s">
        <v>775</v>
      </c>
      <c r="F14" s="231" t="s">
        <v>87</v>
      </c>
      <c r="G14" s="243">
        <v>1982750</v>
      </c>
      <c r="H14" s="244"/>
      <c r="I14" s="293">
        <f t="shared" si="1"/>
        <v>96956.475</v>
      </c>
      <c r="J14" s="293">
        <f t="shared" si="2"/>
        <v>79310</v>
      </c>
      <c r="K14" s="293">
        <f t="shared" si="3"/>
        <v>39655</v>
      </c>
      <c r="L14" s="293">
        <v>15000</v>
      </c>
      <c r="M14" s="296">
        <f t="shared" si="4"/>
        <v>2213671.475</v>
      </c>
      <c r="N14" s="296">
        <f t="shared" si="5"/>
        <v>177093.71800000002</v>
      </c>
      <c r="O14" s="447">
        <v>845000</v>
      </c>
      <c r="P14" s="448"/>
      <c r="Q14" s="296"/>
      <c r="R14" s="328">
        <f t="shared" si="6"/>
        <v>3235765.193</v>
      </c>
      <c r="S14" s="328">
        <f t="shared" si="7"/>
        <v>17709.371800000004</v>
      </c>
      <c r="T14" s="329">
        <f t="shared" si="8"/>
        <v>3253474.5648</v>
      </c>
      <c r="U14" s="452">
        <v>44357</v>
      </c>
      <c r="V14" s="453">
        <v>44439</v>
      </c>
      <c r="W14" s="350"/>
    </row>
    <row r="15" ht="18" customHeight="1">
      <c r="A15" s="238" t="s">
        <v>24</v>
      </c>
      <c r="B15" s="441" t="s">
        <v>1492</v>
      </c>
      <c r="C15" s="442" t="s">
        <v>1493</v>
      </c>
      <c r="D15" s="441" t="s">
        <v>34</v>
      </c>
      <c r="E15" s="443" t="s">
        <v>775</v>
      </c>
      <c r="F15" s="444" t="s">
        <v>87</v>
      </c>
      <c r="G15" s="380">
        <f>1982750/31*23</f>
        <v>1471072.58064516</v>
      </c>
      <c r="H15" s="381"/>
      <c r="I15" s="449">
        <f t="shared" si="1"/>
        <v>96956.475</v>
      </c>
      <c r="J15" s="449">
        <f t="shared" si="2"/>
        <v>79310</v>
      </c>
      <c r="K15" s="449">
        <f t="shared" si="3"/>
        <v>39655</v>
      </c>
      <c r="L15" s="449">
        <v>15000</v>
      </c>
      <c r="M15" s="296">
        <f t="shared" si="4"/>
        <v>1701994.0556451601</v>
      </c>
      <c r="N15" s="406">
        <f t="shared" si="5"/>
        <v>136159.52445161282</v>
      </c>
      <c r="O15" s="450">
        <v>220000</v>
      </c>
      <c r="P15" s="451"/>
      <c r="Q15" s="406"/>
      <c r="R15" s="454">
        <f t="shared" si="6"/>
        <v>2058153.5800967729</v>
      </c>
      <c r="S15" s="454">
        <f t="shared" si="7"/>
        <v>13615.952445161282</v>
      </c>
      <c r="T15" s="455">
        <f t="shared" si="8"/>
        <v>2071769.5325419342</v>
      </c>
      <c r="U15" s="456">
        <v>44401</v>
      </c>
      <c r="V15" s="457">
        <v>44469</v>
      </c>
      <c r="W15" s="458"/>
    </row>
    <row r="16" ht="18" customHeight="1">
      <c r="A16" s="238" t="s">
        <v>24</v>
      </c>
      <c r="B16" s="228" t="s">
        <v>1494</v>
      </c>
      <c r="C16" s="229" t="s">
        <v>1495</v>
      </c>
      <c r="D16" s="228" t="s">
        <v>34</v>
      </c>
      <c r="E16" s="230" t="s">
        <v>775</v>
      </c>
      <c r="F16" s="231" t="s">
        <v>87</v>
      </c>
      <c r="G16" s="243">
        <v>1982750</v>
      </c>
      <c r="H16" s="244"/>
      <c r="I16" s="293">
        <f t="shared" si="1"/>
        <v>96956.475</v>
      </c>
      <c r="J16" s="293">
        <f t="shared" si="2"/>
        <v>79310</v>
      </c>
      <c r="K16" s="293">
        <f t="shared" si="3"/>
        <v>39655</v>
      </c>
      <c r="L16" s="293">
        <v>15000</v>
      </c>
      <c r="M16" s="296">
        <f t="shared" si="4"/>
        <v>2213671.475</v>
      </c>
      <c r="N16" s="296">
        <f t="shared" si="5"/>
        <v>177093.71800000002</v>
      </c>
      <c r="O16" s="447">
        <v>897500</v>
      </c>
      <c r="P16" s="448"/>
      <c r="Q16" s="296"/>
      <c r="R16" s="328">
        <f t="shared" si="6"/>
        <v>3288265.193</v>
      </c>
      <c r="S16" s="328">
        <f t="shared" si="7"/>
        <v>17709.371800000004</v>
      </c>
      <c r="T16" s="329">
        <f t="shared" si="8"/>
        <v>3305974.5648</v>
      </c>
      <c r="U16" s="452">
        <v>44356</v>
      </c>
      <c r="V16" s="453">
        <v>44439</v>
      </c>
      <c r="W16" s="350"/>
    </row>
    <row r="17" ht="18" customHeight="1">
      <c r="A17" s="238" t="s">
        <v>24</v>
      </c>
      <c r="B17" s="239" t="s">
        <v>1496</v>
      </c>
      <c r="C17" s="437" t="s">
        <v>1497</v>
      </c>
      <c r="D17" s="239" t="s">
        <v>34</v>
      </c>
      <c r="E17" s="241" t="s">
        <v>775</v>
      </c>
      <c r="F17" s="242" t="s">
        <v>87</v>
      </c>
      <c r="G17" s="243">
        <v>1982750</v>
      </c>
      <c r="H17" s="244"/>
      <c r="I17" s="298">
        <f t="shared" si="1"/>
        <v>96956.475</v>
      </c>
      <c r="J17" s="298">
        <f t="shared" si="2"/>
        <v>79310</v>
      </c>
      <c r="K17" s="298">
        <f t="shared" si="3"/>
        <v>39655</v>
      </c>
      <c r="L17" s="298">
        <v>15000</v>
      </c>
      <c r="M17" s="296">
        <f t="shared" si="4"/>
        <v>2213671.475</v>
      </c>
      <c r="N17" s="303">
        <f t="shared" si="5"/>
        <v>177093.71800000002</v>
      </c>
      <c r="O17" s="447">
        <v>837500</v>
      </c>
      <c r="P17" s="399"/>
      <c r="Q17" s="303"/>
      <c r="R17" s="335">
        <f t="shared" si="6"/>
        <v>3228265.193</v>
      </c>
      <c r="S17" s="335">
        <f t="shared" si="7"/>
        <v>17709.371800000004</v>
      </c>
      <c r="T17" s="336">
        <f t="shared" si="8"/>
        <v>3245974.5648</v>
      </c>
      <c r="U17" s="459">
        <v>44332</v>
      </c>
      <c r="V17" s="460">
        <v>44439</v>
      </c>
    </row>
    <row r="18" ht="18" customHeight="1">
      <c r="A18" s="238" t="s">
        <v>24</v>
      </c>
      <c r="B18" s="239" t="s">
        <v>1498</v>
      </c>
      <c r="C18" s="437" t="s">
        <v>1499</v>
      </c>
      <c r="D18" s="239" t="s">
        <v>34</v>
      </c>
      <c r="E18" s="241" t="s">
        <v>772</v>
      </c>
      <c r="F18" s="242" t="s">
        <v>87</v>
      </c>
      <c r="G18" s="243">
        <v>1982750</v>
      </c>
      <c r="H18" s="244"/>
      <c r="I18" s="298">
        <f t="shared" si="1"/>
        <v>96956.475</v>
      </c>
      <c r="J18" s="298">
        <f t="shared" si="2"/>
        <v>79310</v>
      </c>
      <c r="K18" s="298">
        <f t="shared" si="3"/>
        <v>39655</v>
      </c>
      <c r="L18" s="298">
        <v>15000</v>
      </c>
      <c r="M18" s="296">
        <f t="shared" si="4"/>
        <v>2213671.475</v>
      </c>
      <c r="N18" s="303">
        <f t="shared" si="5"/>
        <v>177093.71800000002</v>
      </c>
      <c r="O18" s="447">
        <v>855000</v>
      </c>
      <c r="P18" s="399"/>
      <c r="Q18" s="303"/>
      <c r="R18" s="335">
        <f t="shared" si="6"/>
        <v>3245765.193</v>
      </c>
      <c r="S18" s="335">
        <f t="shared" si="7"/>
        <v>17709.371800000004</v>
      </c>
      <c r="T18" s="336">
        <f t="shared" si="8"/>
        <v>3263474.5648</v>
      </c>
      <c r="U18" s="337">
        <v>44321</v>
      </c>
      <c r="V18" s="338">
        <v>44408</v>
      </c>
      <c r="W18" s="419"/>
    </row>
    <row r="19" ht="18" customHeight="1">
      <c r="A19" s="238" t="s">
        <v>24</v>
      </c>
      <c r="B19" s="239" t="s">
        <v>1500</v>
      </c>
      <c r="C19" s="437" t="s">
        <v>1501</v>
      </c>
      <c r="D19" s="239" t="s">
        <v>34</v>
      </c>
      <c r="E19" s="241" t="s">
        <v>772</v>
      </c>
      <c r="F19" s="242" t="s">
        <v>87</v>
      </c>
      <c r="G19" s="243">
        <v>1982750</v>
      </c>
      <c r="H19" s="244"/>
      <c r="I19" s="298">
        <f t="shared" si="1"/>
        <v>96956.475</v>
      </c>
      <c r="J19" s="298">
        <f t="shared" si="2"/>
        <v>79310</v>
      </c>
      <c r="K19" s="298">
        <f t="shared" si="3"/>
        <v>39655</v>
      </c>
      <c r="L19" s="298">
        <v>15000</v>
      </c>
      <c r="M19" s="296">
        <f t="shared" si="4"/>
        <v>2213671.475</v>
      </c>
      <c r="N19" s="303">
        <f t="shared" si="5"/>
        <v>177093.71800000002</v>
      </c>
      <c r="O19" s="447">
        <v>630000</v>
      </c>
      <c r="P19" s="399"/>
      <c r="Q19" s="303"/>
      <c r="R19" s="335">
        <f t="shared" si="6"/>
        <v>3020765.193</v>
      </c>
      <c r="S19" s="335">
        <f t="shared" si="7"/>
        <v>17709.371800000004</v>
      </c>
      <c r="T19" s="336">
        <f t="shared" si="8"/>
        <v>3038474.5648</v>
      </c>
      <c r="U19" s="337">
        <v>44317</v>
      </c>
      <c r="V19" s="338">
        <v>44408</v>
      </c>
      <c r="W19" s="419"/>
    </row>
    <row r="20" ht="18" customHeight="1">
      <c r="A20" s="238" t="s">
        <v>24</v>
      </c>
      <c r="B20" s="441">
        <v>2842</v>
      </c>
      <c r="C20" s="442" t="s">
        <v>1502</v>
      </c>
      <c r="D20" s="441" t="s">
        <v>34</v>
      </c>
      <c r="E20" s="443" t="s">
        <v>775</v>
      </c>
      <c r="F20" s="444" t="s">
        <v>87</v>
      </c>
      <c r="G20" s="380">
        <f>1982750/31*6</f>
        <v>383758.064516129</v>
      </c>
      <c r="H20" s="381"/>
      <c r="I20" s="449">
        <f t="shared" si="1"/>
        <v>96956.475</v>
      </c>
      <c r="J20" s="449">
        <f t="shared" si="2"/>
        <v>79310</v>
      </c>
      <c r="K20" s="449">
        <f t="shared" si="3"/>
        <v>39655</v>
      </c>
      <c r="L20" s="449">
        <v>15000</v>
      </c>
      <c r="M20" s="296">
        <f t="shared" si="4"/>
        <v>614679.539516129</v>
      </c>
      <c r="N20" s="406">
        <f t="shared" si="5"/>
        <v>49174.36316129032</v>
      </c>
      <c r="O20" s="450"/>
      <c r="P20" s="451"/>
      <c r="Q20" s="406"/>
      <c r="R20" s="454">
        <f t="shared" si="6"/>
        <v>663853.9026774192</v>
      </c>
      <c r="S20" s="454">
        <f t="shared" si="7"/>
        <v>4917.436316129032</v>
      </c>
      <c r="T20" s="455">
        <f t="shared" si="8"/>
        <v>668771.3389935483</v>
      </c>
      <c r="U20" s="456">
        <v>44418</v>
      </c>
      <c r="V20" s="457">
        <v>44500</v>
      </c>
      <c r="W20" s="458"/>
    </row>
    <row r="21" ht="18" customHeight="1">
      <c r="A21" s="238" t="s">
        <v>24</v>
      </c>
      <c r="B21" s="239" t="s">
        <v>1503</v>
      </c>
      <c r="C21" s="437" t="s">
        <v>1504</v>
      </c>
      <c r="D21" s="239" t="s">
        <v>34</v>
      </c>
      <c r="E21" s="241" t="s">
        <v>772</v>
      </c>
      <c r="F21" s="242" t="s">
        <v>87</v>
      </c>
      <c r="G21" s="243">
        <v>1982750</v>
      </c>
      <c r="H21" s="244"/>
      <c r="I21" s="298">
        <f t="shared" si="1"/>
        <v>96956.475</v>
      </c>
      <c r="J21" s="298">
        <f t="shared" si="2"/>
        <v>79310</v>
      </c>
      <c r="K21" s="298">
        <f t="shared" si="3"/>
        <v>39655</v>
      </c>
      <c r="L21" s="298">
        <v>15000</v>
      </c>
      <c r="M21" s="296">
        <f t="shared" si="4"/>
        <v>2213671.475</v>
      </c>
      <c r="N21" s="303">
        <f t="shared" si="5"/>
        <v>177093.71800000002</v>
      </c>
      <c r="O21" s="447">
        <v>687500</v>
      </c>
      <c r="P21" s="399"/>
      <c r="Q21" s="303"/>
      <c r="R21" s="335">
        <f t="shared" si="6"/>
        <v>3078265.193</v>
      </c>
      <c r="S21" s="335">
        <f t="shared" si="7"/>
        <v>17709.371800000004</v>
      </c>
      <c r="T21" s="336">
        <f t="shared" si="8"/>
        <v>3095974.5648</v>
      </c>
      <c r="U21" s="337">
        <v>44321</v>
      </c>
      <c r="V21" s="338">
        <v>44408</v>
      </c>
      <c r="W21" s="419"/>
    </row>
    <row r="22" ht="18" customHeight="1">
      <c r="A22" s="238" t="s">
        <v>24</v>
      </c>
      <c r="B22" s="239">
        <v>2220</v>
      </c>
      <c r="C22" s="437" t="s">
        <v>1505</v>
      </c>
      <c r="D22" s="239" t="s">
        <v>34</v>
      </c>
      <c r="E22" s="241" t="s">
        <v>772</v>
      </c>
      <c r="F22" s="242" t="s">
        <v>87</v>
      </c>
      <c r="G22" s="243">
        <v>1982750</v>
      </c>
      <c r="H22" s="244"/>
      <c r="I22" s="298">
        <f t="shared" si="1"/>
        <v>96956.475</v>
      </c>
      <c r="J22" s="298">
        <f t="shared" si="2"/>
        <v>79310</v>
      </c>
      <c r="K22" s="298">
        <f t="shared" si="3"/>
        <v>39655</v>
      </c>
      <c r="L22" s="298">
        <v>15000</v>
      </c>
      <c r="M22" s="296">
        <f t="shared" si="4"/>
        <v>2213671.475</v>
      </c>
      <c r="N22" s="303">
        <f t="shared" si="5"/>
        <v>177093.71800000002</v>
      </c>
      <c r="O22" s="447">
        <v>892500</v>
      </c>
      <c r="P22" s="399"/>
      <c r="Q22" s="303"/>
      <c r="R22" s="335">
        <f t="shared" si="6"/>
        <v>3283265.193</v>
      </c>
      <c r="S22" s="335">
        <f t="shared" si="7"/>
        <v>17709.371800000004</v>
      </c>
      <c r="T22" s="336">
        <f t="shared" si="8"/>
        <v>3300974.5648</v>
      </c>
      <c r="U22" s="337">
        <v>44314</v>
      </c>
      <c r="V22" s="338">
        <v>44408</v>
      </c>
      <c r="W22" s="419"/>
    </row>
    <row r="23" ht="18" customHeight="1" s="205" customFormat="1">
      <c r="A23" s="220" t="s">
        <v>31</v>
      </c>
      <c r="B23" s="1875" t="s">
        <v>1506</v>
      </c>
      <c r="C23" s="222" t="s">
        <v>1507</v>
      </c>
      <c r="D23" s="221" t="s">
        <v>34</v>
      </c>
      <c r="E23" s="223" t="s">
        <v>775</v>
      </c>
      <c r="F23" s="224" t="s">
        <v>87</v>
      </c>
      <c r="G23" s="993">
        <f>1982750/31*26</f>
        <v>1662951.61290323</v>
      </c>
      <c r="H23" s="1708"/>
      <c r="I23" s="1709">
        <f t="shared" si="1"/>
        <v>96956.475</v>
      </c>
      <c r="J23" s="1709">
        <f t="shared" si="2"/>
        <v>79310</v>
      </c>
      <c r="K23" s="1709">
        <f t="shared" si="3"/>
        <v>39655</v>
      </c>
      <c r="L23" s="1709">
        <v>15000</v>
      </c>
      <c r="M23" s="296">
        <f t="shared" si="4"/>
        <v>1893873.08790323</v>
      </c>
      <c r="N23" s="290">
        <f>+M23*8%</f>
        <v>151509.8470322584</v>
      </c>
      <c r="O23" s="292">
        <v>555000</v>
      </c>
      <c r="P23" s="292"/>
      <c r="Q23" s="290"/>
      <c r="R23" s="323">
        <f>SUM(M23:Q23)</f>
        <v>2600382.9349354883</v>
      </c>
      <c r="S23" s="323">
        <f>N23*0.1</f>
        <v>15150.98470322584</v>
      </c>
      <c r="T23" s="324">
        <f>R23+S23</f>
        <v>2615533.9196387143</v>
      </c>
      <c r="U23" s="461">
        <v>44385</v>
      </c>
      <c r="V23" s="462">
        <v>44418</v>
      </c>
      <c r="W23" s="997" t="s">
        <v>1508</v>
      </c>
    </row>
    <row r="24" ht="18" customHeight="1">
      <c r="A24" s="1744" t="s">
        <v>30</v>
      </c>
      <c r="B24" s="1867"/>
      <c r="C24" s="1745"/>
      <c r="D24" s="1745"/>
      <c r="E24" s="1745"/>
      <c r="F24" s="1745"/>
      <c r="G24" s="234">
        <f ref="G24:T24" t="shared" si="14">SUM(G12:G23)</f>
        <v>21362532.2580645</v>
      </c>
      <c r="H24" s="234">
        <f t="shared" si="14"/>
        <v>0</v>
      </c>
      <c r="I24" s="234">
        <f t="shared" si="14"/>
        <v>1163477.7</v>
      </c>
      <c r="J24" s="234">
        <f t="shared" si="14"/>
        <v>951720</v>
      </c>
      <c r="K24" s="234">
        <f t="shared" si="14"/>
        <v>475860</v>
      </c>
      <c r="L24" s="234">
        <f t="shared" si="14"/>
        <v>180000</v>
      </c>
      <c r="M24" s="234">
        <f t="shared" si="14"/>
        <v>24133589.958064523</v>
      </c>
      <c r="N24" s="234">
        <f t="shared" si="14"/>
        <v>1930687.196645162</v>
      </c>
      <c r="O24" s="234">
        <f t="shared" si="14"/>
        <v>8137500</v>
      </c>
      <c r="P24" s="234">
        <f t="shared" si="14"/>
        <v>0</v>
      </c>
      <c r="Q24" s="234">
        <f t="shared" si="14"/>
        <v>0</v>
      </c>
      <c r="R24" s="234">
        <f t="shared" si="14"/>
        <v>34201777.15470968</v>
      </c>
      <c r="S24" s="234">
        <f t="shared" si="14"/>
        <v>193068.71966451616</v>
      </c>
      <c r="T24" s="234">
        <f t="shared" si="14"/>
        <v>34394845.8743742</v>
      </c>
      <c r="U24" s="332"/>
      <c r="V24" s="333"/>
    </row>
    <row r="25">
      <c r="A25" s="0" t="s">
        <v>30</v>
      </c>
      <c r="B25" s="1910"/>
      <c r="C25" s="209"/>
      <c r="D25" s="208"/>
      <c r="E25" s="208"/>
      <c r="F25" s="208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316"/>
      <c r="V25" s="317"/>
    </row>
    <row r="26" ht="18" customHeight="1">
      <c r="A26" s="1744" t="s">
        <v>30</v>
      </c>
      <c r="B26" s="1867"/>
      <c r="C26" s="1745"/>
      <c r="D26" s="1745"/>
      <c r="E26" s="1745"/>
      <c r="F26" s="1745"/>
      <c r="G26" s="234">
        <f ref="G26:T26" t="shared" si="15">+G24+G8</f>
        <v>23345282.2580645</v>
      </c>
      <c r="H26" s="234">
        <f t="shared" si="15"/>
        <v>0</v>
      </c>
      <c r="I26" s="234">
        <f t="shared" si="15"/>
        <v>1260434.175</v>
      </c>
      <c r="J26" s="234">
        <f t="shared" si="15"/>
        <v>1031030</v>
      </c>
      <c r="K26" s="234">
        <f t="shared" si="15"/>
        <v>515515</v>
      </c>
      <c r="L26" s="234">
        <f t="shared" si="15"/>
        <v>181667</v>
      </c>
      <c r="M26" s="234">
        <f t="shared" si="15"/>
        <v>26333928.433064524</v>
      </c>
      <c r="N26" s="234">
        <f t="shared" si="15"/>
        <v>2106714.2746451623</v>
      </c>
      <c r="O26" s="234">
        <f t="shared" si="15"/>
        <v>9012500</v>
      </c>
      <c r="P26" s="234">
        <f t="shared" si="15"/>
        <v>100000</v>
      </c>
      <c r="Q26" s="234">
        <f t="shared" si="15"/>
        <v>252000</v>
      </c>
      <c r="R26" s="234">
        <f t="shared" si="15"/>
        <v>37805142.707709685</v>
      </c>
      <c r="S26" s="234">
        <f t="shared" si="15"/>
        <v>210671.42746451616</v>
      </c>
      <c r="T26" s="234">
        <f t="shared" si="15"/>
        <v>38015814.1351742</v>
      </c>
      <c r="U26" s="332"/>
      <c r="V26" s="333"/>
    </row>
    <row r="27">
      <c r="A27" s="0" t="s">
        <v>30</v>
      </c>
      <c r="B27" s="1910"/>
      <c r="D27" s="262"/>
      <c r="E27" s="263"/>
      <c r="F27" s="264"/>
      <c r="G27" s="210"/>
      <c r="H27" s="2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48"/>
      <c r="V27" s="317"/>
    </row>
    <row r="28">
      <c r="A28" s="0" t="s">
        <v>30</v>
      </c>
      <c r="B28" s="1869"/>
      <c r="C28" s="264" t="str">
        <f>+'MALANG BAT AGUSTUS - OK'!C26</f>
        <v>Karawang, 16 Agustus 2021</v>
      </c>
      <c r="D28" s="270"/>
      <c r="E28" s="270"/>
      <c r="F28" s="270"/>
      <c r="G28" s="271"/>
      <c r="H28" s="271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48"/>
      <c r="V28" s="317"/>
    </row>
    <row r="29">
      <c r="A29" s="0" t="s">
        <v>30</v>
      </c>
      <c r="B29" s="1870"/>
      <c r="C29" s="264"/>
      <c r="D29" s="263"/>
      <c r="E29" s="264"/>
      <c r="F29" s="264"/>
      <c r="G29" s="210"/>
      <c r="H29" s="210"/>
      <c r="I29" s="281"/>
      <c r="J29" s="270"/>
      <c r="K29" s="270"/>
      <c r="L29" s="270"/>
      <c r="M29" s="270"/>
      <c r="N29" s="310"/>
      <c r="O29" s="310"/>
      <c r="P29" s="310"/>
      <c r="Q29" s="310"/>
      <c r="R29" s="270"/>
      <c r="S29" s="270"/>
      <c r="T29" s="310"/>
      <c r="U29" s="348"/>
      <c r="V29" s="317"/>
    </row>
    <row r="30">
      <c r="A30" s="0" t="s">
        <v>30</v>
      </c>
      <c r="B30" s="1869"/>
      <c r="C30" s="264" t="s">
        <v>38</v>
      </c>
      <c r="D30" s="274"/>
      <c r="E30" s="264"/>
      <c r="F30" s="264"/>
      <c r="G30" s="275"/>
      <c r="H30" s="275"/>
      <c r="I30" s="311"/>
      <c r="J30" s="262"/>
      <c r="K30" s="262"/>
      <c r="L30" s="312"/>
      <c r="M30" s="263" t="s">
        <v>39</v>
      </c>
      <c r="N30" s="313"/>
      <c r="R30" s="349"/>
      <c r="S30" s="349"/>
      <c r="T30" s="313"/>
      <c r="U30" s="348"/>
      <c r="V30" s="348"/>
    </row>
    <row r="31">
      <c r="A31" s="0" t="s">
        <v>30</v>
      </c>
      <c r="B31" s="1871"/>
      <c r="C31" s="446"/>
      <c r="D31" s="209"/>
      <c r="E31" s="208"/>
      <c r="F31" s="208"/>
      <c r="G31" s="275"/>
      <c r="H31" s="275"/>
      <c r="I31" s="314"/>
      <c r="J31" s="315"/>
      <c r="K31" s="262"/>
      <c r="L31" s="312"/>
      <c r="M31" s="262"/>
      <c r="N31" s="270"/>
      <c r="O31" s="270"/>
      <c r="P31" s="270"/>
      <c r="Q31" s="270"/>
      <c r="R31" s="349"/>
      <c r="S31" s="349"/>
      <c r="T31" s="270"/>
      <c r="U31" s="348"/>
      <c r="V31" s="348"/>
    </row>
    <row r="32">
      <c r="A32" s="0" t="s">
        <v>30</v>
      </c>
      <c r="B32" s="1871"/>
      <c r="C32" s="446"/>
      <c r="D32" s="209"/>
      <c r="E32" s="208"/>
      <c r="F32" s="208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348"/>
    </row>
    <row r="33">
      <c r="A33" s="0" t="s">
        <v>30</v>
      </c>
      <c r="B33" s="1869"/>
      <c r="C33" s="445"/>
      <c r="D33" s="274"/>
      <c r="E33" s="264"/>
      <c r="F33" s="264"/>
      <c r="G33" s="275"/>
      <c r="H33" s="275"/>
      <c r="I33" s="275"/>
      <c r="J33" s="262"/>
      <c r="K33" s="262"/>
      <c r="L33" s="312"/>
      <c r="M33" s="262"/>
      <c r="N33" s="262"/>
      <c r="O33" s="262"/>
      <c r="P33" s="262"/>
      <c r="Q33" s="262"/>
      <c r="R33" s="264"/>
      <c r="S33" s="270"/>
      <c r="T33" s="270"/>
      <c r="U33" s="348"/>
      <c r="V33" s="348"/>
    </row>
    <row r="34">
      <c r="A34" s="0" t="s">
        <v>30</v>
      </c>
      <c r="B34" s="1870"/>
      <c r="C34" s="264"/>
      <c r="D34" s="264"/>
      <c r="E34" s="264"/>
      <c r="F34" s="264"/>
      <c r="G34" s="275"/>
      <c r="H34" s="275"/>
      <c r="I34" s="275"/>
      <c r="J34" s="262"/>
      <c r="K34" s="262"/>
      <c r="L34" s="312"/>
      <c r="M34" s="262"/>
      <c r="N34" s="262"/>
      <c r="O34" s="262"/>
      <c r="P34" s="262"/>
      <c r="Q34" s="262"/>
      <c r="R34" s="264"/>
      <c r="S34" s="208"/>
      <c r="T34" s="270"/>
      <c r="U34" s="348"/>
      <c r="V34" s="348"/>
    </row>
    <row r="35">
      <c r="A35" s="0" t="s">
        <v>30</v>
      </c>
      <c r="B35" s="1870"/>
      <c r="C35" s="264"/>
      <c r="D35" s="264"/>
      <c r="E35" s="264"/>
      <c r="F35" s="264"/>
      <c r="G35" s="275"/>
      <c r="H35" s="275"/>
      <c r="I35" s="275"/>
      <c r="J35" s="262"/>
      <c r="K35" s="262"/>
      <c r="L35" s="312"/>
      <c r="M35" s="262"/>
      <c r="N35" s="262"/>
      <c r="O35" s="262"/>
      <c r="P35" s="262"/>
      <c r="Q35" s="262"/>
      <c r="R35" s="264"/>
      <c r="S35" s="270"/>
      <c r="U35" s="348"/>
      <c r="V35" s="348"/>
    </row>
    <row r="36">
      <c r="A36" s="0" t="s">
        <v>30</v>
      </c>
      <c r="B36" s="1870"/>
      <c r="C36" s="264" t="s">
        <v>40</v>
      </c>
      <c r="E36" s="264"/>
      <c r="F36" s="264"/>
      <c r="G36" s="275"/>
      <c r="H36" s="275"/>
      <c r="I36" s="275"/>
      <c r="J36" s="312" t="s">
        <v>41</v>
      </c>
      <c r="K36" s="263"/>
      <c r="L36" s="263"/>
      <c r="M36" s="263" t="s">
        <v>42</v>
      </c>
      <c r="O36" s="264" t="s">
        <v>43</v>
      </c>
      <c r="P36" s="264"/>
      <c r="Q36" s="263"/>
      <c r="U36" s="350"/>
      <c r="V36" s="350"/>
    </row>
    <row r="37">
      <c r="A37" s="263" t="s">
        <v>30</v>
      </c>
      <c r="B37" s="1868"/>
      <c r="C37" s="264"/>
      <c r="D37" s="264"/>
      <c r="E37" s="264"/>
      <c r="F37" s="279"/>
      <c r="G37" s="275"/>
      <c r="H37" s="275"/>
      <c r="I37" s="263"/>
      <c r="J37" s="263"/>
      <c r="K37" s="263"/>
      <c r="L37" s="263"/>
      <c r="M37" s="275"/>
      <c r="N37" s="263"/>
      <c r="O37" s="263"/>
      <c r="P37" s="263"/>
      <c r="Q37" s="263"/>
      <c r="R37" s="263"/>
      <c r="U37" s="350"/>
      <c r="V37" s="350"/>
    </row>
  </sheetData>
  <mergeCells>
    <mergeCell ref="A24:F24"/>
    <mergeCell ref="A26:F26"/>
  </mergeCells>
  <printOptions horizontalCentered="1"/>
  <pageMargins left="0" right="0" top="0.75" bottom="0.75" header="0.3" footer="0.3"/>
  <pageSetup paperSize="9" scale="65" orientation="landscape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V28"/>
  <sheetViews>
    <sheetView zoomScale="85" zoomScaleNormal="85" workbookViewId="0">
      <pane xSplit="7" ySplit="6" topLeftCell="H7" activePane="bottomRight" state="frozen"/>
      <selection activeCell="M12" sqref="M12:M23"/>
      <selection pane="topRight" activeCell="M12" sqref="M12:M23"/>
      <selection pane="bottomLeft" activeCell="M12" sqref="M12:M23"/>
      <selection pane="bottomRight" activeCell="U9" sqref="U9"/>
    </sheetView>
  </sheetViews>
  <sheetFormatPr defaultColWidth="9.140625" defaultRowHeight="15"/>
  <cols>
    <col min="1" max="1" width="6.140625" customWidth="1"/>
    <col min="2" max="2" width="4.28515625" customWidth="1"/>
    <col min="3" max="3" width="23.85546875" customWidth="1"/>
    <col min="4" max="4" width="8.140625" customWidth="1"/>
    <col min="5" max="5" hidden="1" width="12.28515625" customWidth="1"/>
    <col min="6" max="6" hidden="1" width="9.85546875" customWidth="1"/>
    <col min="7" max="8" width="10.5703125" customWidth="1"/>
    <col min="9" max="13" width="10" customWidth="1"/>
    <col min="14" max="14" width="12" customWidth="1"/>
    <col min="15" max="16" width="10" customWidth="1"/>
    <col min="17" max="17" width="9.42578125" customWidth="1"/>
    <col min="18" max="18" width="11.28515625" customWidth="1"/>
    <col min="19" max="20" width="10" customWidth="1"/>
    <col min="21" max="21" width="8.5703125" customWidth="1"/>
    <col min="22" max="22" width="10.28515625" customWidth="1"/>
    <col min="23" max="23" width="23.5703125" customWidth="1"/>
    <col min="24" max="24" width="9.140625" customWidth="1"/>
  </cols>
  <sheetData>
    <row r="1">
      <c r="A1" s="436" t="s">
        <v>0</v>
      </c>
      <c r="D1" s="353"/>
      <c r="E1" s="353"/>
      <c r="F1" s="353"/>
      <c r="M1" s="391"/>
      <c r="V1" s="317"/>
    </row>
    <row r="2">
      <c r="A2" s="436" t="s">
        <v>1509</v>
      </c>
      <c r="B2" s="265"/>
      <c r="C2" s="354"/>
      <c r="D2" s="265"/>
      <c r="E2" s="265"/>
      <c r="F2" s="265"/>
      <c r="G2" s="355"/>
      <c r="H2" s="355"/>
      <c r="I2" s="392"/>
      <c r="J2" s="392"/>
      <c r="K2" s="392"/>
      <c r="L2" s="392"/>
      <c r="M2" s="355"/>
      <c r="N2" s="355"/>
      <c r="O2" s="355"/>
      <c r="P2" s="355"/>
      <c r="Q2" s="355"/>
      <c r="R2" s="392"/>
      <c r="S2" s="392"/>
      <c r="T2" s="392"/>
      <c r="U2" s="318"/>
      <c r="V2" s="318"/>
    </row>
    <row r="3">
      <c r="A3" s="436" t="str">
        <f>+'MALANG BAT AGUSTUS - OK'!A3</f>
        <v>Periode Bulan Agustus  2021</v>
      </c>
      <c r="D3" s="353"/>
      <c r="E3" s="353"/>
      <c r="F3" s="353"/>
      <c r="G3" s="356"/>
      <c r="H3" s="356"/>
      <c r="I3" s="393"/>
      <c r="M3" s="391"/>
      <c r="V3" s="317"/>
    </row>
    <row r="4">
      <c r="A4" s="352"/>
      <c r="D4" s="353"/>
      <c r="E4" s="353"/>
      <c r="F4" s="353"/>
      <c r="G4" s="357">
        <v>2228904</v>
      </c>
      <c r="H4" s="357"/>
      <c r="I4" s="393"/>
      <c r="M4" s="391"/>
      <c r="O4" s="394">
        <v>25000</v>
      </c>
      <c r="V4" s="317"/>
    </row>
    <row r="5">
      <c r="A5" s="352"/>
      <c r="D5" s="353"/>
      <c r="E5" s="353"/>
      <c r="F5" s="353"/>
      <c r="G5" s="357"/>
      <c r="H5" s="357"/>
      <c r="I5" s="393"/>
      <c r="M5" s="391"/>
      <c r="O5" s="394"/>
      <c r="V5" s="317"/>
    </row>
    <row r="6" ht="24" customHeight="1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3" t="s">
        <v>13</v>
      </c>
      <c r="M6" s="284" t="s">
        <v>14</v>
      </c>
      <c r="N6" s="285" t="s">
        <v>15</v>
      </c>
      <c r="O6" s="285" t="s">
        <v>32</v>
      </c>
      <c r="P6" s="286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.75" customHeight="1">
      <c r="A7" s="238" t="s">
        <v>24</v>
      </c>
      <c r="B7" s="245" t="s">
        <v>1510</v>
      </c>
      <c r="C7" s="246" t="s">
        <v>515</v>
      </c>
      <c r="D7" s="245" t="s">
        <v>34</v>
      </c>
      <c r="E7" s="246" t="s">
        <v>514</v>
      </c>
      <c r="F7" s="246" t="s">
        <v>87</v>
      </c>
      <c r="G7" s="243">
        <v>2228904</v>
      </c>
      <c r="H7" s="244"/>
      <c r="I7" s="304">
        <f>+$G$4*4.89%</f>
        <v>108993.4056</v>
      </c>
      <c r="J7" s="304">
        <f>+$G$4*4%</f>
        <v>89156.16</v>
      </c>
      <c r="K7" s="304">
        <f>+$G$4*2%</f>
        <v>44578.08</v>
      </c>
      <c r="L7" s="299">
        <v>15000</v>
      </c>
      <c r="M7" s="295">
        <f>SUM(G7:L7)</f>
        <v>2486631.6456000004</v>
      </c>
      <c r="N7" s="300">
        <f>+M7*8%</f>
        <v>198930.53164800003</v>
      </c>
      <c r="O7" s="302">
        <v>730000</v>
      </c>
      <c r="P7" s="302"/>
      <c r="Q7" s="302"/>
      <c r="R7" s="302">
        <f>SUM(M7:Q7)</f>
        <v>3415562.1772480006</v>
      </c>
      <c r="S7" s="300">
        <f>N7*0.1</f>
        <v>19893.053164800003</v>
      </c>
      <c r="T7" s="416">
        <f>R7+S7</f>
        <v>3435455.230412801</v>
      </c>
      <c r="U7" s="337">
        <v>44378</v>
      </c>
      <c r="V7" s="338">
        <v>44469</v>
      </c>
    </row>
    <row r="8" ht="18.75" customHeight="1">
      <c r="A8" s="238" t="s">
        <v>24</v>
      </c>
      <c r="B8" s="245" t="s">
        <v>1511</v>
      </c>
      <c r="C8" s="246" t="s">
        <v>1512</v>
      </c>
      <c r="D8" s="245" t="s">
        <v>34</v>
      </c>
      <c r="E8" s="246" t="s">
        <v>514</v>
      </c>
      <c r="F8" s="246" t="s">
        <v>87</v>
      </c>
      <c r="G8" s="243">
        <v>2228904</v>
      </c>
      <c r="H8" s="244"/>
      <c r="I8" s="304">
        <f>+$G$4*4.89%</f>
        <v>108993.4056</v>
      </c>
      <c r="J8" s="304">
        <f>+$G$4*4%</f>
        <v>89156.16</v>
      </c>
      <c r="K8" s="304">
        <f>+$G$4*2%</f>
        <v>44578.08</v>
      </c>
      <c r="L8" s="299">
        <v>15000</v>
      </c>
      <c r="M8" s="295">
        <f>SUM(G8:L8)</f>
        <v>2486631.6456000004</v>
      </c>
      <c r="N8" s="300">
        <f>+M8*8%</f>
        <v>198930.53164800003</v>
      </c>
      <c r="O8" s="302">
        <v>762500</v>
      </c>
      <c r="P8" s="302"/>
      <c r="Q8" s="302"/>
      <c r="R8" s="302">
        <f>SUM(M8:Q8)</f>
        <v>3448062.1772480006</v>
      </c>
      <c r="S8" s="300">
        <f>N8*0.1</f>
        <v>19893.053164800003</v>
      </c>
      <c r="T8" s="416">
        <f>R8+S8</f>
        <v>3467955.230412801</v>
      </c>
      <c r="U8" s="337">
        <v>44409</v>
      </c>
      <c r="V8" s="338">
        <v>44500</v>
      </c>
    </row>
    <row r="9" ht="18.75" customHeight="1">
      <c r="A9" s="1744" t="s">
        <v>30</v>
      </c>
      <c r="B9" s="1867"/>
      <c r="C9" s="1745"/>
      <c r="D9" s="1745"/>
      <c r="E9" s="1745"/>
      <c r="F9" s="1745"/>
      <c r="G9" s="386">
        <f>SUM(G7:G8)</f>
        <v>4457808</v>
      </c>
      <c r="H9" s="386">
        <f ref="H9:T9" t="shared" si="0">SUM(H7:H8)</f>
        <v>0</v>
      </c>
      <c r="I9" s="386">
        <f t="shared" si="0"/>
        <v>217986.8112</v>
      </c>
      <c r="J9" s="386">
        <f t="shared" si="0"/>
        <v>178312.32</v>
      </c>
      <c r="K9" s="386">
        <f t="shared" si="0"/>
        <v>89156.16</v>
      </c>
      <c r="L9" s="386">
        <f t="shared" si="0"/>
        <v>30000</v>
      </c>
      <c r="M9" s="386">
        <f t="shared" si="0"/>
        <v>4973263.291200001</v>
      </c>
      <c r="N9" s="386">
        <f t="shared" si="0"/>
        <v>397861.06329600007</v>
      </c>
      <c r="O9" s="386">
        <f t="shared" si="0"/>
        <v>1492500</v>
      </c>
      <c r="P9" s="386">
        <f t="shared" si="0"/>
        <v>0</v>
      </c>
      <c r="Q9" s="386">
        <f t="shared" si="0"/>
        <v>0</v>
      </c>
      <c r="R9" s="386">
        <f t="shared" si="0"/>
        <v>6863624.354496001</v>
      </c>
      <c r="S9" s="386">
        <f t="shared" si="0"/>
        <v>39786.10632960001</v>
      </c>
      <c r="T9" s="386">
        <f t="shared" si="0"/>
        <v>6903410.460825602</v>
      </c>
      <c r="U9" s="386"/>
      <c r="V9" s="435"/>
    </row>
    <row r="10" ht="18.75" customHeight="1">
      <c r="A10" s="0" t="s">
        <v>30</v>
      </c>
      <c r="B10" s="1861"/>
      <c r="C10" s="387"/>
      <c r="D10" s="262"/>
      <c r="E10" s="263"/>
      <c r="F10" s="264"/>
      <c r="G10" s="210"/>
      <c r="H10" s="2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48"/>
      <c r="V10" s="317"/>
    </row>
    <row r="11">
      <c r="A11" s="265" t="s">
        <v>30</v>
      </c>
      <c r="B11" s="1944"/>
      <c r="C11" s="266"/>
      <c r="D11" s="266"/>
      <c r="E11" s="266"/>
      <c r="F11" s="266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310"/>
      <c r="S11" s="267"/>
      <c r="T11" s="267"/>
      <c r="U11" s="267"/>
      <c r="V11" s="267"/>
    </row>
    <row r="12">
      <c r="A12" s="0" t="s">
        <v>30</v>
      </c>
      <c r="B12" s="1869"/>
      <c r="C12" s="236" t="str">
        <f>+'MALANG BAT AGUSTUS - OK'!C26</f>
        <v>Karawang, 16 Agustus 2021</v>
      </c>
      <c r="D12" s="270"/>
      <c r="E12" s="270"/>
      <c r="F12" s="270"/>
      <c r="G12" s="271"/>
      <c r="H12" s="271"/>
      <c r="I12" s="310"/>
      <c r="J12" s="310"/>
      <c r="K12" s="310"/>
      <c r="L12" s="310"/>
      <c r="M12" s="263" t="s">
        <v>39</v>
      </c>
      <c r="N12" s="310"/>
      <c r="O12" s="310"/>
      <c r="P12" s="310"/>
      <c r="Q12" s="310"/>
      <c r="R12" s="310"/>
      <c r="S12" s="310"/>
      <c r="T12" s="310"/>
      <c r="U12" s="348"/>
      <c r="V12" s="317"/>
    </row>
    <row r="13">
      <c r="A13" s="0" t="s">
        <v>30</v>
      </c>
      <c r="B13" s="1945"/>
      <c r="C13" s="236" t="s">
        <v>916</v>
      </c>
      <c r="D13" s="263"/>
      <c r="E13" s="264"/>
      <c r="F13" s="264"/>
      <c r="G13" s="210"/>
      <c r="H13" s="210"/>
      <c r="I13" s="270"/>
      <c r="J13" s="270"/>
      <c r="K13" s="270"/>
      <c r="L13" s="270"/>
      <c r="M13" s="270"/>
      <c r="N13" s="310"/>
      <c r="O13" s="310"/>
      <c r="P13" s="310"/>
      <c r="Q13" s="310"/>
      <c r="R13" s="310"/>
      <c r="S13" s="270"/>
      <c r="T13" s="310"/>
      <c r="U13" s="348"/>
      <c r="V13" s="317"/>
    </row>
    <row r="14">
      <c r="A14" s="0" t="s">
        <v>30</v>
      </c>
      <c r="B14" s="1869"/>
      <c r="C14" s="269"/>
      <c r="D14" s="274"/>
      <c r="E14" s="264"/>
      <c r="F14" s="264"/>
      <c r="G14" s="275"/>
      <c r="H14" s="275"/>
      <c r="I14" s="262"/>
      <c r="J14" s="262"/>
      <c r="K14" s="262"/>
      <c r="L14" s="312"/>
      <c r="M14" s="263"/>
      <c r="N14" s="313"/>
      <c r="O14" s="387"/>
      <c r="P14" s="313"/>
      <c r="Q14" s="387"/>
      <c r="R14" s="310"/>
      <c r="S14" s="270"/>
      <c r="T14" s="313"/>
      <c r="U14" s="348"/>
      <c r="V14" s="348"/>
    </row>
    <row r="15">
      <c r="A15" s="0" t="s">
        <v>30</v>
      </c>
      <c r="B15" s="1871"/>
      <c r="C15" s="276"/>
      <c r="D15" s="209"/>
      <c r="E15" s="208"/>
      <c r="F15" s="208"/>
      <c r="G15" s="275"/>
      <c r="H15" s="275"/>
      <c r="I15" s="262"/>
      <c r="J15" s="315"/>
      <c r="K15" s="262"/>
      <c r="L15" s="312"/>
      <c r="M15" s="262"/>
      <c r="N15" s="270"/>
      <c r="O15" s="270"/>
      <c r="P15" s="270"/>
      <c r="Q15" s="270"/>
      <c r="R15" s="310"/>
      <c r="S15" s="270"/>
      <c r="T15" s="270"/>
      <c r="U15" s="348"/>
      <c r="V15" s="348"/>
    </row>
    <row r="16">
      <c r="A16" s="0" t="s">
        <v>30</v>
      </c>
      <c r="B16" s="1871"/>
      <c r="C16" s="276"/>
      <c r="D16" s="209"/>
      <c r="E16" s="208"/>
      <c r="F16" s="208"/>
      <c r="G16" s="210"/>
      <c r="H16" s="210"/>
      <c r="I16" s="210"/>
      <c r="J16" s="270"/>
      <c r="K16" s="270"/>
      <c r="L16" s="310"/>
      <c r="M16" s="270"/>
      <c r="N16" s="270"/>
      <c r="O16" s="270"/>
      <c r="P16" s="270"/>
      <c r="Q16" s="270"/>
      <c r="R16" s="310"/>
      <c r="S16" s="270"/>
      <c r="T16" s="270"/>
      <c r="U16" s="348"/>
      <c r="V16" s="348"/>
    </row>
    <row r="17">
      <c r="A17" s="0" t="s">
        <v>30</v>
      </c>
      <c r="B17" s="1869"/>
      <c r="C17" s="269"/>
      <c r="D17" s="27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310"/>
      <c r="S17" s="270"/>
      <c r="T17" s="270"/>
      <c r="U17" s="348"/>
      <c r="V17" s="348"/>
    </row>
    <row r="18">
      <c r="A18" s="0" t="s">
        <v>30</v>
      </c>
      <c r="B18" s="1945"/>
      <c r="C18" s="236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310"/>
      <c r="S18" s="208"/>
      <c r="T18" s="270"/>
      <c r="U18" s="348"/>
      <c r="V18" s="348"/>
    </row>
    <row r="19">
      <c r="A19" s="0" t="s">
        <v>30</v>
      </c>
      <c r="B19" s="1945"/>
      <c r="C19" s="236"/>
      <c r="D19" s="264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262"/>
      <c r="P19" s="262"/>
      <c r="Q19" s="262"/>
      <c r="R19" s="310"/>
      <c r="S19" s="270"/>
      <c r="T19" s="387"/>
      <c r="U19" s="348"/>
      <c r="V19" s="348"/>
    </row>
    <row r="20">
      <c r="A20" s="0" t="s">
        <v>30</v>
      </c>
      <c r="B20" s="1945"/>
      <c r="C20" s="236" t="s">
        <v>40</v>
      </c>
      <c r="D20" s="268"/>
      <c r="E20" s="277"/>
      <c r="F20" s="277"/>
      <c r="G20" s="278"/>
      <c r="H20" s="278"/>
      <c r="I20" s="297"/>
      <c r="J20" s="412" t="s">
        <v>41</v>
      </c>
      <c r="K20" s="389"/>
      <c r="L20" s="389"/>
      <c r="M20" s="272" t="s">
        <v>42</v>
      </c>
      <c r="O20" s="236" t="s">
        <v>43</v>
      </c>
      <c r="Q20" s="389"/>
      <c r="R20" s="267"/>
      <c r="U20" s="350"/>
      <c r="V20" s="350"/>
    </row>
    <row r="21">
      <c r="A21" s="389" t="s">
        <v>30</v>
      </c>
      <c r="B21" s="1868"/>
      <c r="C21" s="390"/>
      <c r="D21" s="277"/>
      <c r="E21" s="277"/>
      <c r="F21" s="388"/>
      <c r="G21" s="278"/>
      <c r="H21" s="278"/>
      <c r="I21" s="389"/>
      <c r="J21" s="389"/>
      <c r="K21" s="389"/>
      <c r="L21" s="389"/>
      <c r="M21" s="278"/>
      <c r="N21" s="389"/>
      <c r="O21" s="389"/>
      <c r="P21" s="389"/>
      <c r="Q21" s="389"/>
      <c r="R21" s="389"/>
      <c r="U21" s="350"/>
      <c r="V21" s="350"/>
    </row>
    <row r="22">
      <c r="A22" s="389" t="s">
        <v>30</v>
      </c>
      <c r="B22" s="1868"/>
      <c r="C22" s="390"/>
      <c r="D22" s="277"/>
      <c r="E22" s="277"/>
      <c r="F22" s="388"/>
      <c r="G22" s="278"/>
      <c r="H22" s="278"/>
      <c r="I22" s="389"/>
      <c r="J22" s="389"/>
      <c r="K22" s="389"/>
      <c r="L22" s="389"/>
      <c r="M22" s="278"/>
      <c r="N22" s="389"/>
      <c r="O22" s="389"/>
      <c r="P22" s="389"/>
      <c r="Q22" s="389"/>
      <c r="R22" s="389"/>
      <c r="U22" s="350"/>
      <c r="V22" s="350"/>
    </row>
    <row r="23">
      <c r="A23" s="0" t="s">
        <v>30</v>
      </c>
      <c r="B23" s="1861"/>
    </row>
    <row r="24">
      <c r="A24" s="0" t="s">
        <v>30</v>
      </c>
      <c r="B24" s="1861"/>
    </row>
    <row r="25">
      <c r="A25" s="0" t="s">
        <v>30</v>
      </c>
      <c r="B25" s="1861"/>
    </row>
    <row r="26">
      <c r="A26" s="0" t="s">
        <v>30</v>
      </c>
      <c r="B26" s="1861"/>
    </row>
    <row r="27">
      <c r="A27" s="0" t="s">
        <v>30</v>
      </c>
      <c r="B27" s="1861"/>
    </row>
    <row r="28">
      <c r="A28" s="0" t="s">
        <v>30</v>
      </c>
      <c r="B28" s="1861"/>
      <c r="G28" s="0">
        <f>SUM(G12:G27)</f>
        <v>0</v>
      </c>
      <c r="H28" s="0">
        <f ref="H28:T28" t="shared" si="1">SUM(H12:H27)</f>
        <v>0</v>
      </c>
      <c r="I28" s="0">
        <f t="shared" si="1"/>
        <v>0</v>
      </c>
      <c r="J28" s="0">
        <f t="shared" si="1"/>
        <v>0</v>
      </c>
      <c r="K28" s="0">
        <f t="shared" si="1"/>
        <v>0</v>
      </c>
      <c r="L28" s="0">
        <f t="shared" si="1"/>
        <v>0</v>
      </c>
      <c r="M28" s="0">
        <f t="shared" si="1"/>
        <v>0</v>
      </c>
      <c r="N28" s="0">
        <f t="shared" si="1"/>
        <v>0</v>
      </c>
      <c r="O28" s="0">
        <f t="shared" si="1"/>
        <v>0</v>
      </c>
      <c r="P28" s="0">
        <f t="shared" si="1"/>
        <v>0</v>
      </c>
      <c r="Q28" s="0">
        <f t="shared" si="1"/>
        <v>0</v>
      </c>
      <c r="R28" s="0">
        <f t="shared" si="1"/>
        <v>0</v>
      </c>
      <c r="S28" s="0">
        <f t="shared" si="1"/>
        <v>0</v>
      </c>
      <c r="T28" s="0">
        <f t="shared" si="1"/>
        <v>0</v>
      </c>
    </row>
  </sheetData>
  <mergeCells>
    <mergeCell ref="A9:F9"/>
  </mergeCells>
  <printOptions horizontalCentered="1"/>
  <pageMargins left="0" right="0" top="0.75" bottom="0.75" header="0.3" footer="0.3"/>
  <pageSetup paperSize="9" scale="70" orientation="landscape"/>
  <headerFooter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V22"/>
  <sheetViews>
    <sheetView workbookViewId="0">
      <pane xSplit="7" ySplit="6" topLeftCell="J7" activePane="bottomRight" state="frozen"/>
      <selection activeCell="M12" sqref="M12:M23"/>
      <selection pane="topRight" activeCell="M12" sqref="M12:M23"/>
      <selection pane="bottomLeft" activeCell="M12" sqref="M12:M23"/>
      <selection pane="bottomRight" activeCell="O22" sqref="O22"/>
    </sheetView>
  </sheetViews>
  <sheetFormatPr defaultColWidth="9.140625" defaultRowHeight="15"/>
  <cols>
    <col min="1" max="1" width="6.140625" customWidth="1"/>
    <col min="2" max="2" width="4.28515625" customWidth="1"/>
    <col min="3" max="3" width="23.85546875" customWidth="1"/>
    <col min="4" max="4" width="8.140625" customWidth="1"/>
    <col min="5" max="5" hidden="1" width="7.140625" customWidth="1"/>
    <col min="6" max="6" hidden="1" width="9.85546875" customWidth="1"/>
    <col min="7" max="8" width="10.85546875" customWidth="1"/>
    <col min="9" max="12" width="10" customWidth="1"/>
    <col min="13" max="13" width="10.5703125" customWidth="1"/>
    <col min="14" max="14" width="12" customWidth="1"/>
    <col min="15" max="16" width="10" customWidth="1"/>
    <col min="17" max="17" width="9.42578125" customWidth="1"/>
    <col min="18" max="18" width="11.28515625" customWidth="1"/>
    <col min="19" max="20" width="10" customWidth="1"/>
    <col min="21" max="21" width="8.5703125" customWidth="1"/>
    <col min="22" max="22" width="10.28515625" customWidth="1"/>
    <col min="23" max="23" width="23.5703125" customWidth="1"/>
    <col min="24" max="24" width="9.140625" customWidth="1"/>
  </cols>
  <sheetData>
    <row r="1">
      <c r="A1" s="436" t="s">
        <v>0</v>
      </c>
      <c r="D1" s="353"/>
      <c r="E1" s="353"/>
      <c r="F1" s="353"/>
      <c r="M1" s="391"/>
      <c r="V1" s="317"/>
    </row>
    <row r="2">
      <c r="A2" s="436" t="s">
        <v>1079</v>
      </c>
      <c r="B2" s="265"/>
      <c r="C2" s="354"/>
      <c r="D2" s="265"/>
      <c r="E2" s="265"/>
      <c r="F2" s="265"/>
      <c r="G2" s="355"/>
      <c r="H2" s="355"/>
      <c r="I2" s="392"/>
      <c r="J2" s="392"/>
      <c r="K2" s="392"/>
      <c r="L2" s="392"/>
      <c r="M2" s="355"/>
      <c r="N2" s="355"/>
      <c r="O2" s="355"/>
      <c r="P2" s="355"/>
      <c r="Q2" s="355"/>
      <c r="R2" s="392"/>
      <c r="S2" s="392"/>
      <c r="T2" s="392"/>
      <c r="U2" s="318"/>
      <c r="V2" s="318"/>
    </row>
    <row r="3">
      <c r="A3" s="436" t="str">
        <f>+'MALANG BAT AGUSTUS - OK'!A3</f>
        <v>Periode Bulan Agustus  2021</v>
      </c>
      <c r="D3" s="353"/>
      <c r="E3" s="353"/>
      <c r="F3" s="353"/>
      <c r="G3" s="356"/>
      <c r="H3" s="356"/>
      <c r="I3" s="393"/>
      <c r="M3" s="391"/>
      <c r="V3" s="317"/>
    </row>
    <row r="4">
      <c r="A4" s="352"/>
      <c r="D4" s="353"/>
      <c r="E4" s="353"/>
      <c r="F4" s="353"/>
      <c r="G4" s="357">
        <v>1926000</v>
      </c>
      <c r="H4" s="357"/>
      <c r="I4" s="393"/>
      <c r="M4" s="391"/>
      <c r="O4" s="394">
        <v>25000</v>
      </c>
      <c r="V4" s="317"/>
    </row>
    <row r="5">
      <c r="A5" s="352"/>
      <c r="D5" s="353"/>
      <c r="E5" s="353"/>
      <c r="F5" s="353"/>
      <c r="G5" s="357"/>
      <c r="H5" s="357"/>
      <c r="I5" s="393"/>
      <c r="M5" s="391"/>
      <c r="O5" s="394"/>
      <c r="V5" s="317"/>
    </row>
    <row r="6" ht="24" customHeight="1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3" t="s">
        <v>13</v>
      </c>
      <c r="M6" s="284" t="s">
        <v>14</v>
      </c>
      <c r="N6" s="285" t="s">
        <v>15</v>
      </c>
      <c r="O6" s="285" t="s">
        <v>882</v>
      </c>
      <c r="P6" s="286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8.75" customHeight="1">
      <c r="A7" s="238" t="s">
        <v>24</v>
      </c>
      <c r="B7" s="245" t="s">
        <v>684</v>
      </c>
      <c r="C7" s="246" t="s">
        <v>685</v>
      </c>
      <c r="D7" s="245" t="s">
        <v>34</v>
      </c>
      <c r="E7" s="246" t="s">
        <v>686</v>
      </c>
      <c r="F7" s="246" t="s">
        <v>87</v>
      </c>
      <c r="G7" s="243">
        <v>1926000</v>
      </c>
      <c r="H7" s="244"/>
      <c r="I7" s="304">
        <f>+$G$4*4.89%</f>
        <v>94181.4</v>
      </c>
      <c r="J7" s="304">
        <f>+$G$4*4%</f>
        <v>77040</v>
      </c>
      <c r="K7" s="304">
        <f>+$G$4*2%</f>
        <v>38520</v>
      </c>
      <c r="L7" s="299">
        <v>15000</v>
      </c>
      <c r="M7" s="295">
        <f>SUM(G7:L7)</f>
        <v>2150741.4</v>
      </c>
      <c r="N7" s="300">
        <f>+M7*8%</f>
        <v>172059.312</v>
      </c>
      <c r="O7" s="302">
        <v>400000</v>
      </c>
      <c r="P7" s="302"/>
      <c r="Q7" s="302"/>
      <c r="R7" s="302">
        <f>SUM(M7:Q7)</f>
        <v>2722800.712</v>
      </c>
      <c r="S7" s="300">
        <f>N7*0.1</f>
        <v>17205.931200000003</v>
      </c>
      <c r="T7" s="416">
        <f>R7+S7</f>
        <v>2740006.6432</v>
      </c>
      <c r="U7" s="337">
        <v>44378</v>
      </c>
      <c r="V7" s="338">
        <v>44469</v>
      </c>
    </row>
    <row r="8" ht="18.75" customHeight="1">
      <c r="A8" s="238" t="s">
        <v>24</v>
      </c>
      <c r="B8" s="245" t="s">
        <v>687</v>
      </c>
      <c r="C8" s="246" t="s">
        <v>688</v>
      </c>
      <c r="D8" s="245" t="s">
        <v>34</v>
      </c>
      <c r="E8" s="246" t="s">
        <v>686</v>
      </c>
      <c r="F8" s="246" t="s">
        <v>87</v>
      </c>
      <c r="G8" s="243">
        <v>1926000</v>
      </c>
      <c r="H8" s="244"/>
      <c r="I8" s="304">
        <f>+$G$4*4.89%</f>
        <v>94181.4</v>
      </c>
      <c r="J8" s="304">
        <f>+$G$4*4%</f>
        <v>77040</v>
      </c>
      <c r="K8" s="304">
        <f>+$G$4*2%</f>
        <v>38520</v>
      </c>
      <c r="L8" s="299">
        <v>15000</v>
      </c>
      <c r="M8" s="295">
        <f>SUM(G8:L8)</f>
        <v>2150741.4</v>
      </c>
      <c r="N8" s="300">
        <f>+M8*8%</f>
        <v>172059.312</v>
      </c>
      <c r="O8" s="302">
        <v>395000</v>
      </c>
      <c r="P8" s="302"/>
      <c r="Q8" s="302"/>
      <c r="R8" s="302">
        <f>SUM(M8:Q8)</f>
        <v>2717800.712</v>
      </c>
      <c r="S8" s="300">
        <f>N8*0.1</f>
        <v>17205.931200000003</v>
      </c>
      <c r="T8" s="416">
        <f>R8+S8</f>
        <v>2735006.6432</v>
      </c>
      <c r="U8" s="337">
        <v>44378</v>
      </c>
      <c r="V8" s="338">
        <v>44469</v>
      </c>
    </row>
    <row r="9" ht="18.75" customHeight="1">
      <c r="A9" s="1744" t="s">
        <v>30</v>
      </c>
      <c r="B9" s="1867"/>
      <c r="C9" s="1745"/>
      <c r="D9" s="1745"/>
      <c r="E9" s="1745"/>
      <c r="F9" s="1745"/>
      <c r="G9" s="386">
        <f ref="G9:T9" t="shared" si="0">SUM(G7:G8)</f>
        <v>3852000</v>
      </c>
      <c r="H9" s="386">
        <f t="shared" si="0"/>
        <v>0</v>
      </c>
      <c r="I9" s="386">
        <f t="shared" si="0"/>
        <v>188362.8</v>
      </c>
      <c r="J9" s="386">
        <f t="shared" si="0"/>
        <v>154080</v>
      </c>
      <c r="K9" s="386">
        <f t="shared" si="0"/>
        <v>77040</v>
      </c>
      <c r="L9" s="386">
        <f t="shared" si="0"/>
        <v>30000</v>
      </c>
      <c r="M9" s="386">
        <f t="shared" si="0"/>
        <v>4301482.8</v>
      </c>
      <c r="N9" s="386">
        <f t="shared" si="0"/>
        <v>344118.624</v>
      </c>
      <c r="O9" s="386">
        <f t="shared" si="0"/>
        <v>795000</v>
      </c>
      <c r="P9" s="386">
        <f t="shared" si="0"/>
        <v>0</v>
      </c>
      <c r="Q9" s="386">
        <f t="shared" si="0"/>
        <v>0</v>
      </c>
      <c r="R9" s="386">
        <f t="shared" si="0"/>
        <v>5440601.424</v>
      </c>
      <c r="S9" s="386">
        <f t="shared" si="0"/>
        <v>34411.862400000005</v>
      </c>
      <c r="T9" s="386">
        <f t="shared" si="0"/>
        <v>5475013.2864</v>
      </c>
      <c r="U9" s="386"/>
      <c r="V9" s="435"/>
    </row>
    <row r="10" ht="18.75" customHeight="1">
      <c r="A10" s="0" t="s">
        <v>30</v>
      </c>
      <c r="B10" s="1861"/>
      <c r="C10" s="387"/>
      <c r="D10" s="262"/>
      <c r="E10" s="263"/>
      <c r="F10" s="264"/>
      <c r="G10" s="210"/>
      <c r="H10" s="2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48"/>
      <c r="V10" s="317"/>
    </row>
    <row r="11">
      <c r="A11" s="265" t="s">
        <v>30</v>
      </c>
      <c r="B11" s="1944"/>
      <c r="C11" s="266"/>
      <c r="D11" s="266"/>
      <c r="E11" s="266"/>
      <c r="F11" s="266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>
        <f>SUM(M11:R11)</f>
        <v>0</v>
      </c>
      <c r="T11" s="267"/>
      <c r="U11" s="267"/>
      <c r="V11" s="267"/>
    </row>
    <row r="12">
      <c r="A12" s="0" t="s">
        <v>30</v>
      </c>
      <c r="B12" s="1861"/>
      <c r="C12" s="236" t="str">
        <f>+'MALANG BAT AGUSTUS - OK'!C26</f>
        <v>Karawang, 16 Agustus 2021</v>
      </c>
      <c r="D12" s="269"/>
      <c r="E12" s="270"/>
      <c r="F12" s="270"/>
      <c r="G12" s="271"/>
      <c r="H12" s="271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267"/>
      <c r="T12" s="310"/>
      <c r="U12" s="348"/>
      <c r="V12" s="317"/>
    </row>
    <row r="13">
      <c r="A13" s="0" t="s">
        <v>30</v>
      </c>
      <c r="B13" s="1861"/>
      <c r="C13" s="236" t="s">
        <v>38</v>
      </c>
      <c r="D13" s="272"/>
      <c r="E13" s="264"/>
      <c r="F13" s="264"/>
      <c r="G13" s="210"/>
      <c r="H13" s="210"/>
      <c r="I13" s="270"/>
      <c r="J13" s="270"/>
      <c r="K13" s="270"/>
      <c r="L13" s="270"/>
      <c r="M13" s="270"/>
      <c r="N13" s="310"/>
      <c r="O13" s="310"/>
      <c r="P13" s="310"/>
      <c r="Q13" s="310"/>
      <c r="R13" s="270"/>
      <c r="S13" s="267"/>
      <c r="T13" s="310"/>
      <c r="U13" s="348"/>
      <c r="V13" s="317"/>
    </row>
    <row r="14">
      <c r="A14" s="0" t="s">
        <v>30</v>
      </c>
      <c r="B14" s="1861"/>
      <c r="C14" s="269"/>
      <c r="D14" s="269"/>
      <c r="E14" s="264"/>
      <c r="F14" s="264"/>
      <c r="G14" s="275"/>
      <c r="H14" s="275"/>
      <c r="I14" s="262"/>
      <c r="J14" s="262"/>
      <c r="K14" s="262"/>
      <c r="L14" s="312"/>
      <c r="M14" s="263" t="s">
        <v>39</v>
      </c>
      <c r="N14" s="313"/>
      <c r="O14" s="387"/>
      <c r="P14" s="313"/>
      <c r="Q14" s="387"/>
      <c r="R14" s="349"/>
      <c r="S14" s="267"/>
      <c r="T14" s="313"/>
      <c r="U14" s="348"/>
      <c r="V14" s="348"/>
    </row>
    <row r="15">
      <c r="A15" s="0" t="s">
        <v>30</v>
      </c>
      <c r="B15" s="1861"/>
      <c r="C15" s="276"/>
      <c r="D15" s="276"/>
      <c r="E15" s="208"/>
      <c r="F15" s="208"/>
      <c r="G15" s="275"/>
      <c r="H15" s="275"/>
      <c r="I15" s="262"/>
      <c r="J15" s="315"/>
      <c r="K15" s="262"/>
      <c r="L15" s="312"/>
      <c r="M15" s="262"/>
      <c r="N15" s="270"/>
      <c r="O15" s="270"/>
      <c r="P15" s="270"/>
      <c r="Q15" s="270"/>
      <c r="R15" s="349"/>
      <c r="S15" s="267"/>
      <c r="T15" s="270"/>
      <c r="U15" s="348"/>
      <c r="V15" s="348"/>
    </row>
    <row r="16">
      <c r="A16" s="0" t="s">
        <v>30</v>
      </c>
      <c r="B16" s="1861"/>
      <c r="C16" s="276"/>
      <c r="D16" s="276"/>
      <c r="E16" s="208"/>
      <c r="F16" s="208"/>
      <c r="G16" s="210"/>
      <c r="H16" s="210"/>
      <c r="I16" s="210"/>
      <c r="J16" s="270"/>
      <c r="K16" s="270"/>
      <c r="L16" s="310"/>
      <c r="M16" s="270"/>
      <c r="N16" s="270"/>
      <c r="O16" s="270"/>
      <c r="P16" s="270"/>
      <c r="Q16" s="270"/>
      <c r="R16" s="208"/>
      <c r="S16" s="267"/>
      <c r="T16" s="270"/>
      <c r="U16" s="348"/>
      <c r="V16" s="348"/>
    </row>
    <row r="17">
      <c r="A17" s="0" t="s">
        <v>30</v>
      </c>
      <c r="B17" s="1861"/>
      <c r="C17" s="269"/>
      <c r="D17" s="269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264"/>
      <c r="S17" s="267"/>
      <c r="T17" s="270"/>
      <c r="U17" s="348"/>
      <c r="V17" s="348"/>
    </row>
    <row r="18">
      <c r="A18" s="0" t="s">
        <v>30</v>
      </c>
      <c r="B18" s="1861"/>
      <c r="C18" s="236"/>
      <c r="D18" s="272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4"/>
      <c r="S18" s="267"/>
      <c r="T18" s="270"/>
      <c r="U18" s="348"/>
      <c r="V18" s="348"/>
    </row>
    <row r="19">
      <c r="A19" s="0" t="s">
        <v>30</v>
      </c>
      <c r="B19" s="1861"/>
      <c r="C19" s="236"/>
      <c r="D19" s="272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262"/>
      <c r="P19" s="262"/>
      <c r="Q19" s="262"/>
      <c r="R19" s="264"/>
      <c r="S19" s="267"/>
      <c r="T19" s="387"/>
      <c r="U19" s="348"/>
      <c r="V19" s="348"/>
    </row>
    <row r="20">
      <c r="A20" s="0" t="s">
        <v>30</v>
      </c>
      <c r="B20" s="1861"/>
      <c r="C20" s="236" t="s">
        <v>40</v>
      </c>
      <c r="D20" s="272"/>
      <c r="E20" s="277"/>
      <c r="F20" s="277"/>
      <c r="G20" s="278"/>
      <c r="H20" s="278"/>
      <c r="I20" s="297"/>
      <c r="J20" s="412" t="s">
        <v>41</v>
      </c>
      <c r="K20" s="389"/>
      <c r="L20" s="389"/>
      <c r="M20" s="272" t="s">
        <v>42</v>
      </c>
      <c r="O20" s="236" t="s">
        <v>43</v>
      </c>
      <c r="Q20" s="389"/>
      <c r="S20" s="267"/>
      <c r="U20" s="350"/>
      <c r="V20" s="350"/>
    </row>
    <row r="21">
      <c r="A21" s="389" t="s">
        <v>30</v>
      </c>
      <c r="B21" s="1868"/>
      <c r="C21" s="390"/>
      <c r="D21" s="277"/>
      <c r="E21" s="277"/>
      <c r="F21" s="38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350"/>
    </row>
    <row r="22">
      <c r="A22" s="389" t="s">
        <v>30</v>
      </c>
      <c r="B22" s="1868"/>
      <c r="C22" s="390"/>
      <c r="D22" s="277"/>
      <c r="E22" s="277"/>
      <c r="F22" s="388"/>
      <c r="G22" s="278"/>
      <c r="H22" s="278"/>
      <c r="I22" s="389"/>
      <c r="J22" s="389"/>
      <c r="K22" s="389"/>
      <c r="L22" s="389"/>
      <c r="M22" s="278"/>
      <c r="N22" s="389"/>
      <c r="O22" s="389"/>
      <c r="P22" s="389"/>
      <c r="Q22" s="389"/>
      <c r="R22" s="389"/>
      <c r="U22" s="350"/>
      <c r="V22" s="350"/>
    </row>
  </sheetData>
  <mergeCells>
    <mergeCell ref="A9:F9"/>
  </mergeCells>
  <printOptions horizontalCentered="1"/>
  <pageMargins left="0" right="0" top="0.75" bottom="0.75" header="0.3" footer="0.3"/>
  <pageSetup paperSize="9" scale="70" orientation="landscape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Y42"/>
  <sheetViews>
    <sheetView zoomScale="85" zoomScaleNormal="85" workbookViewId="0">
      <pane xSplit="7" ySplit="10" topLeftCell="H14" activePane="bottomRight" state="frozen"/>
      <selection activeCell="M12" sqref="M12:M23"/>
      <selection pane="topRight" activeCell="M12" sqref="M12:M23"/>
      <selection pane="bottomLeft" activeCell="M12" sqref="M12:M23"/>
      <selection pane="bottomRight" activeCell="M12" sqref="M12:M23"/>
    </sheetView>
  </sheetViews>
  <sheetFormatPr defaultColWidth="9.140625" defaultRowHeight="15"/>
  <cols>
    <col min="1" max="1" width="6.140625" customWidth="1"/>
    <col min="2" max="2" width="5.140625" customWidth="1"/>
    <col min="3" max="3" width="23.85546875" customWidth="1"/>
    <col min="4" max="4" width="12.28515625" customWidth="1"/>
    <col min="5" max="5" hidden="1" width="11.28515625" customWidth="1"/>
    <col min="6" max="6" hidden="1" width="10.85546875" customWidth="1"/>
    <col min="7" max="7" width="12.7109375" customWidth="1"/>
    <col min="8" max="8" width="10.140625" customWidth="1"/>
    <col min="9" max="9" width="11.5703125" customWidth="1"/>
    <col min="10" max="10" width="12.85546875" customWidth="1"/>
    <col min="11" max="11" width="9.5703125" customWidth="1"/>
    <col min="12" max="12" width="11.7109375" customWidth="1"/>
    <col min="13" max="13" width="14.140625" customWidth="1"/>
    <col min="14" max="14" width="13.140625" customWidth="1"/>
    <col min="15" max="15" width="12.85546875" customWidth="1"/>
    <col min="16" max="16" width="11.7109375" customWidth="1"/>
    <col min="17" max="17" width="10" customWidth="1"/>
    <col min="18" max="18" width="12.7109375" customWidth="1"/>
    <col min="19" max="19" width="9.5703125" customWidth="1"/>
    <col min="20" max="20" width="12.42578125" customWidth="1"/>
    <col min="21" max="21" width="8.7109375" customWidth="1"/>
    <col min="22" max="22" width="8.42578125" customWidth="1"/>
    <col min="23" max="23" width="7" customWidth="1"/>
    <col min="24" max="24" width="9.140625" customWidth="1"/>
  </cols>
  <sheetData>
    <row r="1">
      <c r="A1" s="352" t="s">
        <v>0</v>
      </c>
      <c r="D1" s="353"/>
      <c r="E1" s="353"/>
      <c r="F1" s="353"/>
      <c r="M1" s="391"/>
      <c r="V1" s="317"/>
    </row>
    <row r="2">
      <c r="A2" s="352" t="s">
        <v>1045</v>
      </c>
      <c r="B2" s="265"/>
      <c r="C2" s="354"/>
      <c r="D2" s="265"/>
      <c r="E2" s="265"/>
      <c r="F2" s="265"/>
      <c r="G2" s="355"/>
      <c r="H2" s="355"/>
      <c r="I2" s="392"/>
      <c r="J2" s="392"/>
      <c r="K2" s="392"/>
      <c r="L2" s="392"/>
      <c r="M2" s="355"/>
      <c r="N2" s="355"/>
      <c r="O2" s="355"/>
      <c r="P2" s="355"/>
      <c r="Q2" s="355"/>
      <c r="R2" s="392"/>
      <c r="S2" s="392"/>
      <c r="T2" s="392"/>
      <c r="U2" s="318"/>
      <c r="V2" s="318"/>
    </row>
    <row r="3">
      <c r="A3" s="352" t="str">
        <f>+'MALANG BAT AGUSTUS - OK'!A3</f>
        <v>Periode Bulan Agustus  2021</v>
      </c>
      <c r="D3" s="353"/>
      <c r="E3" s="353"/>
      <c r="F3" s="353"/>
      <c r="G3" s="356"/>
      <c r="H3" s="356"/>
      <c r="I3" s="393"/>
      <c r="M3" s="391"/>
      <c r="V3" s="317"/>
    </row>
    <row r="4">
      <c r="A4" s="352"/>
      <c r="D4" s="353"/>
      <c r="E4" s="353"/>
      <c r="F4" s="353"/>
      <c r="G4" s="356"/>
      <c r="H4" s="356"/>
      <c r="I4" s="393"/>
      <c r="M4" s="391"/>
      <c r="V4" s="317"/>
    </row>
    <row r="5">
      <c r="A5" s="352"/>
      <c r="D5" s="353"/>
      <c r="E5" s="353"/>
      <c r="F5" s="353"/>
      <c r="G5" s="357">
        <v>2290995</v>
      </c>
      <c r="H5" s="357"/>
      <c r="I5" s="393"/>
      <c r="M5" s="391"/>
      <c r="O5" s="394">
        <v>25000</v>
      </c>
      <c r="V5" s="317"/>
    </row>
    <row r="6" ht="22.5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8" t="s">
        <v>9</v>
      </c>
      <c r="I6" s="282" t="s">
        <v>10</v>
      </c>
      <c r="J6" s="283" t="s">
        <v>11</v>
      </c>
      <c r="K6" s="283" t="s">
        <v>12</v>
      </c>
      <c r="L6" s="283" t="s">
        <v>13</v>
      </c>
      <c r="M6" s="284" t="s">
        <v>14</v>
      </c>
      <c r="N6" s="285" t="s">
        <v>15</v>
      </c>
      <c r="O6" s="285" t="s">
        <v>32</v>
      </c>
      <c r="P6" s="286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</row>
    <row r="7" ht="19.5" customHeight="1">
      <c r="A7" s="227" t="s">
        <v>24</v>
      </c>
      <c r="B7" s="358" t="s">
        <v>1046</v>
      </c>
      <c r="C7" s="359" t="s">
        <v>516</v>
      </c>
      <c r="D7" s="358" t="s">
        <v>26</v>
      </c>
      <c r="E7" s="359" t="s">
        <v>517</v>
      </c>
      <c r="F7" s="359" t="s">
        <v>87</v>
      </c>
      <c r="G7" s="232">
        <f>2290995</f>
        <v>2290995</v>
      </c>
      <c r="H7" s="233"/>
      <c r="I7" s="395">
        <f>+$G$5*4.89%</f>
        <v>112029.6555</v>
      </c>
      <c r="J7" s="395">
        <f>+$G$5*4%</f>
        <v>91639.8</v>
      </c>
      <c r="K7" s="395">
        <f>+$G$5*2%</f>
        <v>45819.9</v>
      </c>
      <c r="L7" s="294">
        <v>1667</v>
      </c>
      <c r="M7" s="296">
        <f>SUM(G7:L7)</f>
        <v>2542151.3554999996</v>
      </c>
      <c r="N7" s="396">
        <f>+M7*8%</f>
        <v>203372.10843999998</v>
      </c>
      <c r="O7" s="397">
        <f>500000+25000</f>
        <v>525000</v>
      </c>
      <c r="P7" s="398">
        <v>100000</v>
      </c>
      <c r="Q7" s="398">
        <f>27*12000</f>
        <v>324000</v>
      </c>
      <c r="R7" s="398">
        <f>SUM(M7:Q7)</f>
        <v>3694523.4639399997</v>
      </c>
      <c r="S7" s="396">
        <f>N7*0.1</f>
        <v>20337.210844</v>
      </c>
      <c r="T7" s="413">
        <f>R7+S7</f>
        <v>3714860.6747839996</v>
      </c>
      <c r="U7" s="155">
        <v>44378</v>
      </c>
      <c r="V7" s="330">
        <v>44469</v>
      </c>
    </row>
    <row r="8" ht="19.5" customHeight="1">
      <c r="A8" s="360" t="s">
        <v>30</v>
      </c>
      <c r="B8" s="1947"/>
      <c r="C8" s="362" t="s">
        <v>88</v>
      </c>
      <c r="D8" s="361"/>
      <c r="E8" s="363"/>
      <c r="F8" s="363"/>
      <c r="G8" s="364">
        <f ref="G8:T8" t="shared" si="0">SUM(G7)</f>
        <v>2290995</v>
      </c>
      <c r="H8" s="364">
        <f t="shared" si="0"/>
        <v>0</v>
      </c>
      <c r="I8" s="364">
        <f t="shared" si="0"/>
        <v>112029.6555</v>
      </c>
      <c r="J8" s="364">
        <f t="shared" si="0"/>
        <v>91639.8</v>
      </c>
      <c r="K8" s="364">
        <f t="shared" si="0"/>
        <v>45819.9</v>
      </c>
      <c r="L8" s="364">
        <f t="shared" si="0"/>
        <v>1667</v>
      </c>
      <c r="M8" s="364">
        <f t="shared" si="0"/>
        <v>2542151.3554999996</v>
      </c>
      <c r="N8" s="364">
        <f t="shared" si="0"/>
        <v>203372.10843999998</v>
      </c>
      <c r="O8" s="364">
        <f t="shared" si="0"/>
        <v>525000</v>
      </c>
      <c r="P8" s="364">
        <f t="shared" si="0"/>
        <v>100000</v>
      </c>
      <c r="Q8" s="364">
        <f t="shared" si="0"/>
        <v>324000</v>
      </c>
      <c r="R8" s="364">
        <f t="shared" si="0"/>
        <v>3694523.4639399997</v>
      </c>
      <c r="S8" s="364">
        <f t="shared" si="0"/>
        <v>20337.210844</v>
      </c>
      <c r="T8" s="364">
        <f t="shared" si="0"/>
        <v>3714860.6747839996</v>
      </c>
      <c r="U8" s="414"/>
      <c r="V8" s="415"/>
    </row>
    <row r="9">
      <c r="A9" s="352" t="s">
        <v>30</v>
      </c>
      <c r="B9" s="1861"/>
      <c r="D9" s="353"/>
      <c r="E9" s="353"/>
      <c r="F9" s="353"/>
      <c r="G9" s="357"/>
      <c r="H9" s="357"/>
      <c r="I9" s="393"/>
      <c r="M9" s="391"/>
      <c r="O9" s="394"/>
      <c r="V9" s="317"/>
    </row>
    <row r="10" ht="24" customHeight="1">
      <c r="A10" s="215" t="s">
        <v>31</v>
      </c>
      <c r="B10" s="1908" t="s">
        <v>3</v>
      </c>
      <c r="C10" s="216" t="s">
        <v>4</v>
      </c>
      <c r="D10" s="216" t="s">
        <v>5</v>
      </c>
      <c r="E10" s="216" t="s">
        <v>6</v>
      </c>
      <c r="F10" s="217" t="s">
        <v>7</v>
      </c>
      <c r="G10" s="218" t="s">
        <v>8</v>
      </c>
      <c r="H10" s="218" t="s">
        <v>9</v>
      </c>
      <c r="I10" s="282" t="s">
        <v>10</v>
      </c>
      <c r="J10" s="283" t="s">
        <v>11</v>
      </c>
      <c r="K10" s="283" t="s">
        <v>12</v>
      </c>
      <c r="L10" s="283" t="s">
        <v>13</v>
      </c>
      <c r="M10" s="284" t="s">
        <v>14</v>
      </c>
      <c r="N10" s="285" t="s">
        <v>15</v>
      </c>
      <c r="O10" s="285" t="s">
        <v>32</v>
      </c>
      <c r="P10" s="286" t="s">
        <v>17</v>
      </c>
      <c r="Q10" s="285" t="s">
        <v>18</v>
      </c>
      <c r="R10" s="319" t="s">
        <v>19</v>
      </c>
      <c r="S10" s="320" t="s">
        <v>20</v>
      </c>
      <c r="T10" s="320" t="s">
        <v>21</v>
      </c>
      <c r="U10" s="321" t="s">
        <v>22</v>
      </c>
      <c r="V10" s="322" t="s">
        <v>23</v>
      </c>
    </row>
    <row r="11" ht="18.75" customHeight="1">
      <c r="A11" s="238" t="s">
        <v>24</v>
      </c>
      <c r="B11" s="245" t="s">
        <v>1047</v>
      </c>
      <c r="C11" s="365" t="s">
        <v>1048</v>
      </c>
      <c r="D11" s="366" t="s">
        <v>34</v>
      </c>
      <c r="E11" s="246" t="s">
        <v>517</v>
      </c>
      <c r="F11" s="246" t="s">
        <v>87</v>
      </c>
      <c r="G11" s="243">
        <v>2290995</v>
      </c>
      <c r="H11" s="244"/>
      <c r="I11" s="304">
        <f ref="I11:I16" t="shared" si="1">+$G$5*4.89%</f>
        <v>112029.6555</v>
      </c>
      <c r="J11" s="304">
        <f ref="J11:J16" t="shared" si="2">+$G$5*4%</f>
        <v>91639.8</v>
      </c>
      <c r="K11" s="304">
        <f ref="K11:K16" t="shared" si="3">+$G$5*2%</f>
        <v>45819.9</v>
      </c>
      <c r="L11" s="299">
        <v>15000</v>
      </c>
      <c r="M11" s="296">
        <f ref="M11:M27" t="shared" si="4">SUM(G11:L11)</f>
        <v>2555484.3554999996</v>
      </c>
      <c r="N11" s="300">
        <f ref="N11:N27" t="shared" si="5">+M11*8%</f>
        <v>204438.74843999997</v>
      </c>
      <c r="O11" s="302">
        <v>715000</v>
      </c>
      <c r="P11" s="302"/>
      <c r="Q11" s="302"/>
      <c r="R11" s="302">
        <f ref="R11:R27" t="shared" si="6">SUM(M11:Q11)</f>
        <v>3474923.1039399994</v>
      </c>
      <c r="S11" s="300">
        <f ref="S11:S27" t="shared" si="7">N11*0.1</f>
        <v>20443.874843999998</v>
      </c>
      <c r="T11" s="416">
        <f ref="T11:T27" t="shared" si="8">R11+S11</f>
        <v>3495366.9787839996</v>
      </c>
      <c r="U11" s="417">
        <v>44355</v>
      </c>
      <c r="V11" s="338">
        <v>44439</v>
      </c>
      <c r="X11" s="350"/>
      <c r="Y11" s="350"/>
    </row>
    <row r="12" ht="18.75" customHeight="1">
      <c r="A12" s="238" t="s">
        <v>24</v>
      </c>
      <c r="B12" s="1542" t="s">
        <v>1049</v>
      </c>
      <c r="C12" s="246" t="s">
        <v>542</v>
      </c>
      <c r="D12" s="245" t="s">
        <v>34</v>
      </c>
      <c r="E12" s="246" t="s">
        <v>517</v>
      </c>
      <c r="F12" s="246" t="s">
        <v>87</v>
      </c>
      <c r="G12" s="243">
        <v>2290995</v>
      </c>
      <c r="H12" s="244"/>
      <c r="I12" s="304">
        <f t="shared" si="1"/>
        <v>112029.6555</v>
      </c>
      <c r="J12" s="304">
        <f t="shared" si="2"/>
        <v>91639.8</v>
      </c>
      <c r="K12" s="304">
        <f t="shared" si="3"/>
        <v>45819.9</v>
      </c>
      <c r="L12" s="299">
        <v>15000</v>
      </c>
      <c r="M12" s="296">
        <f t="shared" si="4"/>
        <v>2555484.3554999996</v>
      </c>
      <c r="N12" s="303">
        <f t="shared" si="5"/>
        <v>204438.74843999997</v>
      </c>
      <c r="O12" s="399">
        <v>722500</v>
      </c>
      <c r="P12" s="302"/>
      <c r="Q12" s="302"/>
      <c r="R12" s="302">
        <f t="shared" si="6"/>
        <v>3482423.1039399994</v>
      </c>
      <c r="S12" s="300">
        <f t="shared" si="7"/>
        <v>20443.874843999998</v>
      </c>
      <c r="T12" s="416">
        <f t="shared" si="8"/>
        <v>3502866.9787839996</v>
      </c>
      <c r="U12" s="337">
        <v>44350</v>
      </c>
      <c r="V12" s="338">
        <v>44439</v>
      </c>
      <c r="X12" s="350"/>
      <c r="Y12" s="350"/>
    </row>
    <row r="13" ht="20.25" customHeight="1">
      <c r="A13" s="238" t="s">
        <v>24</v>
      </c>
      <c r="B13" s="1533" t="s">
        <v>1050</v>
      </c>
      <c r="C13" s="246" t="s">
        <v>1051</v>
      </c>
      <c r="D13" s="239" t="s">
        <v>34</v>
      </c>
      <c r="E13" s="246" t="s">
        <v>517</v>
      </c>
      <c r="F13" s="246" t="s">
        <v>87</v>
      </c>
      <c r="G13" s="243">
        <v>2290995</v>
      </c>
      <c r="H13" s="244"/>
      <c r="I13" s="304">
        <f t="shared" si="1"/>
        <v>112029.6555</v>
      </c>
      <c r="J13" s="304">
        <f t="shared" si="2"/>
        <v>91639.8</v>
      </c>
      <c r="K13" s="304">
        <f t="shared" si="3"/>
        <v>45819.9</v>
      </c>
      <c r="L13" s="299">
        <v>15000</v>
      </c>
      <c r="M13" s="296">
        <f t="shared" si="4"/>
        <v>2555484.3554999996</v>
      </c>
      <c r="N13" s="303">
        <f t="shared" si="5"/>
        <v>204438.74843999997</v>
      </c>
      <c r="O13" s="399">
        <v>842500</v>
      </c>
      <c r="P13" s="302"/>
      <c r="Q13" s="302"/>
      <c r="R13" s="302">
        <f t="shared" si="6"/>
        <v>3602423.1039399994</v>
      </c>
      <c r="S13" s="300">
        <f t="shared" si="7"/>
        <v>20443.874843999998</v>
      </c>
      <c r="T13" s="416">
        <f t="shared" si="8"/>
        <v>3622866.9787839996</v>
      </c>
      <c r="U13" s="418">
        <v>44340</v>
      </c>
      <c r="V13" s="340">
        <v>44439</v>
      </c>
      <c r="W13" s="419"/>
      <c r="X13" s="350"/>
      <c r="Y13" s="350"/>
    </row>
    <row r="14" ht="18" customHeight="1">
      <c r="A14" s="238" t="s">
        <v>24</v>
      </c>
      <c r="B14" s="1533" t="s">
        <v>1052</v>
      </c>
      <c r="C14" s="242" t="s">
        <v>1053</v>
      </c>
      <c r="D14" s="247" t="s">
        <v>34</v>
      </c>
      <c r="E14" s="246" t="s">
        <v>517</v>
      </c>
      <c r="F14" s="246" t="s">
        <v>87</v>
      </c>
      <c r="G14" s="243">
        <v>2290995</v>
      </c>
      <c r="H14" s="244"/>
      <c r="I14" s="304">
        <f t="shared" si="1"/>
        <v>112029.6555</v>
      </c>
      <c r="J14" s="304">
        <f t="shared" si="2"/>
        <v>91639.8</v>
      </c>
      <c r="K14" s="304">
        <f t="shared" si="3"/>
        <v>45819.9</v>
      </c>
      <c r="L14" s="299">
        <v>15000</v>
      </c>
      <c r="M14" s="296">
        <f t="shared" si="4"/>
        <v>2555484.3554999996</v>
      </c>
      <c r="N14" s="303">
        <f t="shared" si="5"/>
        <v>204438.74843999997</v>
      </c>
      <c r="O14" s="303">
        <v>630000</v>
      </c>
      <c r="P14" s="302"/>
      <c r="Q14" s="302"/>
      <c r="R14" s="300">
        <f t="shared" si="6"/>
        <v>3389923.1039399994</v>
      </c>
      <c r="S14" s="300">
        <f t="shared" si="7"/>
        <v>20443.874843999998</v>
      </c>
      <c r="T14" s="416">
        <f t="shared" si="8"/>
        <v>3410366.9787839996</v>
      </c>
      <c r="U14" s="339">
        <v>44348</v>
      </c>
      <c r="V14" s="340">
        <v>44439</v>
      </c>
      <c r="W14" s="420"/>
      <c r="X14" s="350"/>
      <c r="Y14" s="350"/>
    </row>
    <row r="15" ht="18" customHeight="1">
      <c r="A15" s="238" t="s">
        <v>24</v>
      </c>
      <c r="B15" s="1533" t="s">
        <v>1054</v>
      </c>
      <c r="C15" s="242" t="s">
        <v>1055</v>
      </c>
      <c r="D15" s="247" t="s">
        <v>34</v>
      </c>
      <c r="E15" s="246" t="s">
        <v>517</v>
      </c>
      <c r="F15" s="246" t="s">
        <v>87</v>
      </c>
      <c r="G15" s="243">
        <v>2290995</v>
      </c>
      <c r="H15" s="244"/>
      <c r="I15" s="304">
        <f t="shared" si="1"/>
        <v>112029.6555</v>
      </c>
      <c r="J15" s="304">
        <f t="shared" si="2"/>
        <v>91639.8</v>
      </c>
      <c r="K15" s="304">
        <f t="shared" si="3"/>
        <v>45819.9</v>
      </c>
      <c r="L15" s="299">
        <v>15000</v>
      </c>
      <c r="M15" s="296">
        <f t="shared" si="4"/>
        <v>2555484.3554999996</v>
      </c>
      <c r="N15" s="303">
        <f t="shared" si="5"/>
        <v>204438.74843999997</v>
      </c>
      <c r="O15" s="303">
        <v>1172500</v>
      </c>
      <c r="P15" s="302"/>
      <c r="Q15" s="302"/>
      <c r="R15" s="300">
        <f t="shared" si="6"/>
        <v>3932423.1039399994</v>
      </c>
      <c r="S15" s="300">
        <f t="shared" si="7"/>
        <v>20443.874843999998</v>
      </c>
      <c r="T15" s="416">
        <f t="shared" si="8"/>
        <v>3952866.9787839996</v>
      </c>
      <c r="U15" s="339">
        <v>44332</v>
      </c>
      <c r="V15" s="340">
        <v>44439</v>
      </c>
      <c r="X15" s="350"/>
      <c r="Y15" s="350"/>
    </row>
    <row r="16" ht="18" customHeight="1">
      <c r="A16" s="238" t="s">
        <v>24</v>
      </c>
      <c r="B16" s="1533" t="s">
        <v>1056</v>
      </c>
      <c r="C16" s="242" t="s">
        <v>1057</v>
      </c>
      <c r="D16" s="247" t="s">
        <v>34</v>
      </c>
      <c r="E16" s="246" t="s">
        <v>517</v>
      </c>
      <c r="F16" s="246" t="s">
        <v>87</v>
      </c>
      <c r="G16" s="243">
        <v>2290995</v>
      </c>
      <c r="H16" s="244"/>
      <c r="I16" s="304">
        <f t="shared" si="1"/>
        <v>112029.6555</v>
      </c>
      <c r="J16" s="304">
        <f t="shared" si="2"/>
        <v>91639.8</v>
      </c>
      <c r="K16" s="304">
        <f t="shared" si="3"/>
        <v>45819.9</v>
      </c>
      <c r="L16" s="299">
        <v>15000</v>
      </c>
      <c r="M16" s="296">
        <f t="shared" si="4"/>
        <v>2555484.3554999996</v>
      </c>
      <c r="N16" s="303">
        <f t="shared" si="5"/>
        <v>204438.74843999997</v>
      </c>
      <c r="O16" s="303">
        <v>757500</v>
      </c>
      <c r="P16" s="302"/>
      <c r="Q16" s="302"/>
      <c r="R16" s="300">
        <f t="shared" si="6"/>
        <v>3517423.1039399994</v>
      </c>
      <c r="S16" s="300">
        <f t="shared" si="7"/>
        <v>20443.874843999998</v>
      </c>
      <c r="T16" s="416">
        <f t="shared" si="8"/>
        <v>3537866.9787839996</v>
      </c>
      <c r="U16" s="339">
        <v>44332</v>
      </c>
      <c r="V16" s="340">
        <v>44439</v>
      </c>
      <c r="X16" s="350"/>
      <c r="Y16" s="350"/>
    </row>
    <row r="17" ht="18" customHeight="1">
      <c r="A17" s="367" t="s">
        <v>24</v>
      </c>
      <c r="B17" s="368" t="s">
        <v>537</v>
      </c>
      <c r="C17" s="369" t="s">
        <v>1058</v>
      </c>
      <c r="D17" s="370" t="s">
        <v>34</v>
      </c>
      <c r="E17" s="371" t="s">
        <v>517</v>
      </c>
      <c r="F17" s="371" t="s">
        <v>87</v>
      </c>
      <c r="G17" s="372">
        <f>2290995/31*10</f>
        <v>739030.64516129</v>
      </c>
      <c r="H17" s="373"/>
      <c r="I17" s="400"/>
      <c r="J17" s="400"/>
      <c r="K17" s="400"/>
      <c r="L17" s="401"/>
      <c r="M17" s="296">
        <f t="shared" si="4"/>
        <v>739030.64516129</v>
      </c>
      <c r="N17" s="402">
        <f t="shared" si="5"/>
        <v>59122.4516129032</v>
      </c>
      <c r="O17" s="402"/>
      <c r="P17" s="398"/>
      <c r="Q17" s="398"/>
      <c r="R17" s="421">
        <f t="shared" si="6"/>
        <v>798153.0967741931</v>
      </c>
      <c r="S17" s="421">
        <f t="shared" si="7"/>
        <v>5912.2451612903205</v>
      </c>
      <c r="T17" s="422">
        <f t="shared" si="8"/>
        <v>804065.3419354834</v>
      </c>
      <c r="U17" s="423">
        <v>44414</v>
      </c>
      <c r="V17" s="424">
        <v>44439</v>
      </c>
      <c r="W17" s="425" t="s">
        <v>1059</v>
      </c>
      <c r="X17" s="426"/>
      <c r="Y17" s="426"/>
    </row>
    <row r="18" ht="18" customHeight="1">
      <c r="A18" s="238" t="s">
        <v>24</v>
      </c>
      <c r="B18" s="239" t="s">
        <v>1060</v>
      </c>
      <c r="C18" s="242" t="s">
        <v>1061</v>
      </c>
      <c r="D18" s="247" t="s">
        <v>34</v>
      </c>
      <c r="E18" s="246" t="s">
        <v>517</v>
      </c>
      <c r="F18" s="246" t="s">
        <v>87</v>
      </c>
      <c r="G18" s="243">
        <v>2290995</v>
      </c>
      <c r="H18" s="244"/>
      <c r="I18" s="304">
        <f ref="I18:I26" t="shared" si="10">+$G$5*4.89%</f>
        <v>112029.6555</v>
      </c>
      <c r="J18" s="304">
        <f ref="J18:J26" t="shared" si="11">+$G$5*4%</f>
        <v>91639.8</v>
      </c>
      <c r="K18" s="304">
        <f ref="K18:K26" t="shared" si="12">+$G$5*2%</f>
        <v>45819.9</v>
      </c>
      <c r="L18" s="299">
        <v>15000</v>
      </c>
      <c r="M18" s="296">
        <f t="shared" si="4"/>
        <v>2555484.3554999996</v>
      </c>
      <c r="N18" s="300">
        <f t="shared" si="5"/>
        <v>204438.74843999997</v>
      </c>
      <c r="O18" s="300">
        <v>782500</v>
      </c>
      <c r="P18" s="302"/>
      <c r="Q18" s="302"/>
      <c r="R18" s="300">
        <f t="shared" si="6"/>
        <v>3542423.1039399994</v>
      </c>
      <c r="S18" s="300">
        <f t="shared" si="7"/>
        <v>20443.874843999998</v>
      </c>
      <c r="T18" s="416">
        <f t="shared" si="8"/>
        <v>3562866.9787839996</v>
      </c>
      <c r="U18" s="339">
        <v>44409</v>
      </c>
      <c r="V18" s="340">
        <v>44439</v>
      </c>
      <c r="W18" s="427"/>
      <c r="X18" s="350"/>
      <c r="Y18" s="350"/>
    </row>
    <row r="19" ht="18" customHeight="1">
      <c r="A19" s="238" t="s">
        <v>24</v>
      </c>
      <c r="B19" s="1533" t="s">
        <v>1062</v>
      </c>
      <c r="C19" s="242" t="s">
        <v>1063</v>
      </c>
      <c r="D19" s="247" t="s">
        <v>34</v>
      </c>
      <c r="E19" s="246" t="s">
        <v>517</v>
      </c>
      <c r="F19" s="246" t="s">
        <v>87</v>
      </c>
      <c r="G19" s="243">
        <v>2290995</v>
      </c>
      <c r="H19" s="244"/>
      <c r="I19" s="304">
        <f t="shared" si="10"/>
        <v>112029.6555</v>
      </c>
      <c r="J19" s="304">
        <f t="shared" si="11"/>
        <v>91639.8</v>
      </c>
      <c r="K19" s="304">
        <f t="shared" si="12"/>
        <v>45819.9</v>
      </c>
      <c r="L19" s="299">
        <v>15000</v>
      </c>
      <c r="M19" s="296">
        <f t="shared" si="4"/>
        <v>2555484.3554999996</v>
      </c>
      <c r="N19" s="300">
        <f t="shared" si="5"/>
        <v>204438.74843999997</v>
      </c>
      <c r="O19" s="303">
        <v>1162500</v>
      </c>
      <c r="P19" s="302"/>
      <c r="Q19" s="302"/>
      <c r="R19" s="300">
        <f t="shared" si="6"/>
        <v>3922423.1039399994</v>
      </c>
      <c r="S19" s="300">
        <f t="shared" si="7"/>
        <v>20443.874843999998</v>
      </c>
      <c r="T19" s="416">
        <f t="shared" si="8"/>
        <v>3942866.9787839996</v>
      </c>
      <c r="U19" s="339">
        <v>44378</v>
      </c>
      <c r="V19" s="340">
        <v>44469</v>
      </c>
      <c r="X19" s="350"/>
      <c r="Y19" s="350"/>
    </row>
    <row r="20" ht="18" customHeight="1">
      <c r="A20" s="238" t="s">
        <v>24</v>
      </c>
      <c r="B20" s="1533" t="s">
        <v>1064</v>
      </c>
      <c r="C20" s="242" t="s">
        <v>1065</v>
      </c>
      <c r="D20" s="247" t="s">
        <v>34</v>
      </c>
      <c r="E20" s="246" t="s">
        <v>517</v>
      </c>
      <c r="F20" s="246" t="s">
        <v>87</v>
      </c>
      <c r="G20" s="243">
        <v>2290995</v>
      </c>
      <c r="H20" s="244"/>
      <c r="I20" s="304">
        <f t="shared" si="10"/>
        <v>112029.6555</v>
      </c>
      <c r="J20" s="304">
        <f t="shared" si="11"/>
        <v>91639.8</v>
      </c>
      <c r="K20" s="304">
        <f t="shared" si="12"/>
        <v>45819.9</v>
      </c>
      <c r="L20" s="299">
        <v>15000</v>
      </c>
      <c r="M20" s="296">
        <f t="shared" si="4"/>
        <v>2555484.3554999996</v>
      </c>
      <c r="N20" s="303">
        <f t="shared" si="5"/>
        <v>204438.74843999997</v>
      </c>
      <c r="O20" s="303">
        <v>772500</v>
      </c>
      <c r="P20" s="302"/>
      <c r="Q20" s="302"/>
      <c r="R20" s="300">
        <f t="shared" si="6"/>
        <v>3532423.1039399994</v>
      </c>
      <c r="S20" s="300">
        <f t="shared" si="7"/>
        <v>20443.874843999998</v>
      </c>
      <c r="T20" s="416">
        <f t="shared" si="8"/>
        <v>3552866.9787839996</v>
      </c>
      <c r="U20" s="339">
        <v>44348</v>
      </c>
      <c r="V20" s="340">
        <v>44439</v>
      </c>
      <c r="W20" s="0" t="s">
        <v>1066</v>
      </c>
      <c r="X20" s="350"/>
      <c r="Y20" s="350"/>
    </row>
    <row r="21" ht="18" customHeight="1">
      <c r="A21" s="238" t="s">
        <v>24</v>
      </c>
      <c r="B21" s="1533" t="s">
        <v>1067</v>
      </c>
      <c r="C21" s="374" t="s">
        <v>1068</v>
      </c>
      <c r="D21" s="375" t="s">
        <v>34</v>
      </c>
      <c r="E21" s="246" t="s">
        <v>517</v>
      </c>
      <c r="F21" s="246" t="s">
        <v>87</v>
      </c>
      <c r="G21" s="243">
        <v>2290995</v>
      </c>
      <c r="H21" s="244"/>
      <c r="I21" s="304">
        <f t="shared" si="10"/>
        <v>112029.6555</v>
      </c>
      <c r="J21" s="304">
        <f t="shared" si="11"/>
        <v>91639.8</v>
      </c>
      <c r="K21" s="304">
        <f t="shared" si="12"/>
        <v>45819.9</v>
      </c>
      <c r="L21" s="299">
        <v>15000</v>
      </c>
      <c r="M21" s="296">
        <f t="shared" si="4"/>
        <v>2555484.3554999996</v>
      </c>
      <c r="N21" s="303">
        <f t="shared" si="5"/>
        <v>204438.74843999997</v>
      </c>
      <c r="O21" s="303">
        <v>775000</v>
      </c>
      <c r="P21" s="302"/>
      <c r="Q21" s="302"/>
      <c r="R21" s="300">
        <f t="shared" si="6"/>
        <v>3534923.1039399994</v>
      </c>
      <c r="S21" s="300">
        <f t="shared" si="7"/>
        <v>20443.874843999998</v>
      </c>
      <c r="T21" s="416">
        <f t="shared" si="8"/>
        <v>3555366.9787839996</v>
      </c>
      <c r="U21" s="339">
        <v>44378</v>
      </c>
      <c r="V21" s="340">
        <v>44469</v>
      </c>
      <c r="X21" s="350"/>
      <c r="Y21" s="350"/>
    </row>
    <row r="22" ht="18" customHeight="1">
      <c r="A22" s="238" t="s">
        <v>24</v>
      </c>
      <c r="B22" s="1533" t="s">
        <v>1069</v>
      </c>
      <c r="C22" s="242" t="s">
        <v>1070</v>
      </c>
      <c r="D22" s="247" t="s">
        <v>34</v>
      </c>
      <c r="E22" s="246" t="s">
        <v>517</v>
      </c>
      <c r="F22" s="246" t="s">
        <v>87</v>
      </c>
      <c r="G22" s="243">
        <v>2290995</v>
      </c>
      <c r="H22" s="244"/>
      <c r="I22" s="304">
        <f t="shared" si="10"/>
        <v>112029.6555</v>
      </c>
      <c r="J22" s="304">
        <f t="shared" si="11"/>
        <v>91639.8</v>
      </c>
      <c r="K22" s="304">
        <f t="shared" si="12"/>
        <v>45819.9</v>
      </c>
      <c r="L22" s="299">
        <v>15000</v>
      </c>
      <c r="M22" s="296">
        <f t="shared" si="4"/>
        <v>2555484.3554999996</v>
      </c>
      <c r="N22" s="303">
        <f t="shared" si="5"/>
        <v>204438.74843999997</v>
      </c>
      <c r="O22" s="303">
        <v>700000</v>
      </c>
      <c r="P22" s="302"/>
      <c r="Q22" s="302"/>
      <c r="R22" s="300">
        <f t="shared" si="6"/>
        <v>3459923.1039399994</v>
      </c>
      <c r="S22" s="300">
        <f t="shared" si="7"/>
        <v>20443.874843999998</v>
      </c>
      <c r="T22" s="416">
        <f t="shared" si="8"/>
        <v>3480366.9787839996</v>
      </c>
      <c r="U22" s="339">
        <v>44332</v>
      </c>
      <c r="V22" s="340">
        <v>44439</v>
      </c>
      <c r="X22" s="350"/>
      <c r="Y22" s="350"/>
    </row>
    <row r="23" ht="17.25" customHeight="1">
      <c r="A23" s="238" t="s">
        <v>24</v>
      </c>
      <c r="B23" s="239">
        <v>2221</v>
      </c>
      <c r="C23" s="246" t="s">
        <v>1071</v>
      </c>
      <c r="D23" s="247" t="s">
        <v>34</v>
      </c>
      <c r="E23" s="246" t="s">
        <v>517</v>
      </c>
      <c r="F23" s="246" t="s">
        <v>87</v>
      </c>
      <c r="G23" s="243">
        <v>2290995</v>
      </c>
      <c r="H23" s="244"/>
      <c r="I23" s="304">
        <f t="shared" si="10"/>
        <v>112029.6555</v>
      </c>
      <c r="J23" s="304">
        <f t="shared" si="11"/>
        <v>91639.8</v>
      </c>
      <c r="K23" s="304">
        <f t="shared" si="12"/>
        <v>45819.9</v>
      </c>
      <c r="L23" s="304">
        <v>15000</v>
      </c>
      <c r="M23" s="296">
        <f t="shared" si="4"/>
        <v>2555484.3554999996</v>
      </c>
      <c r="N23" s="300">
        <f t="shared" si="5"/>
        <v>204438.74843999997</v>
      </c>
      <c r="O23" s="300">
        <v>630000</v>
      </c>
      <c r="P23" s="302"/>
      <c r="Q23" s="302"/>
      <c r="R23" s="300">
        <f t="shared" si="6"/>
        <v>3389923.1039399994</v>
      </c>
      <c r="S23" s="300">
        <f t="shared" si="7"/>
        <v>20443.874843999998</v>
      </c>
      <c r="T23" s="416">
        <f t="shared" si="8"/>
        <v>3410366.9787839996</v>
      </c>
      <c r="U23" s="418">
        <v>44409</v>
      </c>
      <c r="V23" s="339">
        <v>44500</v>
      </c>
      <c r="W23" s="427"/>
      <c r="X23" s="350"/>
      <c r="Y23" s="350"/>
    </row>
    <row r="24" ht="18" customHeight="1">
      <c r="A24" s="238" t="s">
        <v>24</v>
      </c>
      <c r="B24" s="1533" t="s">
        <v>1072</v>
      </c>
      <c r="C24" s="242" t="s">
        <v>1073</v>
      </c>
      <c r="D24" s="247" t="s">
        <v>34</v>
      </c>
      <c r="E24" s="246" t="s">
        <v>517</v>
      </c>
      <c r="F24" s="246" t="s">
        <v>87</v>
      </c>
      <c r="G24" s="243">
        <v>2290995</v>
      </c>
      <c r="H24" s="244"/>
      <c r="I24" s="304">
        <f t="shared" si="10"/>
        <v>112029.6555</v>
      </c>
      <c r="J24" s="304">
        <f t="shared" si="11"/>
        <v>91639.8</v>
      </c>
      <c r="K24" s="304">
        <f t="shared" si="12"/>
        <v>45819.9</v>
      </c>
      <c r="L24" s="299">
        <v>15000</v>
      </c>
      <c r="M24" s="296">
        <f t="shared" si="4"/>
        <v>2555484.3554999996</v>
      </c>
      <c r="N24" s="303">
        <f t="shared" si="5"/>
        <v>204438.74843999997</v>
      </c>
      <c r="O24" s="303">
        <v>722500</v>
      </c>
      <c r="P24" s="302"/>
      <c r="Q24" s="302"/>
      <c r="R24" s="300">
        <f t="shared" si="6"/>
        <v>3482423.1039399994</v>
      </c>
      <c r="S24" s="300">
        <f t="shared" si="7"/>
        <v>20443.874843999998</v>
      </c>
      <c r="T24" s="416">
        <f t="shared" si="8"/>
        <v>3502866.9787839996</v>
      </c>
      <c r="U24" s="339">
        <v>44358</v>
      </c>
      <c r="V24" s="340">
        <v>44439</v>
      </c>
      <c r="X24" s="350"/>
      <c r="Y24" s="350"/>
    </row>
    <row r="25" ht="18" customHeight="1">
      <c r="A25" s="238" t="s">
        <v>24</v>
      </c>
      <c r="B25" s="1533" t="s">
        <v>1074</v>
      </c>
      <c r="C25" s="242" t="s">
        <v>1075</v>
      </c>
      <c r="D25" s="247" t="s">
        <v>34</v>
      </c>
      <c r="E25" s="246" t="s">
        <v>517</v>
      </c>
      <c r="F25" s="246" t="s">
        <v>87</v>
      </c>
      <c r="G25" s="243">
        <v>2290995</v>
      </c>
      <c r="H25" s="244"/>
      <c r="I25" s="304">
        <f t="shared" si="10"/>
        <v>112029.6555</v>
      </c>
      <c r="J25" s="304">
        <f t="shared" si="11"/>
        <v>91639.8</v>
      </c>
      <c r="K25" s="304">
        <f t="shared" si="12"/>
        <v>45819.9</v>
      </c>
      <c r="L25" s="299">
        <v>15000</v>
      </c>
      <c r="M25" s="296">
        <f t="shared" si="4"/>
        <v>2555484.3554999996</v>
      </c>
      <c r="N25" s="303">
        <f t="shared" si="5"/>
        <v>204438.74843999997</v>
      </c>
      <c r="O25" s="300">
        <v>715000</v>
      </c>
      <c r="P25" s="302"/>
      <c r="Q25" s="302"/>
      <c r="R25" s="300">
        <f t="shared" si="6"/>
        <v>3474923.1039399994</v>
      </c>
      <c r="S25" s="300">
        <f t="shared" si="7"/>
        <v>20443.874843999998</v>
      </c>
      <c r="T25" s="416">
        <f t="shared" si="8"/>
        <v>3495366.9787839996</v>
      </c>
      <c r="U25" s="339">
        <v>44341</v>
      </c>
      <c r="V25" s="340">
        <v>44439</v>
      </c>
      <c r="W25" s="419"/>
      <c r="X25" s="350"/>
      <c r="Y25" s="350"/>
    </row>
    <row r="26" ht="18" customHeight="1">
      <c r="A26" s="238" t="s">
        <v>24</v>
      </c>
      <c r="B26" s="376">
        <v>2824</v>
      </c>
      <c r="C26" s="377" t="s">
        <v>1076</v>
      </c>
      <c r="D26" s="378" t="s">
        <v>34</v>
      </c>
      <c r="E26" s="379" t="s">
        <v>517</v>
      </c>
      <c r="F26" s="379" t="s">
        <v>87</v>
      </c>
      <c r="G26" s="380">
        <f>2290995/31*7</f>
        <v>517321.451612903</v>
      </c>
      <c r="H26" s="381"/>
      <c r="I26" s="404">
        <f t="shared" si="10"/>
        <v>112029.6555</v>
      </c>
      <c r="J26" s="404">
        <f t="shared" si="11"/>
        <v>91639.8</v>
      </c>
      <c r="K26" s="404">
        <f t="shared" si="12"/>
        <v>45819.9</v>
      </c>
      <c r="L26" s="405">
        <v>15000</v>
      </c>
      <c r="M26" s="296">
        <f t="shared" si="4"/>
        <v>781810.807112903</v>
      </c>
      <c r="N26" s="407">
        <f t="shared" si="5"/>
        <v>62544.86456903224</v>
      </c>
      <c r="O26" s="408"/>
      <c r="P26" s="302"/>
      <c r="Q26" s="302"/>
      <c r="R26" s="428">
        <f t="shared" si="6"/>
        <v>844355.6716819352</v>
      </c>
      <c r="S26" s="428">
        <f t="shared" si="7"/>
        <v>6254.486456903224</v>
      </c>
      <c r="T26" s="429">
        <f t="shared" si="8"/>
        <v>850610.1581388385</v>
      </c>
      <c r="U26" s="430">
        <v>44417</v>
      </c>
      <c r="V26" s="431">
        <v>44500</v>
      </c>
      <c r="W26" s="432"/>
      <c r="X26" s="350"/>
      <c r="Y26" s="350"/>
    </row>
    <row r="27" ht="18" customHeight="1">
      <c r="A27" s="220" t="s">
        <v>30</v>
      </c>
      <c r="B27" s="1889"/>
      <c r="C27" s="383" t="s">
        <v>1077</v>
      </c>
      <c r="D27" s="382" t="s">
        <v>34</v>
      </c>
      <c r="E27" s="383" t="s">
        <v>517</v>
      </c>
      <c r="F27" s="383" t="s">
        <v>87</v>
      </c>
      <c r="G27" s="384">
        <f>2290995/31*12</f>
        <v>886836.774193548</v>
      </c>
      <c r="H27" s="385"/>
      <c r="I27" s="409"/>
      <c r="J27" s="409"/>
      <c r="K27" s="409"/>
      <c r="L27" s="410">
        <v>15000</v>
      </c>
      <c r="M27" s="296">
        <f t="shared" si="4"/>
        <v>901836.774193548</v>
      </c>
      <c r="N27" s="290">
        <f t="shared" si="5"/>
        <v>72146.94193548385</v>
      </c>
      <c r="O27" s="291">
        <v>145000</v>
      </c>
      <c r="P27" s="411"/>
      <c r="Q27" s="411"/>
      <c r="R27" s="433">
        <f t="shared" si="6"/>
        <v>1118983.716129032</v>
      </c>
      <c r="S27" s="433">
        <f t="shared" si="7"/>
        <v>7214.694193548385</v>
      </c>
      <c r="T27" s="434">
        <f t="shared" si="8"/>
        <v>1126198.4103225803</v>
      </c>
      <c r="U27" s="325">
        <v>44401</v>
      </c>
      <c r="V27" s="326">
        <v>44412</v>
      </c>
      <c r="W27" s="204" t="s">
        <v>1078</v>
      </c>
    </row>
    <row r="28" ht="18.75" customHeight="1">
      <c r="A28" s="1744" t="s">
        <v>30</v>
      </c>
      <c r="B28" s="1867"/>
      <c r="C28" s="1745"/>
      <c r="D28" s="1745"/>
      <c r="E28" s="1745"/>
      <c r="F28" s="1745"/>
      <c r="G28" s="386">
        <f ref="G28:T28" t="shared" si="13">SUM(G11:G27)</f>
        <v>34217118.8709677</v>
      </c>
      <c r="H28" s="386">
        <f t="shared" si="13"/>
        <v>0</v>
      </c>
      <c r="I28" s="386">
        <f t="shared" si="13"/>
        <v>1680444.8325</v>
      </c>
      <c r="J28" s="386">
        <f t="shared" si="13"/>
        <v>1374597</v>
      </c>
      <c r="K28" s="386">
        <f t="shared" si="13"/>
        <v>687298.5</v>
      </c>
      <c r="L28" s="386">
        <f t="shared" si="13"/>
        <v>240000</v>
      </c>
      <c r="M28" s="386">
        <f t="shared" si="13"/>
        <v>38199459.20346772</v>
      </c>
      <c r="N28" s="386">
        <f t="shared" si="13"/>
        <v>3055956.7362774177</v>
      </c>
      <c r="O28" s="386">
        <f t="shared" si="13"/>
        <v>11245000</v>
      </c>
      <c r="P28" s="386">
        <f t="shared" si="13"/>
        <v>0</v>
      </c>
      <c r="Q28" s="386">
        <f t="shared" si="13"/>
        <v>0</v>
      </c>
      <c r="R28" s="386">
        <f t="shared" si="13"/>
        <v>52500415.939745165</v>
      </c>
      <c r="S28" s="386">
        <f t="shared" si="13"/>
        <v>305595.6736277419</v>
      </c>
      <c r="T28" s="386">
        <f t="shared" si="13"/>
        <v>52806011.6133729</v>
      </c>
      <c r="U28" s="386"/>
      <c r="V28" s="435"/>
    </row>
    <row r="29" ht="18.75" customHeight="1">
      <c r="A29" s="0" t="s">
        <v>30</v>
      </c>
      <c r="B29" s="1861"/>
      <c r="C29" s="387"/>
      <c r="D29" s="262"/>
      <c r="E29" s="263"/>
      <c r="F29" s="264"/>
      <c r="G29" s="210"/>
      <c r="H29" s="210"/>
      <c r="I29" s="310"/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48"/>
      <c r="V29" s="317"/>
    </row>
    <row r="30" ht="18.75" customHeight="1">
      <c r="A30" s="1744" t="s">
        <v>30</v>
      </c>
      <c r="B30" s="1867"/>
      <c r="C30" s="1745"/>
      <c r="D30" s="1745"/>
      <c r="E30" s="1745"/>
      <c r="F30" s="1745"/>
      <c r="G30" s="386">
        <f ref="G30:T30" t="shared" si="14">SUM(G8,G28)</f>
        <v>36508113.8709677</v>
      </c>
      <c r="H30" s="386">
        <f t="shared" si="14"/>
        <v>0</v>
      </c>
      <c r="I30" s="386">
        <f t="shared" si="14"/>
        <v>1792474.488</v>
      </c>
      <c r="J30" s="386">
        <f t="shared" si="14"/>
        <v>1466236.8</v>
      </c>
      <c r="K30" s="386">
        <f t="shared" si="14"/>
        <v>733118.4</v>
      </c>
      <c r="L30" s="386">
        <f t="shared" si="14"/>
        <v>241667</v>
      </c>
      <c r="M30" s="386">
        <f t="shared" si="14"/>
        <v>40741610.55896772</v>
      </c>
      <c r="N30" s="386">
        <f t="shared" si="14"/>
        <v>3259328.844717418</v>
      </c>
      <c r="O30" s="386">
        <f t="shared" si="14"/>
        <v>11770000</v>
      </c>
      <c r="P30" s="386">
        <f t="shared" si="14"/>
        <v>100000</v>
      </c>
      <c r="Q30" s="386">
        <f t="shared" si="14"/>
        <v>324000</v>
      </c>
      <c r="R30" s="386">
        <f t="shared" si="14"/>
        <v>56194939.40368517</v>
      </c>
      <c r="S30" s="386">
        <f t="shared" si="14"/>
        <v>325932.8844717419</v>
      </c>
      <c r="T30" s="386">
        <f t="shared" si="14"/>
        <v>56520872.2881569</v>
      </c>
      <c r="U30" s="386"/>
      <c r="V30" s="435"/>
    </row>
    <row r="31">
      <c r="A31" s="265" t="s">
        <v>30</v>
      </c>
      <c r="B31" s="1944"/>
      <c r="C31" s="266"/>
      <c r="D31" s="266"/>
      <c r="E31" s="266"/>
      <c r="F31" s="266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310"/>
      <c r="T31" s="267"/>
      <c r="U31" s="267"/>
      <c r="V31" s="267"/>
    </row>
    <row r="32">
      <c r="A32" s="0" t="s">
        <v>30</v>
      </c>
      <c r="B32" s="1869"/>
      <c r="C32" s="236" t="str">
        <f>+'MALANG BAT AGUSTUS - OK'!C26</f>
        <v>Karawang, 16 Agustus 2021</v>
      </c>
      <c r="D32" s="270"/>
      <c r="E32" s="270"/>
      <c r="F32" s="270"/>
      <c r="G32" s="271"/>
      <c r="H32" s="271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48"/>
      <c r="V32" s="317"/>
    </row>
    <row r="33">
      <c r="A33" s="0" t="s">
        <v>30</v>
      </c>
      <c r="B33" s="1945"/>
      <c r="D33" s="263"/>
      <c r="E33" s="264"/>
      <c r="F33" s="264"/>
      <c r="G33" s="210"/>
      <c r="H33" s="210"/>
      <c r="I33" s="270"/>
      <c r="J33" s="270"/>
      <c r="K33" s="270"/>
      <c r="L33" s="270"/>
      <c r="M33" s="270"/>
      <c r="N33" s="310"/>
      <c r="O33" s="310"/>
      <c r="P33" s="310"/>
      <c r="Q33" s="310"/>
      <c r="R33" s="270"/>
      <c r="S33" s="310"/>
      <c r="T33" s="310"/>
      <c r="U33" s="348"/>
      <c r="V33" s="317"/>
    </row>
    <row r="34">
      <c r="A34" s="0" t="s">
        <v>30</v>
      </c>
      <c r="B34" s="1869"/>
      <c r="C34" s="236" t="s">
        <v>856</v>
      </c>
      <c r="D34" s="274"/>
      <c r="E34" s="264"/>
      <c r="F34" s="264"/>
      <c r="G34" s="275"/>
      <c r="H34" s="275"/>
      <c r="I34" s="262"/>
      <c r="J34" s="262"/>
      <c r="K34" s="262"/>
      <c r="L34" s="312"/>
      <c r="M34" s="263" t="s">
        <v>39</v>
      </c>
      <c r="N34" s="313"/>
      <c r="O34" s="387"/>
      <c r="P34" s="313"/>
      <c r="Q34" s="387"/>
      <c r="R34" s="349"/>
      <c r="S34" s="310"/>
      <c r="T34" s="313"/>
      <c r="U34" s="348"/>
      <c r="V34" s="348"/>
    </row>
    <row r="35">
      <c r="A35" s="0" t="s">
        <v>30</v>
      </c>
      <c r="B35" s="1871"/>
      <c r="C35" s="276"/>
      <c r="D35" s="209"/>
      <c r="E35" s="208"/>
      <c r="F35" s="208"/>
      <c r="G35" s="275"/>
      <c r="H35" s="275"/>
      <c r="I35" s="262"/>
      <c r="J35" s="315"/>
      <c r="K35" s="262"/>
      <c r="L35" s="312"/>
      <c r="M35" s="262"/>
      <c r="N35" s="270"/>
      <c r="O35" s="270"/>
      <c r="P35" s="270"/>
      <c r="Q35" s="270"/>
      <c r="R35" s="349"/>
      <c r="S35" s="310"/>
      <c r="T35" s="270"/>
      <c r="U35" s="348"/>
      <c r="V35" s="348"/>
    </row>
    <row r="36">
      <c r="A36" s="0" t="s">
        <v>30</v>
      </c>
      <c r="B36" s="1871"/>
      <c r="C36" s="276"/>
      <c r="D36" s="209"/>
      <c r="E36" s="208"/>
      <c r="F36" s="208"/>
      <c r="G36" s="210"/>
      <c r="H36" s="210"/>
      <c r="I36" s="210"/>
      <c r="J36" s="270"/>
      <c r="K36" s="270"/>
      <c r="L36" s="310"/>
      <c r="M36" s="270"/>
      <c r="N36" s="270"/>
      <c r="O36" s="270"/>
      <c r="P36" s="270"/>
      <c r="Q36" s="270"/>
      <c r="R36" s="208"/>
      <c r="S36" s="310"/>
      <c r="T36" s="270"/>
      <c r="U36" s="348"/>
      <c r="V36" s="348"/>
    </row>
    <row r="37">
      <c r="A37" s="0" t="s">
        <v>30</v>
      </c>
      <c r="B37" s="1869"/>
      <c r="C37" s="269"/>
      <c r="D37" s="274"/>
      <c r="E37" s="264"/>
      <c r="F37" s="264"/>
      <c r="G37" s="275"/>
      <c r="H37" s="275"/>
      <c r="I37" s="275"/>
      <c r="J37" s="262"/>
      <c r="K37" s="262"/>
      <c r="L37" s="312"/>
      <c r="M37" s="262"/>
      <c r="N37" s="262"/>
      <c r="O37" s="262"/>
      <c r="P37" s="262"/>
      <c r="Q37" s="262"/>
      <c r="R37" s="264"/>
      <c r="S37" s="310"/>
      <c r="T37" s="270"/>
      <c r="U37" s="348"/>
      <c r="V37" s="348"/>
    </row>
    <row r="38">
      <c r="A38" s="0" t="s">
        <v>30</v>
      </c>
      <c r="B38" s="1945"/>
      <c r="C38" s="236"/>
      <c r="D38" s="264"/>
      <c r="E38" s="264"/>
      <c r="F38" s="264"/>
      <c r="G38" s="275"/>
      <c r="H38" s="275"/>
      <c r="I38" s="275"/>
      <c r="J38" s="262"/>
      <c r="K38" s="262"/>
      <c r="L38" s="312"/>
      <c r="M38" s="262"/>
      <c r="N38" s="262"/>
      <c r="O38" s="262"/>
      <c r="P38" s="262"/>
      <c r="Q38" s="262"/>
      <c r="R38" s="264"/>
      <c r="S38" s="310"/>
      <c r="T38" s="270"/>
      <c r="U38" s="348"/>
      <c r="V38" s="348"/>
    </row>
    <row r="39">
      <c r="A39" s="0" t="s">
        <v>30</v>
      </c>
      <c r="B39" s="1945"/>
      <c r="C39" s="236"/>
      <c r="D39" s="264"/>
      <c r="E39" s="264"/>
      <c r="F39" s="264"/>
      <c r="G39" s="275"/>
      <c r="H39" s="275"/>
      <c r="I39" s="275"/>
      <c r="J39" s="262"/>
      <c r="K39" s="262"/>
      <c r="L39" s="312"/>
      <c r="M39" s="262"/>
      <c r="N39" s="262"/>
      <c r="O39" s="262"/>
      <c r="P39" s="262"/>
      <c r="Q39" s="262"/>
      <c r="R39" s="264"/>
      <c r="S39" s="310"/>
      <c r="T39" s="387"/>
      <c r="U39" s="348"/>
      <c r="V39" s="348"/>
    </row>
    <row r="40">
      <c r="A40" s="0" t="s">
        <v>30</v>
      </c>
      <c r="B40" s="1861"/>
      <c r="C40" s="236" t="s">
        <v>40</v>
      </c>
      <c r="D40" s="272"/>
      <c r="E40" s="277"/>
      <c r="F40" s="277"/>
      <c r="G40" s="278"/>
      <c r="H40" s="278"/>
      <c r="I40" s="297"/>
      <c r="J40" s="412" t="s">
        <v>41</v>
      </c>
      <c r="K40" s="389"/>
      <c r="L40" s="389"/>
      <c r="M40" s="272" t="s">
        <v>42</v>
      </c>
      <c r="O40" s="236" t="s">
        <v>43</v>
      </c>
      <c r="Q40" s="389"/>
      <c r="S40" s="267"/>
      <c r="U40" s="350"/>
      <c r="V40" s="350"/>
    </row>
    <row r="41">
      <c r="A41" s="0" t="s">
        <v>30</v>
      </c>
      <c r="B41" s="1868"/>
      <c r="C41" s="277"/>
      <c r="D41" s="277"/>
      <c r="E41" s="277"/>
      <c r="F41" s="388"/>
      <c r="G41" s="278"/>
      <c r="H41" s="278"/>
      <c r="I41" s="389"/>
      <c r="J41" s="389"/>
      <c r="K41" s="389"/>
      <c r="L41" s="389"/>
      <c r="M41" s="278"/>
      <c r="N41" s="389"/>
      <c r="O41" s="389"/>
      <c r="P41" s="389"/>
      <c r="Q41" s="389"/>
      <c r="R41" s="389"/>
      <c r="U41" s="350"/>
      <c r="V41" s="350"/>
    </row>
    <row r="42">
      <c r="A42" s="389" t="s">
        <v>30</v>
      </c>
      <c r="B42" s="1868"/>
      <c r="C42" s="390"/>
      <c r="D42" s="277"/>
      <c r="E42" s="277"/>
      <c r="F42" s="388"/>
      <c r="G42" s="278"/>
      <c r="H42" s="278"/>
      <c r="I42" s="389"/>
      <c r="J42" s="389"/>
      <c r="K42" s="389"/>
      <c r="L42" s="389"/>
      <c r="M42" s="278"/>
      <c r="N42" s="389"/>
      <c r="O42" s="389"/>
      <c r="P42" s="389"/>
      <c r="Q42" s="389"/>
      <c r="R42" s="389"/>
      <c r="U42" s="350"/>
      <c r="V42" s="350"/>
    </row>
  </sheetData>
  <autoFilter ref="A10:V28"/>
  <mergeCells>
    <mergeCell ref="A28:F28"/>
    <mergeCell ref="A30:F30"/>
  </mergeCells>
  <printOptions horizontalCentered="1"/>
  <pageMargins left="0" right="0" top="0.75" bottom="0.75" header="0.3" footer="0.3"/>
  <pageSetup paperSize="9" scale="62" orientation="landscape"/>
  <headerFooter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X53"/>
  <sheetViews>
    <sheetView zoomScale="85" zoomScaleNormal="85" workbookViewId="0">
      <pane xSplit="7" ySplit="12" topLeftCell="H26" activePane="bottomRight" state="frozen"/>
      <selection pane="topRight"/>
      <selection pane="bottomLeft"/>
      <selection pane="bottomRight" activeCell="P36" sqref="P36"/>
    </sheetView>
  </sheetViews>
  <sheetFormatPr defaultColWidth="9.140625" defaultRowHeight="15"/>
  <cols>
    <col min="1" max="2" width="4.85546875" customWidth="1"/>
    <col min="3" max="3" width="23.28515625" customWidth="1"/>
    <col min="4" max="4" width="12.28515625" customWidth="1"/>
    <col min="5" max="5" hidden="1" width="13" customWidth="1"/>
    <col min="6" max="6" hidden="1" width="10.5703125" customWidth="1"/>
    <col min="7" max="7" width="12.28515625" customWidth="1"/>
    <col min="8" max="8" width="10.85546875" customWidth="1"/>
    <col min="9" max="9" width="11.5703125" customWidth="1"/>
    <col min="10" max="10" width="11.42578125" customWidth="1"/>
    <col min="11" max="11" width="12" customWidth="1"/>
    <col min="12" max="12" width="11.7109375" customWidth="1"/>
    <col min="13" max="13" width="13" customWidth="1"/>
    <col min="14" max="15" width="12.42578125" customWidth="1"/>
    <col min="16" max="16" width="10.85546875" customWidth="1"/>
    <col min="17" max="17" width="10" customWidth="1"/>
    <col min="18" max="18" width="12.5703125" customWidth="1"/>
    <col min="19" max="19" width="10" customWidth="1"/>
    <col min="20" max="20" width="12.85546875" customWidth="1"/>
    <col min="21" max="21" width="8.140625" customWidth="1"/>
    <col min="22" max="22" width="8.42578125" customWidth="1"/>
    <col min="23" max="23" width="7.85546875" customWidth="1"/>
  </cols>
  <sheetData>
    <row r="1">
      <c r="A1" s="207" t="s">
        <v>0</v>
      </c>
      <c r="B1" s="208"/>
      <c r="C1" s="209"/>
      <c r="D1" s="208"/>
      <c r="E1" s="208"/>
      <c r="F1" s="208"/>
      <c r="G1" s="210"/>
      <c r="H1" s="210"/>
      <c r="M1" s="210"/>
      <c r="U1" s="316"/>
      <c r="V1" s="317"/>
    </row>
    <row r="2">
      <c r="A2" s="207" t="s">
        <v>813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>
      <c r="A3" s="207" t="str">
        <f>+'PURWOKERTO AOP AGUSTUS - OK'!A3</f>
        <v>Periode Bulan Agustus  2021</v>
      </c>
      <c r="B3" s="208"/>
      <c r="C3" s="209"/>
      <c r="D3" s="208"/>
      <c r="E3" s="208"/>
      <c r="F3" s="208"/>
      <c r="G3" s="213"/>
      <c r="H3" s="213"/>
      <c r="I3" s="281"/>
      <c r="M3" s="210"/>
      <c r="U3" s="316"/>
      <c r="V3" s="317"/>
    </row>
    <row r="4">
      <c r="A4" s="207"/>
      <c r="B4" s="208"/>
      <c r="C4" s="209"/>
      <c r="D4" s="208"/>
      <c r="E4" s="208"/>
      <c r="F4" s="208"/>
      <c r="G4" s="213"/>
      <c r="H4" s="213"/>
      <c r="I4" s="281"/>
      <c r="M4" s="210"/>
      <c r="U4" s="316"/>
      <c r="V4" s="317"/>
    </row>
    <row r="5">
      <c r="A5" s="207"/>
      <c r="B5" s="208"/>
      <c r="C5" s="209"/>
      <c r="D5" s="208"/>
      <c r="E5" s="208"/>
      <c r="F5" s="208"/>
      <c r="G5" s="214">
        <v>2013810</v>
      </c>
      <c r="H5" s="214"/>
      <c r="I5" s="281"/>
      <c r="M5" s="210"/>
      <c r="U5" s="316"/>
      <c r="V5" s="317"/>
    </row>
    <row r="6" ht="22.5">
      <c r="A6" s="215" t="s">
        <v>2</v>
      </c>
      <c r="B6" s="216" t="s">
        <v>3</v>
      </c>
      <c r="C6" s="216" t="s">
        <v>4</v>
      </c>
      <c r="D6" s="216" t="s">
        <v>5</v>
      </c>
      <c r="E6" s="216" t="s">
        <v>6</v>
      </c>
      <c r="F6" s="217" t="s">
        <v>7</v>
      </c>
      <c r="G6" s="218" t="s">
        <v>8</v>
      </c>
      <c r="H6" s="219" t="s">
        <v>9</v>
      </c>
      <c r="I6" s="282" t="s">
        <v>10</v>
      </c>
      <c r="J6" s="283" t="s">
        <v>11</v>
      </c>
      <c r="K6" s="283" t="s">
        <v>12</v>
      </c>
      <c r="L6" s="284" t="s">
        <v>13</v>
      </c>
      <c r="M6" s="284" t="s">
        <v>14</v>
      </c>
      <c r="N6" s="285" t="s">
        <v>15</v>
      </c>
      <c r="O6" s="285" t="s">
        <v>32</v>
      </c>
      <c r="P6" s="286" t="s">
        <v>17</v>
      </c>
      <c r="Q6" s="285" t="s">
        <v>18</v>
      </c>
      <c r="R6" s="319" t="s">
        <v>19</v>
      </c>
      <c r="S6" s="320" t="s">
        <v>20</v>
      </c>
      <c r="T6" s="320" t="s">
        <v>21</v>
      </c>
      <c r="U6" s="321" t="s">
        <v>22</v>
      </c>
      <c r="V6" s="322" t="s">
        <v>23</v>
      </c>
      <c r="W6" s="268"/>
      <c r="X6" s="268"/>
    </row>
    <row r="7" ht="18" customHeight="1">
      <c r="A7" s="220" t="s">
        <v>31</v>
      </c>
      <c r="B7" s="1875" t="s">
        <v>814</v>
      </c>
      <c r="C7" s="222" t="s">
        <v>815</v>
      </c>
      <c r="D7" s="221" t="s">
        <v>26</v>
      </c>
      <c r="E7" s="223" t="s">
        <v>328</v>
      </c>
      <c r="F7" s="224" t="s">
        <v>87</v>
      </c>
      <c r="G7" s="225"/>
      <c r="H7" s="226"/>
      <c r="I7" s="287"/>
      <c r="J7" s="287"/>
      <c r="K7" s="287"/>
      <c r="L7" s="288"/>
      <c r="M7" s="289">
        <f>SUM(G7,I7:L7)-H7</f>
        <v>0</v>
      </c>
      <c r="N7" s="290">
        <f>+M7*8%</f>
        <v>0</v>
      </c>
      <c r="O7" s="291">
        <f>500000+279000</f>
        <v>779000</v>
      </c>
      <c r="P7" s="292">
        <v>100000</v>
      </c>
      <c r="Q7" s="290"/>
      <c r="R7" s="323">
        <f>SUM(M7:Q7)</f>
        <v>879000</v>
      </c>
      <c r="S7" s="323">
        <f>N7*0.1</f>
        <v>0</v>
      </c>
      <c r="T7" s="324">
        <f>R7+S7</f>
        <v>879000</v>
      </c>
      <c r="U7" s="325">
        <v>44305</v>
      </c>
      <c r="V7" s="326">
        <v>44405</v>
      </c>
      <c r="W7" s="327" t="s">
        <v>816</v>
      </c>
    </row>
    <row r="8" ht="18" customHeight="1">
      <c r="A8" s="227" t="s">
        <v>24</v>
      </c>
      <c r="B8" s="228" t="s">
        <v>817</v>
      </c>
      <c r="C8" s="229" t="s">
        <v>519</v>
      </c>
      <c r="D8" s="228" t="s">
        <v>26</v>
      </c>
      <c r="E8" s="230" t="s">
        <v>328</v>
      </c>
      <c r="F8" s="231" t="s">
        <v>87</v>
      </c>
      <c r="G8" s="232">
        <v>2013810</v>
      </c>
      <c r="H8" s="233"/>
      <c r="I8" s="293">
        <f>+$G$5*4.89%</f>
        <v>98475.309</v>
      </c>
      <c r="J8" s="293">
        <f>+$G$5*4%</f>
        <v>80552.4</v>
      </c>
      <c r="K8" s="293">
        <f>+$G$5*2%</f>
        <v>40276.2</v>
      </c>
      <c r="L8" s="294">
        <v>1667</v>
      </c>
      <c r="M8" s="295">
        <f>SUM(G8,I8:L8)-H8</f>
        <v>2234780.909</v>
      </c>
      <c r="N8" s="296">
        <f>+M8*8%</f>
        <v>178782.47272</v>
      </c>
      <c r="O8" s="1734">
        <v>500000</v>
      </c>
      <c r="P8" s="1734">
        <v>100000</v>
      </c>
      <c r="Q8" s="296"/>
      <c r="R8" s="328">
        <f>SUM(M8:Q8)</f>
        <v>3013563.38172</v>
      </c>
      <c r="S8" s="328">
        <f>N8*0.1</f>
        <v>17878.247272</v>
      </c>
      <c r="T8" s="329">
        <f>R8+S8</f>
        <v>3031441.628992</v>
      </c>
      <c r="U8" s="155">
        <v>44378</v>
      </c>
      <c r="V8" s="330">
        <v>44469</v>
      </c>
      <c r="W8" s="331" t="s">
        <v>818</v>
      </c>
    </row>
    <row r="9" ht="18" customHeight="1">
      <c r="A9" s="1744" t="s">
        <v>30</v>
      </c>
      <c r="B9" s="1867"/>
      <c r="C9" s="1745"/>
      <c r="D9" s="1745"/>
      <c r="E9" s="1745"/>
      <c r="F9" s="1745"/>
      <c r="G9" s="234">
        <f>SUM(G7:G8)</f>
        <v>2013810</v>
      </c>
      <c r="H9" s="234">
        <f ref="H9:T9" t="shared" si="8">SUM(H7:H8)</f>
        <v>0</v>
      </c>
      <c r="I9" s="234">
        <f t="shared" si="8"/>
        <v>98475.309</v>
      </c>
      <c r="J9" s="234">
        <f t="shared" si="8"/>
        <v>80552.4</v>
      </c>
      <c r="K9" s="234">
        <f t="shared" si="8"/>
        <v>40276.2</v>
      </c>
      <c r="L9" s="234">
        <f t="shared" si="8"/>
        <v>1667</v>
      </c>
      <c r="M9" s="234">
        <f t="shared" si="8"/>
        <v>2234780.909</v>
      </c>
      <c r="N9" s="234">
        <f t="shared" si="8"/>
        <v>178782.47272</v>
      </c>
      <c r="O9" s="234">
        <f t="shared" si="8"/>
        <v>1279000</v>
      </c>
      <c r="P9" s="234">
        <f t="shared" si="8"/>
        <v>200000</v>
      </c>
      <c r="Q9" s="234">
        <f t="shared" si="8"/>
        <v>0</v>
      </c>
      <c r="R9" s="234">
        <f t="shared" si="8"/>
        <v>3892563.38172</v>
      </c>
      <c r="S9" s="234">
        <f t="shared" si="8"/>
        <v>17878.247272</v>
      </c>
      <c r="T9" s="234">
        <f t="shared" si="8"/>
        <v>3910441.628992</v>
      </c>
      <c r="U9" s="332"/>
      <c r="V9" s="333"/>
      <c r="W9" s="268"/>
      <c r="X9" s="268"/>
    </row>
    <row r="10" ht="18" customHeight="1">
      <c r="A10" s="235" t="s">
        <v>30</v>
      </c>
      <c r="B10" s="1944"/>
      <c r="C10" s="236"/>
      <c r="D10" s="236"/>
      <c r="E10" s="236"/>
      <c r="F10" s="236"/>
      <c r="G10" s="237"/>
      <c r="H10" s="237"/>
      <c r="I10" s="23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334"/>
      <c r="V10" s="334"/>
      <c r="W10" s="268"/>
      <c r="X10" s="268"/>
    </row>
    <row r="11">
      <c r="A11" s="207" t="s">
        <v>30</v>
      </c>
      <c r="B11" s="1910"/>
      <c r="C11" s="209"/>
      <c r="D11" s="208"/>
      <c r="E11" s="208"/>
      <c r="F11" s="208"/>
      <c r="G11" s="214"/>
      <c r="H11" s="214"/>
      <c r="I11" s="281"/>
      <c r="M11" s="210"/>
      <c r="U11" s="316"/>
      <c r="V11" s="317"/>
    </row>
    <row r="12" ht="22.5">
      <c r="A12" s="215" t="s">
        <v>31</v>
      </c>
      <c r="B12" s="1908" t="s">
        <v>3</v>
      </c>
      <c r="C12" s="216" t="s">
        <v>4</v>
      </c>
      <c r="D12" s="216" t="s">
        <v>5</v>
      </c>
      <c r="E12" s="216" t="s">
        <v>6</v>
      </c>
      <c r="F12" s="217" t="s">
        <v>7</v>
      </c>
      <c r="G12" s="218" t="s">
        <v>8</v>
      </c>
      <c r="H12" s="219" t="s">
        <v>9</v>
      </c>
      <c r="I12" s="282" t="s">
        <v>10</v>
      </c>
      <c r="J12" s="283" t="s">
        <v>11</v>
      </c>
      <c r="K12" s="283" t="s">
        <v>12</v>
      </c>
      <c r="L12" s="284" t="s">
        <v>13</v>
      </c>
      <c r="M12" s="284" t="s">
        <v>14</v>
      </c>
      <c r="N12" s="285" t="s">
        <v>15</v>
      </c>
      <c r="O12" s="285" t="s">
        <v>32</v>
      </c>
      <c r="P12" s="286" t="s">
        <v>17</v>
      </c>
      <c r="Q12" s="285" t="s">
        <v>18</v>
      </c>
      <c r="R12" s="319" t="s">
        <v>19</v>
      </c>
      <c r="S12" s="320" t="s">
        <v>20</v>
      </c>
      <c r="T12" s="320" t="s">
        <v>21</v>
      </c>
      <c r="U12" s="321" t="s">
        <v>22</v>
      </c>
      <c r="V12" s="322" t="s">
        <v>23</v>
      </c>
    </row>
    <row r="13" ht="18" customHeight="1">
      <c r="A13" s="238" t="s">
        <v>24</v>
      </c>
      <c r="B13" s="239" t="s">
        <v>819</v>
      </c>
      <c r="C13" s="240" t="s">
        <v>820</v>
      </c>
      <c r="D13" s="239" t="s">
        <v>34</v>
      </c>
      <c r="E13" s="241" t="s">
        <v>328</v>
      </c>
      <c r="F13" s="242" t="s">
        <v>87</v>
      </c>
      <c r="G13" s="243">
        <v>2013810</v>
      </c>
      <c r="H13" s="244"/>
      <c r="I13" s="298">
        <f ref="I13:I23" t="shared" si="9">+$G$5*4.89%</f>
        <v>98475.309</v>
      </c>
      <c r="J13" s="298">
        <f ref="J13:J23" t="shared" si="10">+$G$5*4%</f>
        <v>80552.4</v>
      </c>
      <c r="K13" s="298">
        <f ref="K13:K23" t="shared" si="11">+$G$5*2%</f>
        <v>40276.2</v>
      </c>
      <c r="L13" s="299">
        <v>15000</v>
      </c>
      <c r="M13" s="295">
        <f>SUM(G13:L13)</f>
        <v>2248113.909</v>
      </c>
      <c r="N13" s="300">
        <f ref="N13:N27" t="shared" si="12">+M13*8%</f>
        <v>179849.11272</v>
      </c>
      <c r="O13" s="301">
        <v>997000</v>
      </c>
      <c r="P13" s="302"/>
      <c r="Q13" s="300"/>
      <c r="R13" s="335">
        <f ref="R13:R27" t="shared" si="13">SUM(M13:Q13)</f>
        <v>3424963.02172</v>
      </c>
      <c r="S13" s="335">
        <f ref="S13:S27" t="shared" si="14">N13*0.1</f>
        <v>17984.911272</v>
      </c>
      <c r="T13" s="336">
        <f ref="T13:T27" t="shared" si="15">R13+S13</f>
        <v>3442947.932992</v>
      </c>
      <c r="U13" s="337">
        <v>44364</v>
      </c>
      <c r="V13" s="338">
        <v>44469</v>
      </c>
    </row>
    <row r="14" ht="18.75" customHeight="1">
      <c r="A14" s="238" t="s">
        <v>24</v>
      </c>
      <c r="B14" s="245" t="s">
        <v>821</v>
      </c>
      <c r="C14" s="246" t="s">
        <v>822</v>
      </c>
      <c r="D14" s="245" t="s">
        <v>34</v>
      </c>
      <c r="E14" s="241" t="s">
        <v>328</v>
      </c>
      <c r="F14" s="246" t="s">
        <v>87</v>
      </c>
      <c r="G14" s="243">
        <v>2013810</v>
      </c>
      <c r="H14" s="244"/>
      <c r="I14" s="298">
        <f t="shared" si="9"/>
        <v>98475.309</v>
      </c>
      <c r="J14" s="298">
        <f t="shared" si="10"/>
        <v>80552.4</v>
      </c>
      <c r="K14" s="298">
        <f t="shared" si="11"/>
        <v>40276.2</v>
      </c>
      <c r="L14" s="299">
        <v>15000</v>
      </c>
      <c r="M14" s="295">
        <f ref="M14:M34" t="shared" si="16">SUM(G14:L14)</f>
        <v>2248113.909</v>
      </c>
      <c r="N14" s="300">
        <f t="shared" si="12"/>
        <v>179849.11272</v>
      </c>
      <c r="O14" s="301">
        <v>972000</v>
      </c>
      <c r="P14" s="302"/>
      <c r="Q14" s="302"/>
      <c r="R14" s="335">
        <f t="shared" si="13"/>
        <v>3399963.02172</v>
      </c>
      <c r="S14" s="335">
        <f t="shared" si="14"/>
        <v>17984.911272</v>
      </c>
      <c r="T14" s="336">
        <f t="shared" si="15"/>
        <v>3417947.932992</v>
      </c>
      <c r="U14" s="337">
        <v>44349</v>
      </c>
      <c r="V14" s="338">
        <v>44439</v>
      </c>
    </row>
    <row r="15" ht="18.75" customHeight="1">
      <c r="A15" s="238" t="s">
        <v>24</v>
      </c>
      <c r="B15" s="245" t="s">
        <v>823</v>
      </c>
      <c r="C15" s="246" t="s">
        <v>824</v>
      </c>
      <c r="D15" s="245" t="s">
        <v>34</v>
      </c>
      <c r="E15" s="241" t="s">
        <v>328</v>
      </c>
      <c r="F15" s="246" t="s">
        <v>87</v>
      </c>
      <c r="G15" s="243">
        <v>2013810</v>
      </c>
      <c r="H15" s="244"/>
      <c r="I15" s="298">
        <f t="shared" si="9"/>
        <v>98475.309</v>
      </c>
      <c r="J15" s="298">
        <f t="shared" si="10"/>
        <v>80552.4</v>
      </c>
      <c r="K15" s="298">
        <f t="shared" si="11"/>
        <v>40276.2</v>
      </c>
      <c r="L15" s="299">
        <v>15000</v>
      </c>
      <c r="M15" s="295">
        <f t="shared" si="16"/>
        <v>2248113.909</v>
      </c>
      <c r="N15" s="303">
        <f t="shared" si="12"/>
        <v>179849.11272</v>
      </c>
      <c r="O15" s="301">
        <v>1077000</v>
      </c>
      <c r="P15" s="302"/>
      <c r="Q15" s="302"/>
      <c r="R15" s="335">
        <f t="shared" si="13"/>
        <v>3504963.02172</v>
      </c>
      <c r="S15" s="335">
        <f t="shared" si="14"/>
        <v>17984.911272</v>
      </c>
      <c r="T15" s="336">
        <f t="shared" si="15"/>
        <v>3522947.932992</v>
      </c>
      <c r="U15" s="337">
        <v>44409</v>
      </c>
      <c r="V15" s="338">
        <v>44439</v>
      </c>
    </row>
    <row r="16" ht="18.75" customHeight="1">
      <c r="A16" s="238" t="s">
        <v>24</v>
      </c>
      <c r="B16" s="245" t="s">
        <v>825</v>
      </c>
      <c r="C16" s="246" t="s">
        <v>826</v>
      </c>
      <c r="D16" s="245" t="s">
        <v>34</v>
      </c>
      <c r="E16" s="241" t="s">
        <v>328</v>
      </c>
      <c r="F16" s="246" t="s">
        <v>87</v>
      </c>
      <c r="G16" s="243">
        <v>2013810</v>
      </c>
      <c r="H16" s="244"/>
      <c r="I16" s="298">
        <f t="shared" si="9"/>
        <v>98475.309</v>
      </c>
      <c r="J16" s="298">
        <f t="shared" si="10"/>
        <v>80552.4</v>
      </c>
      <c r="K16" s="298">
        <f t="shared" si="11"/>
        <v>40276.2</v>
      </c>
      <c r="L16" s="299">
        <v>15000</v>
      </c>
      <c r="M16" s="295">
        <f t="shared" si="16"/>
        <v>2248113.909</v>
      </c>
      <c r="N16" s="300">
        <f t="shared" si="12"/>
        <v>179849.11272</v>
      </c>
      <c r="O16" s="301">
        <v>970000</v>
      </c>
      <c r="P16" s="302"/>
      <c r="Q16" s="302"/>
      <c r="R16" s="335">
        <f t="shared" si="13"/>
        <v>3397963.02172</v>
      </c>
      <c r="S16" s="335">
        <f t="shared" si="14"/>
        <v>17984.911272</v>
      </c>
      <c r="T16" s="336">
        <f t="shared" si="15"/>
        <v>3415947.932992</v>
      </c>
      <c r="U16" s="337">
        <v>44378</v>
      </c>
      <c r="V16" s="338">
        <v>44469</v>
      </c>
    </row>
    <row r="17" ht="18.75" customHeight="1">
      <c r="A17" s="238" t="s">
        <v>24</v>
      </c>
      <c r="B17" s="239" t="s">
        <v>671</v>
      </c>
      <c r="C17" s="242" t="s">
        <v>672</v>
      </c>
      <c r="D17" s="247" t="s">
        <v>34</v>
      </c>
      <c r="E17" s="241" t="s">
        <v>328</v>
      </c>
      <c r="F17" s="246" t="s">
        <v>87</v>
      </c>
      <c r="G17" s="243">
        <v>2013810</v>
      </c>
      <c r="H17" s="244"/>
      <c r="I17" s="298">
        <f t="shared" si="9"/>
        <v>98475.309</v>
      </c>
      <c r="J17" s="298">
        <f t="shared" si="10"/>
        <v>80552.4</v>
      </c>
      <c r="K17" s="298">
        <f t="shared" si="11"/>
        <v>40276.2</v>
      </c>
      <c r="L17" s="304">
        <v>15000</v>
      </c>
      <c r="M17" s="295">
        <f t="shared" si="16"/>
        <v>2248113.909</v>
      </c>
      <c r="N17" s="303">
        <f t="shared" si="12"/>
        <v>179849.11272</v>
      </c>
      <c r="O17" s="301">
        <v>822000</v>
      </c>
      <c r="P17" s="300"/>
      <c r="Q17" s="300"/>
      <c r="R17" s="335">
        <f t="shared" si="13"/>
        <v>3249963.02172</v>
      </c>
      <c r="S17" s="335">
        <f t="shared" si="14"/>
        <v>17984.911272</v>
      </c>
      <c r="T17" s="336">
        <f t="shared" si="15"/>
        <v>3267947.932992</v>
      </c>
      <c r="U17" s="339">
        <v>44409</v>
      </c>
      <c r="V17" s="340">
        <v>44500</v>
      </c>
    </row>
    <row r="18" ht="18.75" customHeight="1">
      <c r="A18" s="238" t="s">
        <v>24</v>
      </c>
      <c r="B18" s="239" t="s">
        <v>827</v>
      </c>
      <c r="C18" s="242" t="s">
        <v>828</v>
      </c>
      <c r="D18" s="247" t="s">
        <v>34</v>
      </c>
      <c r="E18" s="241" t="s">
        <v>328</v>
      </c>
      <c r="F18" s="246" t="s">
        <v>87</v>
      </c>
      <c r="G18" s="243">
        <v>2013810</v>
      </c>
      <c r="H18" s="244"/>
      <c r="I18" s="298">
        <f t="shared" si="9"/>
        <v>98475.309</v>
      </c>
      <c r="J18" s="298">
        <f t="shared" si="10"/>
        <v>80552.4</v>
      </c>
      <c r="K18" s="298">
        <f t="shared" si="11"/>
        <v>40276.2</v>
      </c>
      <c r="L18" s="304">
        <v>15000</v>
      </c>
      <c r="M18" s="295">
        <f t="shared" si="16"/>
        <v>2248113.909</v>
      </c>
      <c r="N18" s="300">
        <f t="shared" si="12"/>
        <v>179849.11272</v>
      </c>
      <c r="O18" s="301">
        <v>792500</v>
      </c>
      <c r="P18" s="300"/>
      <c r="Q18" s="300"/>
      <c r="R18" s="335">
        <f t="shared" si="13"/>
        <v>3220463.02172</v>
      </c>
      <c r="S18" s="335">
        <f t="shared" si="14"/>
        <v>17984.911272</v>
      </c>
      <c r="T18" s="336">
        <f t="shared" si="15"/>
        <v>3238447.932992</v>
      </c>
      <c r="U18" s="339">
        <v>44378</v>
      </c>
      <c r="V18" s="340">
        <v>44469</v>
      </c>
    </row>
    <row r="19" ht="18.75" customHeight="1">
      <c r="A19" s="238" t="s">
        <v>24</v>
      </c>
      <c r="B19" s="239" t="s">
        <v>829</v>
      </c>
      <c r="C19" s="242" t="s">
        <v>830</v>
      </c>
      <c r="D19" s="247" t="s">
        <v>34</v>
      </c>
      <c r="E19" s="241" t="s">
        <v>328</v>
      </c>
      <c r="F19" s="246" t="s">
        <v>87</v>
      </c>
      <c r="G19" s="243">
        <v>2013810</v>
      </c>
      <c r="H19" s="244"/>
      <c r="I19" s="298">
        <f t="shared" si="9"/>
        <v>98475.309</v>
      </c>
      <c r="J19" s="298">
        <f t="shared" si="10"/>
        <v>80552.4</v>
      </c>
      <c r="K19" s="298">
        <f t="shared" si="11"/>
        <v>40276.2</v>
      </c>
      <c r="L19" s="304">
        <v>15000</v>
      </c>
      <c r="M19" s="295">
        <f t="shared" si="16"/>
        <v>2248113.909</v>
      </c>
      <c r="N19" s="300">
        <f t="shared" si="12"/>
        <v>179849.11272</v>
      </c>
      <c r="O19" s="301">
        <v>1219500</v>
      </c>
      <c r="P19" s="300"/>
      <c r="Q19" s="300"/>
      <c r="R19" s="335">
        <f t="shared" si="13"/>
        <v>3647463.02172</v>
      </c>
      <c r="S19" s="335">
        <f t="shared" si="14"/>
        <v>17984.911272</v>
      </c>
      <c r="T19" s="336">
        <f t="shared" si="15"/>
        <v>3665447.932992</v>
      </c>
      <c r="U19" s="339">
        <v>44362</v>
      </c>
      <c r="V19" s="340">
        <v>44439</v>
      </c>
    </row>
    <row r="20" ht="18.75" customHeight="1">
      <c r="A20" s="238" t="s">
        <v>24</v>
      </c>
      <c r="B20" s="239" t="s">
        <v>831</v>
      </c>
      <c r="C20" s="242" t="s">
        <v>832</v>
      </c>
      <c r="D20" s="247" t="s">
        <v>34</v>
      </c>
      <c r="E20" s="241" t="s">
        <v>328</v>
      </c>
      <c r="F20" s="246" t="s">
        <v>87</v>
      </c>
      <c r="G20" s="243">
        <v>2013810</v>
      </c>
      <c r="H20" s="244"/>
      <c r="I20" s="298">
        <f t="shared" si="9"/>
        <v>98475.309</v>
      </c>
      <c r="J20" s="298">
        <f t="shared" si="10"/>
        <v>80552.4</v>
      </c>
      <c r="K20" s="298">
        <f t="shared" si="11"/>
        <v>40276.2</v>
      </c>
      <c r="L20" s="304">
        <v>15000</v>
      </c>
      <c r="M20" s="295">
        <f t="shared" si="16"/>
        <v>2248113.909</v>
      </c>
      <c r="N20" s="300">
        <f t="shared" si="12"/>
        <v>179849.11272</v>
      </c>
      <c r="O20" s="301">
        <v>960000</v>
      </c>
      <c r="P20" s="300"/>
      <c r="Q20" s="300"/>
      <c r="R20" s="335">
        <f t="shared" si="13"/>
        <v>3387963.02172</v>
      </c>
      <c r="S20" s="335">
        <f t="shared" si="14"/>
        <v>17984.911272</v>
      </c>
      <c r="T20" s="336">
        <f t="shared" si="15"/>
        <v>3405947.932992</v>
      </c>
      <c r="U20" s="339">
        <v>44409</v>
      </c>
      <c r="V20" s="340">
        <v>44500</v>
      </c>
    </row>
    <row r="21" ht="18.75" customHeight="1">
      <c r="A21" s="238" t="s">
        <v>24</v>
      </c>
      <c r="B21" s="239">
        <v>2223</v>
      </c>
      <c r="C21" s="242" t="s">
        <v>833</v>
      </c>
      <c r="D21" s="247" t="s">
        <v>34</v>
      </c>
      <c r="E21" s="241" t="s">
        <v>328</v>
      </c>
      <c r="F21" s="246" t="s">
        <v>87</v>
      </c>
      <c r="G21" s="243">
        <v>2013810</v>
      </c>
      <c r="H21" s="244"/>
      <c r="I21" s="298">
        <f t="shared" si="9"/>
        <v>98475.309</v>
      </c>
      <c r="J21" s="298">
        <f t="shared" si="10"/>
        <v>80552.4</v>
      </c>
      <c r="K21" s="298">
        <f t="shared" si="11"/>
        <v>40276.2</v>
      </c>
      <c r="L21" s="304">
        <v>15000</v>
      </c>
      <c r="M21" s="295">
        <f t="shared" si="16"/>
        <v>2248113.909</v>
      </c>
      <c r="N21" s="300">
        <f t="shared" si="12"/>
        <v>179849.11272</v>
      </c>
      <c r="O21" s="301">
        <v>840000</v>
      </c>
      <c r="P21" s="305"/>
      <c r="Q21" s="305"/>
      <c r="R21" s="335">
        <f t="shared" si="13"/>
        <v>3267963.02172</v>
      </c>
      <c r="S21" s="335">
        <f t="shared" si="14"/>
        <v>17984.911272</v>
      </c>
      <c r="T21" s="336">
        <f t="shared" si="15"/>
        <v>3285947.932992</v>
      </c>
      <c r="U21" s="339">
        <v>44409</v>
      </c>
      <c r="V21" s="340">
        <v>44500</v>
      </c>
    </row>
    <row r="22" ht="18.75" customHeight="1">
      <c r="A22" s="238" t="s">
        <v>24</v>
      </c>
      <c r="B22" s="239" t="s">
        <v>834</v>
      </c>
      <c r="C22" s="242" t="s">
        <v>835</v>
      </c>
      <c r="D22" s="247" t="s">
        <v>34</v>
      </c>
      <c r="E22" s="241" t="s">
        <v>328</v>
      </c>
      <c r="F22" s="246" t="s">
        <v>87</v>
      </c>
      <c r="G22" s="243">
        <v>2013810</v>
      </c>
      <c r="H22" s="244"/>
      <c r="I22" s="298">
        <f t="shared" si="9"/>
        <v>98475.309</v>
      </c>
      <c r="J22" s="298">
        <f t="shared" si="10"/>
        <v>80552.4</v>
      </c>
      <c r="K22" s="298">
        <f t="shared" si="11"/>
        <v>40276.2</v>
      </c>
      <c r="L22" s="304">
        <v>15000</v>
      </c>
      <c r="M22" s="295">
        <f t="shared" si="16"/>
        <v>2248113.909</v>
      </c>
      <c r="N22" s="300">
        <f t="shared" si="12"/>
        <v>179849.11272</v>
      </c>
      <c r="O22" s="301">
        <v>984000</v>
      </c>
      <c r="P22" s="300"/>
      <c r="Q22" s="300"/>
      <c r="R22" s="335">
        <f t="shared" si="13"/>
        <v>3411963.02172</v>
      </c>
      <c r="S22" s="335">
        <f t="shared" si="14"/>
        <v>17984.911272</v>
      </c>
      <c r="T22" s="336">
        <f t="shared" si="15"/>
        <v>3429947.932992</v>
      </c>
      <c r="U22" s="339">
        <v>44348</v>
      </c>
      <c r="V22" s="340">
        <v>44439</v>
      </c>
    </row>
    <row r="23" ht="18.75" customHeight="1">
      <c r="A23" s="238" t="s">
        <v>24</v>
      </c>
      <c r="B23" s="239" t="s">
        <v>836</v>
      </c>
      <c r="C23" s="242" t="s">
        <v>837</v>
      </c>
      <c r="D23" s="247" t="s">
        <v>34</v>
      </c>
      <c r="E23" s="241" t="s">
        <v>328</v>
      </c>
      <c r="F23" s="246" t="s">
        <v>87</v>
      </c>
      <c r="G23" s="243">
        <v>2013810</v>
      </c>
      <c r="H23" s="244"/>
      <c r="I23" s="298">
        <f t="shared" si="9"/>
        <v>98475.309</v>
      </c>
      <c r="J23" s="298">
        <f t="shared" si="10"/>
        <v>80552.4</v>
      </c>
      <c r="K23" s="298">
        <f t="shared" si="11"/>
        <v>40276.2</v>
      </c>
      <c r="L23" s="304">
        <v>15000</v>
      </c>
      <c r="M23" s="295">
        <f t="shared" si="16"/>
        <v>2248113.909</v>
      </c>
      <c r="N23" s="300">
        <f t="shared" si="12"/>
        <v>179849.11272</v>
      </c>
      <c r="O23" s="301">
        <v>1057000</v>
      </c>
      <c r="P23" s="300"/>
      <c r="Q23" s="300"/>
      <c r="R23" s="335">
        <f t="shared" si="13"/>
        <v>3484963.02172</v>
      </c>
      <c r="S23" s="335">
        <f t="shared" si="14"/>
        <v>17984.911272</v>
      </c>
      <c r="T23" s="336">
        <f t="shared" si="15"/>
        <v>3502947.932992</v>
      </c>
      <c r="U23" s="339">
        <v>44378</v>
      </c>
      <c r="V23" s="340">
        <v>44469</v>
      </c>
    </row>
    <row r="24" ht="18.75" customHeight="1">
      <c r="A24" s="238" t="s">
        <v>24</v>
      </c>
      <c r="B24" s="239" t="s">
        <v>817</v>
      </c>
      <c r="C24" s="248" t="s">
        <v>519</v>
      </c>
      <c r="D24" s="247" t="s">
        <v>34</v>
      </c>
      <c r="E24" s="241" t="s">
        <v>328</v>
      </c>
      <c r="F24" s="246" t="s">
        <v>87</v>
      </c>
      <c r="G24" s="249">
        <f>2013810/31*16</f>
        <v>1039385.80645161</v>
      </c>
      <c r="H24" s="244"/>
      <c r="I24" s="298"/>
      <c r="J24" s="298"/>
      <c r="K24" s="298"/>
      <c r="L24" s="304"/>
      <c r="M24" s="295">
        <f t="shared" si="16"/>
        <v>1039385.80645161</v>
      </c>
      <c r="N24" s="303">
        <f t="shared" si="12"/>
        <v>83150.8645161288</v>
      </c>
      <c r="O24" s="301">
        <v>970000</v>
      </c>
      <c r="P24" s="303"/>
      <c r="Q24" s="303"/>
      <c r="R24" s="335">
        <f t="shared" si="13"/>
        <v>2092536.6709677388</v>
      </c>
      <c r="S24" s="335">
        <f t="shared" si="14"/>
        <v>8315.08645161288</v>
      </c>
      <c r="T24" s="336">
        <f t="shared" si="15"/>
        <v>2100851.757419352</v>
      </c>
      <c r="U24" s="339">
        <v>44378</v>
      </c>
      <c r="V24" s="340">
        <v>44469</v>
      </c>
      <c r="W24" s="341" t="s">
        <v>838</v>
      </c>
    </row>
    <row r="25" ht="18.75" customHeight="1">
      <c r="A25" s="238" t="s">
        <v>24</v>
      </c>
      <c r="B25" s="239" t="s">
        <v>839</v>
      </c>
      <c r="C25" s="242" t="s">
        <v>840</v>
      </c>
      <c r="D25" s="247" t="s">
        <v>34</v>
      </c>
      <c r="E25" s="241" t="s">
        <v>328</v>
      </c>
      <c r="F25" s="246" t="s">
        <v>87</v>
      </c>
      <c r="G25" s="243">
        <v>2013810</v>
      </c>
      <c r="H25" s="244"/>
      <c r="I25" s="298">
        <f>+$G$5*4.89%</f>
        <v>98475.309</v>
      </c>
      <c r="J25" s="298">
        <f>+$G$5*4%</f>
        <v>80552.4</v>
      </c>
      <c r="K25" s="298">
        <f>+$G$5*2%</f>
        <v>40276.2</v>
      </c>
      <c r="L25" s="304">
        <v>15000</v>
      </c>
      <c r="M25" s="295">
        <f t="shared" si="16"/>
        <v>2248113.909</v>
      </c>
      <c r="N25" s="303">
        <f t="shared" si="12"/>
        <v>179849.11272</v>
      </c>
      <c r="O25" s="301">
        <v>1016500</v>
      </c>
      <c r="P25" s="300"/>
      <c r="Q25" s="300"/>
      <c r="R25" s="335">
        <f t="shared" si="13"/>
        <v>3444463.02172</v>
      </c>
      <c r="S25" s="335">
        <f t="shared" si="14"/>
        <v>17984.911272</v>
      </c>
      <c r="T25" s="336">
        <f t="shared" si="15"/>
        <v>3462447.932992</v>
      </c>
      <c r="U25" s="339">
        <v>44409</v>
      </c>
      <c r="V25" s="340">
        <v>44439</v>
      </c>
    </row>
    <row r="26" ht="18.75" customHeight="1">
      <c r="A26" s="238" t="s">
        <v>24</v>
      </c>
      <c r="B26" s="239" t="s">
        <v>841</v>
      </c>
      <c r="C26" s="242" t="s">
        <v>842</v>
      </c>
      <c r="D26" s="247" t="s">
        <v>34</v>
      </c>
      <c r="E26" s="241" t="s">
        <v>328</v>
      </c>
      <c r="F26" s="246" t="s">
        <v>87</v>
      </c>
      <c r="G26" s="243">
        <v>2013810</v>
      </c>
      <c r="H26" s="244"/>
      <c r="I26" s="298">
        <f>+$G$5*4.89%</f>
        <v>98475.309</v>
      </c>
      <c r="J26" s="298">
        <f>+$G$5*4%</f>
        <v>80552.4</v>
      </c>
      <c r="K26" s="298">
        <f>+$G$5*2%</f>
        <v>40276.2</v>
      </c>
      <c r="L26" s="304">
        <v>15000</v>
      </c>
      <c r="M26" s="295">
        <f t="shared" si="16"/>
        <v>2248113.909</v>
      </c>
      <c r="N26" s="300">
        <f t="shared" si="12"/>
        <v>179849.11272</v>
      </c>
      <c r="O26" s="301">
        <v>1082000</v>
      </c>
      <c r="P26" s="300"/>
      <c r="Q26" s="300"/>
      <c r="R26" s="335">
        <f t="shared" si="13"/>
        <v>3509963.02172</v>
      </c>
      <c r="S26" s="335">
        <f t="shared" si="14"/>
        <v>17984.911272</v>
      </c>
      <c r="T26" s="336">
        <f t="shared" si="15"/>
        <v>3527947.932992</v>
      </c>
      <c r="U26" s="339">
        <v>44379</v>
      </c>
      <c r="V26" s="340">
        <v>44469</v>
      </c>
    </row>
    <row r="27" ht="18.75" customHeight="1">
      <c r="A27" s="238" t="s">
        <v>24</v>
      </c>
      <c r="B27" s="239" t="s">
        <v>843</v>
      </c>
      <c r="C27" s="242" t="s">
        <v>844</v>
      </c>
      <c r="D27" s="247" t="s">
        <v>34</v>
      </c>
      <c r="E27" s="241" t="s">
        <v>328</v>
      </c>
      <c r="F27" s="246" t="s">
        <v>87</v>
      </c>
      <c r="G27" s="243">
        <v>2013810</v>
      </c>
      <c r="H27" s="244"/>
      <c r="I27" s="298">
        <f>+$G$5*4.89%</f>
        <v>98475.309</v>
      </c>
      <c r="J27" s="298">
        <f>+$G$5*4%</f>
        <v>80552.4</v>
      </c>
      <c r="K27" s="298">
        <f>+$G$5*2%</f>
        <v>40276.2</v>
      </c>
      <c r="L27" s="304">
        <v>15000</v>
      </c>
      <c r="M27" s="295">
        <f t="shared" si="16"/>
        <v>2248113.909</v>
      </c>
      <c r="N27" s="300">
        <f t="shared" si="12"/>
        <v>179849.11272</v>
      </c>
      <c r="O27" s="301">
        <v>925000</v>
      </c>
      <c r="P27" s="244">
        <f>SUM(P18:P26)</f>
        <v>0</v>
      </c>
      <c r="Q27" s="244">
        <f>SUM(Q18:Q26)</f>
        <v>0</v>
      </c>
      <c r="R27" s="335">
        <f t="shared" si="13"/>
        <v>3352963.02172</v>
      </c>
      <c r="S27" s="335">
        <f t="shared" si="14"/>
        <v>17984.911272</v>
      </c>
      <c r="T27" s="336">
        <f t="shared" si="15"/>
        <v>3370947.932992</v>
      </c>
      <c r="U27" s="339">
        <v>44378</v>
      </c>
      <c r="V27" s="340">
        <v>44469</v>
      </c>
    </row>
    <row r="28" ht="18.75" customHeight="1">
      <c r="A28" s="238" t="s">
        <v>24</v>
      </c>
      <c r="B28" s="250" t="s">
        <v>845</v>
      </c>
      <c r="C28" s="251" t="s">
        <v>846</v>
      </c>
      <c r="D28" s="252" t="s">
        <v>34</v>
      </c>
      <c r="E28" s="253" t="s">
        <v>328</v>
      </c>
      <c r="F28" s="254" t="s">
        <v>87</v>
      </c>
      <c r="G28" s="255">
        <v>2013810</v>
      </c>
      <c r="H28" s="256"/>
      <c r="I28" s="306">
        <f ref="I28:I34" t="shared" si="18">+$G$5*4.89%</f>
        <v>98475.309</v>
      </c>
      <c r="J28" s="306">
        <f ref="J28:J34" t="shared" si="19">+$G$5*4%</f>
        <v>80552.4</v>
      </c>
      <c r="K28" s="306">
        <f ref="K28:K34" t="shared" si="20">+$G$5*2%</f>
        <v>40276.2</v>
      </c>
      <c r="L28" s="307">
        <v>15000</v>
      </c>
      <c r="M28" s="295">
        <f t="shared" si="16"/>
        <v>2248113.909</v>
      </c>
      <c r="N28" s="309">
        <f ref="N28:N34" t="shared" si="21">+M28*8%</f>
        <v>179849.11272</v>
      </c>
      <c r="O28" s="309">
        <v>455000</v>
      </c>
      <c r="P28" s="309"/>
      <c r="Q28" s="309"/>
      <c r="R28" s="342">
        <f ref="R28:R34" t="shared" si="22">SUM(M28:Q28)</f>
        <v>2882963.02172</v>
      </c>
      <c r="S28" s="342">
        <f ref="S28:S34" t="shared" si="23">N28*0.1</f>
        <v>17984.911272</v>
      </c>
      <c r="T28" s="343">
        <f ref="T28:T34" t="shared" si="24">R28+S28</f>
        <v>2900947.932992</v>
      </c>
      <c r="U28" s="344">
        <v>44391</v>
      </c>
      <c r="V28" s="345">
        <v>44500</v>
      </c>
    </row>
    <row r="29" ht="18.75" customHeight="1">
      <c r="A29" s="238" t="s">
        <v>24</v>
      </c>
      <c r="B29" s="250" t="s">
        <v>847</v>
      </c>
      <c r="C29" s="251" t="s">
        <v>848</v>
      </c>
      <c r="D29" s="252" t="s">
        <v>34</v>
      </c>
      <c r="E29" s="253" t="s">
        <v>328</v>
      </c>
      <c r="F29" s="254" t="s">
        <v>87</v>
      </c>
      <c r="G29" s="255">
        <f>2013810/31*25</f>
        <v>1624040.32258065</v>
      </c>
      <c r="H29" s="256"/>
      <c r="I29" s="306">
        <f t="shared" si="18"/>
        <v>98475.309</v>
      </c>
      <c r="J29" s="306">
        <f t="shared" si="19"/>
        <v>80552.4</v>
      </c>
      <c r="K29" s="306">
        <f t="shared" si="20"/>
        <v>40276.2</v>
      </c>
      <c r="L29" s="307">
        <v>15000</v>
      </c>
      <c r="M29" s="295">
        <f t="shared" si="16"/>
        <v>1858344.2315806497</v>
      </c>
      <c r="N29" s="309">
        <f t="shared" si="21"/>
        <v>148667.53852645197</v>
      </c>
      <c r="O29" s="309">
        <v>200000</v>
      </c>
      <c r="P29" s="309"/>
      <c r="Q29" s="309"/>
      <c r="R29" s="342">
        <f t="shared" si="22"/>
        <v>2207011.7701071016</v>
      </c>
      <c r="S29" s="342">
        <f t="shared" si="23"/>
        <v>14866.753852645197</v>
      </c>
      <c r="T29" s="343">
        <f t="shared" si="24"/>
        <v>2221878.523959747</v>
      </c>
      <c r="U29" s="344" t="s">
        <v>849</v>
      </c>
      <c r="V29" s="345">
        <v>44500</v>
      </c>
    </row>
    <row r="30" ht="18.75" customHeight="1">
      <c r="A30" s="238" t="s">
        <v>24</v>
      </c>
      <c r="B30" s="250">
        <v>2807</v>
      </c>
      <c r="C30" s="251" t="s">
        <v>850</v>
      </c>
      <c r="D30" s="252" t="s">
        <v>34</v>
      </c>
      <c r="E30" s="253" t="s">
        <v>328</v>
      </c>
      <c r="F30" s="254" t="s">
        <v>87</v>
      </c>
      <c r="G30" s="255">
        <f>2013810/31*12</f>
        <v>779539.35483871</v>
      </c>
      <c r="H30" s="256"/>
      <c r="I30" s="306">
        <f t="shared" si="18"/>
        <v>98475.309</v>
      </c>
      <c r="J30" s="306">
        <f t="shared" si="19"/>
        <v>80552.4</v>
      </c>
      <c r="K30" s="306">
        <f t="shared" si="20"/>
        <v>40276.2</v>
      </c>
      <c r="L30" s="307">
        <v>15000</v>
      </c>
      <c r="M30" s="295">
        <f t="shared" si="16"/>
        <v>1013843.26383871</v>
      </c>
      <c r="N30" s="309">
        <f t="shared" si="21"/>
        <v>81107.46110709681</v>
      </c>
      <c r="O30" s="309"/>
      <c r="P30" s="309"/>
      <c r="Q30" s="309"/>
      <c r="R30" s="342">
        <f t="shared" si="22"/>
        <v>1094950.724945807</v>
      </c>
      <c r="S30" s="342">
        <f t="shared" si="23"/>
        <v>8110.7461107096815</v>
      </c>
      <c r="T30" s="343">
        <f t="shared" si="24"/>
        <v>1103061.4710565165</v>
      </c>
      <c r="U30" s="344">
        <v>44412</v>
      </c>
      <c r="V30" s="345">
        <v>44500</v>
      </c>
    </row>
    <row r="31" ht="18.75" customHeight="1">
      <c r="A31" s="238" t="s">
        <v>24</v>
      </c>
      <c r="B31" s="250">
        <v>2822</v>
      </c>
      <c r="C31" s="251" t="s">
        <v>851</v>
      </c>
      <c r="D31" s="252" t="s">
        <v>34</v>
      </c>
      <c r="E31" s="253" t="s">
        <v>328</v>
      </c>
      <c r="F31" s="254" t="s">
        <v>87</v>
      </c>
      <c r="G31" s="255">
        <f>2013810/31*7</f>
        <v>454731.290322581</v>
      </c>
      <c r="H31" s="256"/>
      <c r="I31" s="306">
        <f t="shared" si="18"/>
        <v>98475.309</v>
      </c>
      <c r="J31" s="306">
        <f t="shared" si="19"/>
        <v>80552.4</v>
      </c>
      <c r="K31" s="306">
        <f t="shared" si="20"/>
        <v>40276.2</v>
      </c>
      <c r="L31" s="307">
        <v>15000</v>
      </c>
      <c r="M31" s="295">
        <f t="shared" si="16"/>
        <v>689035.199322581</v>
      </c>
      <c r="N31" s="309">
        <f t="shared" si="21"/>
        <v>55122.81594580648</v>
      </c>
      <c r="O31" s="309"/>
      <c r="P31" s="309"/>
      <c r="Q31" s="309"/>
      <c r="R31" s="342">
        <f t="shared" si="22"/>
        <v>744158.0152683874</v>
      </c>
      <c r="S31" s="342">
        <f t="shared" si="23"/>
        <v>5512.281594580648</v>
      </c>
      <c r="T31" s="343">
        <f t="shared" si="24"/>
        <v>749670.296862968</v>
      </c>
      <c r="U31" s="344">
        <v>44417</v>
      </c>
      <c r="V31" s="345">
        <v>44500</v>
      </c>
    </row>
    <row r="32" ht="18.75" customHeight="1">
      <c r="A32" s="238" t="s">
        <v>24</v>
      </c>
      <c r="B32" s="250">
        <v>2823</v>
      </c>
      <c r="C32" s="251" t="s">
        <v>852</v>
      </c>
      <c r="D32" s="252" t="s">
        <v>34</v>
      </c>
      <c r="E32" s="253" t="s">
        <v>328</v>
      </c>
      <c r="F32" s="254" t="s">
        <v>87</v>
      </c>
      <c r="G32" s="255">
        <f>2013810/31*7</f>
        <v>454731.290322581</v>
      </c>
      <c r="H32" s="256"/>
      <c r="I32" s="306">
        <f t="shared" si="18"/>
        <v>98475.309</v>
      </c>
      <c r="J32" s="306">
        <f t="shared" si="19"/>
        <v>80552.4</v>
      </c>
      <c r="K32" s="306">
        <f t="shared" si="20"/>
        <v>40276.2</v>
      </c>
      <c r="L32" s="307">
        <v>15000</v>
      </c>
      <c r="M32" s="295">
        <f t="shared" si="16"/>
        <v>689035.199322581</v>
      </c>
      <c r="N32" s="309">
        <f t="shared" si="21"/>
        <v>55122.81594580648</v>
      </c>
      <c r="O32" s="309"/>
      <c r="P32" s="309"/>
      <c r="Q32" s="309"/>
      <c r="R32" s="342">
        <f t="shared" si="22"/>
        <v>744158.0152683874</v>
      </c>
      <c r="S32" s="342">
        <f t="shared" si="23"/>
        <v>5512.281594580648</v>
      </c>
      <c r="T32" s="343">
        <f t="shared" si="24"/>
        <v>749670.296862968</v>
      </c>
      <c r="U32" s="344">
        <v>44417</v>
      </c>
      <c r="V32" s="345">
        <v>44439</v>
      </c>
    </row>
    <row r="33" ht="18.75" customHeight="1">
      <c r="A33" s="238" t="s">
        <v>24</v>
      </c>
      <c r="B33" s="250">
        <v>2824</v>
      </c>
      <c r="C33" s="251" t="s">
        <v>853</v>
      </c>
      <c r="D33" s="252" t="s">
        <v>34</v>
      </c>
      <c r="E33" s="253" t="s">
        <v>328</v>
      </c>
      <c r="F33" s="254" t="s">
        <v>87</v>
      </c>
      <c r="G33" s="255">
        <f>2013810/31*12</f>
        <v>779539.35483871</v>
      </c>
      <c r="H33" s="256"/>
      <c r="I33" s="306">
        <f t="shared" si="18"/>
        <v>98475.309</v>
      </c>
      <c r="J33" s="306">
        <f t="shared" si="19"/>
        <v>80552.4</v>
      </c>
      <c r="K33" s="306">
        <f t="shared" si="20"/>
        <v>40276.2</v>
      </c>
      <c r="L33" s="307">
        <v>15000</v>
      </c>
      <c r="M33" s="295">
        <f t="shared" si="16"/>
        <v>1013843.26383871</v>
      </c>
      <c r="N33" s="309">
        <f t="shared" si="21"/>
        <v>81107.46110709681</v>
      </c>
      <c r="O33" s="309"/>
      <c r="P33" s="309"/>
      <c r="Q33" s="309"/>
      <c r="R33" s="342">
        <f t="shared" si="22"/>
        <v>1094950.724945807</v>
      </c>
      <c r="S33" s="342">
        <f t="shared" si="23"/>
        <v>8110.7461107096815</v>
      </c>
      <c r="T33" s="343">
        <f t="shared" si="24"/>
        <v>1103061.4710565165</v>
      </c>
      <c r="U33" s="344">
        <v>44412</v>
      </c>
      <c r="V33" s="345">
        <v>44500</v>
      </c>
    </row>
    <row r="34" ht="18.75" customHeight="1">
      <c r="A34" s="238" t="s">
        <v>30</v>
      </c>
      <c r="B34" s="1948"/>
      <c r="C34" s="257" t="s">
        <v>854</v>
      </c>
      <c r="D34" s="258"/>
      <c r="E34" s="259"/>
      <c r="F34" s="254"/>
      <c r="G34" s="260">
        <f>2013810/31*15</f>
        <v>974424.193548387</v>
      </c>
      <c r="H34" s="261"/>
      <c r="I34" s="306">
        <f t="shared" si="18"/>
        <v>98475.309</v>
      </c>
      <c r="J34" s="306">
        <f t="shared" si="19"/>
        <v>80552.4</v>
      </c>
      <c r="K34" s="306">
        <f t="shared" si="20"/>
        <v>40276.2</v>
      </c>
      <c r="L34" s="307">
        <v>15000</v>
      </c>
      <c r="M34" s="295">
        <f t="shared" si="16"/>
        <v>1208728.102548387</v>
      </c>
      <c r="N34" s="309">
        <f t="shared" si="21"/>
        <v>96698.24820387096</v>
      </c>
      <c r="O34" s="309">
        <v>125000</v>
      </c>
      <c r="P34" s="309"/>
      <c r="Q34" s="309"/>
      <c r="R34" s="342">
        <f t="shared" si="22"/>
        <v>1430426.3507522577</v>
      </c>
      <c r="S34" s="342">
        <f t="shared" si="23"/>
        <v>9669.824820387095</v>
      </c>
      <c r="T34" s="343">
        <f t="shared" si="24"/>
        <v>1440096.175572645</v>
      </c>
      <c r="U34" s="346">
        <v>44409</v>
      </c>
      <c r="V34" s="347"/>
      <c r="W34" s="206" t="s">
        <v>855</v>
      </c>
    </row>
    <row r="35" ht="18" customHeight="1">
      <c r="A35" s="1744" t="s">
        <v>30</v>
      </c>
      <c r="B35" s="1867"/>
      <c r="C35" s="1745"/>
      <c r="D35" s="1745"/>
      <c r="E35" s="1745"/>
      <c r="F35" s="1745"/>
      <c r="G35" s="234">
        <f>SUM(G13:G34)</f>
        <v>36313541.6129032</v>
      </c>
      <c r="H35" s="234">
        <f ref="H35:T35" t="shared" si="25">SUM(H13:H34)</f>
        <v>0</v>
      </c>
      <c r="I35" s="234">
        <f t="shared" si="25"/>
        <v>2067981.489</v>
      </c>
      <c r="J35" s="234">
        <f t="shared" si="25"/>
        <v>1691600.4</v>
      </c>
      <c r="K35" s="234">
        <f t="shared" si="25"/>
        <v>845800.2</v>
      </c>
      <c r="L35" s="234">
        <f t="shared" si="25"/>
        <v>315000</v>
      </c>
      <c r="M35" s="234">
        <f t="shared" si="25"/>
        <v>41233923.70190324</v>
      </c>
      <c r="N35" s="234">
        <f t="shared" si="25"/>
        <v>3298713.896152259</v>
      </c>
      <c r="O35" s="234">
        <f t="shared" si="25"/>
        <v>15464500</v>
      </c>
      <c r="P35" s="234">
        <f t="shared" si="25"/>
        <v>0</v>
      </c>
      <c r="Q35" s="234">
        <f t="shared" si="25"/>
        <v>0</v>
      </c>
      <c r="R35" s="234">
        <f t="shared" si="25"/>
        <v>59997137.598055474</v>
      </c>
      <c r="S35" s="234">
        <f t="shared" si="25"/>
        <v>329871.3896152258</v>
      </c>
      <c r="T35" s="234">
        <f t="shared" si="25"/>
        <v>60327008.987670705</v>
      </c>
      <c r="U35" s="332"/>
      <c r="V35" s="333"/>
    </row>
    <row r="36">
      <c r="A36" s="0" t="s">
        <v>30</v>
      </c>
      <c r="B36" s="1910"/>
      <c r="C36" s="209"/>
      <c r="D36" s="208"/>
      <c r="E36" s="208"/>
      <c r="F36" s="208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316"/>
      <c r="V36" s="317"/>
    </row>
    <row r="37" ht="18" customHeight="1">
      <c r="A37" s="1744" t="s">
        <v>30</v>
      </c>
      <c r="B37" s="1867"/>
      <c r="C37" s="1745"/>
      <c r="D37" s="1745"/>
      <c r="E37" s="1745"/>
      <c r="F37" s="1745"/>
      <c r="G37" s="234">
        <f ref="G37:T37" t="shared" si="26">SUM(G9,G35)</f>
        <v>38327351.6129032</v>
      </c>
      <c r="H37" s="234">
        <f t="shared" si="26"/>
        <v>0</v>
      </c>
      <c r="I37" s="234">
        <f t="shared" si="26"/>
        <v>2166456.798</v>
      </c>
      <c r="J37" s="234">
        <f t="shared" si="26"/>
        <v>1772152.8</v>
      </c>
      <c r="K37" s="234">
        <f t="shared" si="26"/>
        <v>886076.4</v>
      </c>
      <c r="L37" s="234">
        <f t="shared" si="26"/>
        <v>316667</v>
      </c>
      <c r="M37" s="234">
        <f t="shared" si="26"/>
        <v>43468704.61090324</v>
      </c>
      <c r="N37" s="234">
        <f t="shared" si="26"/>
        <v>3477496.368872259</v>
      </c>
      <c r="O37" s="234">
        <f t="shared" si="26"/>
        <v>16743500</v>
      </c>
      <c r="P37" s="234">
        <f t="shared" si="26"/>
        <v>200000</v>
      </c>
      <c r="Q37" s="234">
        <f t="shared" si="26"/>
        <v>0</v>
      </c>
      <c r="R37" s="234">
        <f t="shared" si="26"/>
        <v>63889700.97977547</v>
      </c>
      <c r="S37" s="234">
        <f t="shared" si="26"/>
        <v>347749.6368872258</v>
      </c>
      <c r="T37" s="234">
        <f t="shared" si="26"/>
        <v>64237450.6166627</v>
      </c>
      <c r="U37" s="332"/>
      <c r="V37" s="333"/>
    </row>
    <row r="38">
      <c r="A38" s="0" t="s">
        <v>30</v>
      </c>
      <c r="B38" s="1910"/>
      <c r="C38" s="209"/>
      <c r="D38" s="208"/>
      <c r="E38" s="208"/>
      <c r="F38" s="208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316"/>
      <c r="V38" s="317"/>
    </row>
    <row r="39">
      <c r="A39" s="0" t="s">
        <v>30</v>
      </c>
      <c r="B39" s="1910"/>
      <c r="C39" s="209"/>
      <c r="D39" s="208"/>
      <c r="E39" s="208"/>
      <c r="F39" s="208"/>
      <c r="G39" s="210"/>
      <c r="H39" s="210"/>
      <c r="I39" s="210"/>
      <c r="J39" s="210"/>
      <c r="K39" s="210"/>
      <c r="L39" s="210"/>
      <c r="M39" s="210"/>
      <c r="N39" s="210"/>
      <c r="O39" s="210">
        <f>+O37-15743500</f>
        <v>1000000</v>
      </c>
      <c r="P39" s="210"/>
      <c r="Q39" s="210"/>
      <c r="R39" s="210"/>
      <c r="S39" s="210"/>
      <c r="T39" s="210"/>
      <c r="U39" s="316"/>
      <c r="V39" s="317"/>
    </row>
    <row r="40">
      <c r="A40" s="0" t="s">
        <v>30</v>
      </c>
      <c r="B40" s="1910"/>
      <c r="C40" s="209"/>
      <c r="D40" s="208"/>
      <c r="E40" s="208"/>
      <c r="F40" s="208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316"/>
      <c r="V40" s="317"/>
    </row>
    <row r="41">
      <c r="A41" s="0" t="s">
        <v>30</v>
      </c>
      <c r="B41" s="1910"/>
      <c r="D41" s="262"/>
      <c r="E41" s="263"/>
      <c r="F41" s="264"/>
      <c r="G41" s="210"/>
      <c r="H41" s="210"/>
      <c r="I41" s="310"/>
      <c r="J41" s="310"/>
      <c r="K41" s="310"/>
      <c r="L41" s="310"/>
      <c r="M41" s="310"/>
      <c r="N41" s="310"/>
      <c r="O41" s="310"/>
      <c r="P41" s="310"/>
      <c r="Q41" s="310"/>
      <c r="R41" s="310"/>
      <c r="S41" s="310"/>
      <c r="T41" s="310"/>
      <c r="U41" s="348"/>
      <c r="V41" s="317"/>
    </row>
    <row r="42">
      <c r="A42" s="265" t="s">
        <v>30</v>
      </c>
      <c r="B42" s="1944"/>
      <c r="C42" s="266"/>
      <c r="D42" s="266"/>
      <c r="E42" s="266"/>
      <c r="F42" s="266"/>
      <c r="G42" s="267"/>
      <c r="H42" s="267"/>
      <c r="I42" s="310"/>
      <c r="J42" s="310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48"/>
      <c r="V42" s="317"/>
    </row>
    <row r="43">
      <c r="A43" s="268" t="s">
        <v>30</v>
      </c>
      <c r="B43" s="1869"/>
      <c r="C43" s="236" t="str">
        <f>+'KUDUS ANTERAJA AGUSTUS - OK'!C32</f>
        <v>Karawang, 16 Agustus 2021</v>
      </c>
      <c r="D43" s="270"/>
      <c r="E43" s="270"/>
      <c r="F43" s="270"/>
      <c r="G43" s="271"/>
      <c r="H43" s="271"/>
      <c r="I43" s="281"/>
      <c r="J43" s="270"/>
      <c r="K43" s="270"/>
      <c r="L43" s="270"/>
      <c r="M43" s="270"/>
      <c r="N43" s="310"/>
      <c r="O43" s="310"/>
      <c r="P43" s="310"/>
      <c r="Q43" s="310"/>
      <c r="R43" s="270"/>
      <c r="S43" s="270"/>
      <c r="T43" s="310"/>
      <c r="U43" s="348"/>
      <c r="V43" s="317"/>
    </row>
    <row r="44">
      <c r="A44" s="268" t="s">
        <v>30</v>
      </c>
      <c r="B44" s="1945"/>
      <c r="C44" s="273"/>
      <c r="D44" s="263"/>
      <c r="E44" s="264"/>
      <c r="F44" s="264"/>
      <c r="G44" s="210"/>
      <c r="H44" s="210"/>
      <c r="I44" s="311"/>
      <c r="J44" s="262"/>
      <c r="K44" s="262"/>
      <c r="L44" s="312"/>
      <c r="M44" s="263" t="s">
        <v>39</v>
      </c>
      <c r="N44" s="313"/>
      <c r="R44" s="349"/>
      <c r="S44" s="270"/>
      <c r="T44" s="313"/>
      <c r="U44" s="348"/>
      <c r="V44" s="348"/>
    </row>
    <row r="45">
      <c r="A45" s="268" t="s">
        <v>30</v>
      </c>
      <c r="B45" s="1869"/>
      <c r="C45" s="236" t="s">
        <v>856</v>
      </c>
      <c r="D45" s="274"/>
      <c r="E45" s="264"/>
      <c r="F45" s="264"/>
      <c r="G45" s="275"/>
      <c r="H45" s="275"/>
      <c r="I45" s="314"/>
      <c r="J45" s="315"/>
      <c r="K45" s="262"/>
      <c r="L45" s="312"/>
      <c r="M45" s="262"/>
      <c r="N45" s="270"/>
      <c r="O45" s="270"/>
      <c r="P45" s="270"/>
      <c r="Q45" s="270"/>
      <c r="R45" s="349"/>
      <c r="S45" s="270"/>
      <c r="T45" s="270"/>
      <c r="U45" s="348"/>
      <c r="V45" s="348"/>
    </row>
    <row r="46">
      <c r="A46" s="268" t="s">
        <v>30</v>
      </c>
      <c r="B46" s="1871"/>
      <c r="C46" s="276"/>
      <c r="D46" s="209"/>
      <c r="E46" s="208"/>
      <c r="F46" s="208"/>
      <c r="G46" s="275"/>
      <c r="H46" s="275"/>
      <c r="I46" s="213"/>
      <c r="J46" s="270"/>
      <c r="K46" s="270"/>
      <c r="L46" s="310"/>
      <c r="M46" s="270"/>
      <c r="N46" s="270"/>
      <c r="O46" s="270"/>
      <c r="P46" s="270"/>
      <c r="Q46" s="270"/>
      <c r="R46" s="208"/>
      <c r="S46" s="270"/>
      <c r="T46" s="270"/>
      <c r="U46" s="348"/>
      <c r="V46" s="348"/>
    </row>
    <row r="47">
      <c r="A47" s="268" t="s">
        <v>30</v>
      </c>
      <c r="B47" s="1871"/>
      <c r="C47" s="276"/>
      <c r="D47" s="209"/>
      <c r="E47" s="208"/>
      <c r="F47" s="208"/>
      <c r="G47" s="210"/>
      <c r="H47" s="210"/>
      <c r="I47" s="275"/>
      <c r="J47" s="262"/>
      <c r="K47" s="262"/>
      <c r="L47" s="312"/>
      <c r="M47" s="262"/>
      <c r="N47" s="262"/>
      <c r="O47" s="262"/>
      <c r="P47" s="262"/>
      <c r="Q47" s="262"/>
      <c r="R47" s="264"/>
      <c r="S47" s="270"/>
      <c r="T47" s="270"/>
      <c r="U47" s="348"/>
      <c r="V47" s="348"/>
    </row>
    <row r="48">
      <c r="A48" s="268" t="s">
        <v>30</v>
      </c>
      <c r="B48" s="1869"/>
      <c r="C48" s="269"/>
      <c r="D48" s="274"/>
      <c r="E48" s="264"/>
      <c r="F48" s="264"/>
      <c r="G48" s="275"/>
      <c r="H48" s="275"/>
      <c r="I48" s="275"/>
      <c r="J48" s="262"/>
      <c r="K48" s="262"/>
      <c r="L48" s="312"/>
      <c r="M48" s="262"/>
      <c r="N48" s="262"/>
      <c r="O48" s="262"/>
      <c r="P48" s="262"/>
      <c r="Q48" s="262"/>
      <c r="R48" s="264"/>
      <c r="S48" s="208"/>
      <c r="T48" s="270"/>
      <c r="U48" s="348"/>
      <c r="V48" s="348"/>
    </row>
    <row r="49">
      <c r="A49" s="268" t="s">
        <v>30</v>
      </c>
      <c r="B49" s="1945"/>
      <c r="C49" s="236"/>
      <c r="D49" s="264"/>
      <c r="E49" s="264"/>
      <c r="F49" s="264"/>
      <c r="G49" s="275"/>
      <c r="H49" s="275"/>
      <c r="I49" s="275"/>
      <c r="J49" s="262"/>
      <c r="K49" s="262"/>
      <c r="L49" s="312"/>
      <c r="M49" s="262"/>
      <c r="N49" s="262"/>
      <c r="O49" s="262"/>
      <c r="P49" s="262"/>
      <c r="Q49" s="262"/>
      <c r="R49" s="264"/>
      <c r="S49" s="270"/>
      <c r="U49" s="348"/>
      <c r="V49" s="348"/>
    </row>
    <row r="50">
      <c r="A50" s="268" t="s">
        <v>30</v>
      </c>
      <c r="B50" s="1945"/>
      <c r="C50" s="236"/>
      <c r="D50" s="264"/>
      <c r="E50" s="264"/>
      <c r="F50" s="264"/>
      <c r="G50" s="275"/>
      <c r="H50" s="275"/>
      <c r="I50" s="275"/>
      <c r="J50" s="312" t="s">
        <v>41</v>
      </c>
      <c r="K50" s="263"/>
      <c r="L50" s="263"/>
      <c r="M50" s="263" t="s">
        <v>42</v>
      </c>
      <c r="O50" s="264" t="s">
        <v>43</v>
      </c>
      <c r="P50" s="264"/>
      <c r="Q50" s="263"/>
      <c r="U50" s="350"/>
      <c r="V50" s="350"/>
    </row>
    <row r="51">
      <c r="A51" s="268" t="s">
        <v>30</v>
      </c>
      <c r="B51" s="1945"/>
      <c r="C51" s="236" t="s">
        <v>40</v>
      </c>
      <c r="D51" s="268"/>
      <c r="E51" s="277"/>
      <c r="F51" s="277"/>
      <c r="G51" s="278"/>
      <c r="H51" s="278"/>
      <c r="I51" s="263"/>
      <c r="J51" s="263"/>
      <c r="K51" s="263"/>
      <c r="L51" s="263"/>
      <c r="M51" s="275"/>
      <c r="N51" s="263"/>
      <c r="O51" s="263"/>
      <c r="P51" s="263"/>
      <c r="Q51" s="263"/>
      <c r="R51" s="263"/>
      <c r="U51" s="350"/>
      <c r="V51" s="350"/>
    </row>
    <row r="52">
      <c r="A52" s="263" t="s">
        <v>30</v>
      </c>
      <c r="B52" s="1868"/>
      <c r="C52" s="274"/>
      <c r="D52" s="264"/>
      <c r="E52" s="264"/>
      <c r="F52" s="279"/>
      <c r="G52" s="275"/>
      <c r="H52" s="275"/>
      <c r="I52" s="263"/>
      <c r="J52" s="263"/>
      <c r="K52" s="263"/>
      <c r="L52" s="263"/>
      <c r="M52" s="275"/>
      <c r="N52" s="263"/>
      <c r="O52" s="263"/>
      <c r="P52" s="263"/>
      <c r="Q52" s="263"/>
      <c r="R52" s="263"/>
      <c r="U52" s="350"/>
      <c r="V52" s="350"/>
    </row>
    <row r="53">
      <c r="A53" s="0" t="s">
        <v>30</v>
      </c>
      <c r="B53" s="1910"/>
      <c r="C53" s="209"/>
      <c r="D53" s="208"/>
      <c r="E53" s="208"/>
      <c r="F53" s="208"/>
      <c r="G53" s="210"/>
      <c r="H53" s="210"/>
      <c r="M53" s="210"/>
      <c r="U53" s="316"/>
      <c r="V53" s="316"/>
    </row>
  </sheetData>
  <mergeCells>
    <mergeCell ref="A9:F9"/>
    <mergeCell ref="A35:F35"/>
    <mergeCell ref="A37:F37"/>
  </mergeCells>
  <printOptions horizontalCentered="1"/>
  <pageMargins left="0" right="0" top="0.75" bottom="0.75" header="0.3" footer="0.3"/>
  <pageSetup paperSize="9" scale="65" orientation="landscape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1"/>
    <pageSetUpPr fitToPage="1"/>
  </sheetPr>
  <dimension ref="A1:Q64"/>
  <sheetViews>
    <sheetView topLeftCell="A7" zoomScale="70" zoomScaleNormal="70" workbookViewId="0">
      <pane xSplit="2" ySplit="6" topLeftCell="D13" activePane="bottomRight" state="frozen"/>
      <selection pane="topRight"/>
      <selection pane="bottomLeft"/>
      <selection pane="bottomRight" activeCell="M31" sqref="M31"/>
    </sheetView>
  </sheetViews>
  <sheetFormatPr defaultColWidth="9" defaultRowHeight="15"/>
  <cols>
    <col min="1" max="1" width="4.5703125" customWidth="1"/>
    <col min="2" max="2" width="42.85546875" customWidth="1"/>
    <col min="3" max="3" width="42.85546875" customWidth="1"/>
    <col min="4" max="4" width="12.5703125" customWidth="1"/>
    <col min="5" max="5" width="13" customWidth="1"/>
    <col min="6" max="6" width="20.5703125" customWidth="1"/>
    <col min="7" max="7" width="12.5703125" customWidth="1"/>
    <col min="8" max="8" width="34.42578125" customWidth="1"/>
    <col min="9" max="9" width="2.42578125" customWidth="1"/>
    <col min="10" max="10" width="8.28515625" customWidth="1"/>
    <col min="11" max="11" width="11.28515625" customWidth="1"/>
    <col min="12" max="12" width="5" customWidth="1"/>
    <col min="13" max="13" width="13.85546875" customWidth="1"/>
    <col min="14" max="14" width="14.28515625" customWidth="1"/>
    <col min="15" max="15" width="13.85546875" customWidth="1"/>
    <col min="16" max="16" width="27.140625" customWidth="1"/>
    <col min="17" max="257" width="9.140625" customWidth="1"/>
    <col min="258" max="258" width="3.85546875" customWidth="1"/>
    <col min="259" max="259" width="28.42578125" customWidth="1"/>
    <col min="260" max="260" width="10.28515625" customWidth="1"/>
    <col min="261" max="261" width="14" customWidth="1"/>
    <col min="262" max="262" width="13" customWidth="1"/>
    <col min="263" max="263" width="11.140625" customWidth="1"/>
    <col min="264" max="264" width="12.85546875" customWidth="1"/>
    <col min="265" max="265" width="2.42578125" customWidth="1"/>
    <col min="266" max="266" width="7" customWidth="1"/>
    <col min="267" max="267" width="11.28515625" customWidth="1"/>
    <col min="268" max="268" width="5" customWidth="1"/>
    <col min="269" max="269" width="11.28515625" customWidth="1"/>
    <col min="270" max="270" width="14.28515625" customWidth="1"/>
    <col min="271" max="271" width="13.85546875" customWidth="1"/>
    <col min="272" max="513" width="9.140625" customWidth="1"/>
    <col min="514" max="514" width="3.85546875" customWidth="1"/>
    <col min="515" max="515" width="28.42578125" customWidth="1"/>
    <col min="516" max="516" width="10.28515625" customWidth="1"/>
    <col min="517" max="517" width="14" customWidth="1"/>
    <col min="518" max="518" width="13" customWidth="1"/>
    <col min="519" max="519" width="11.140625" customWidth="1"/>
    <col min="520" max="520" width="12.85546875" customWidth="1"/>
    <col min="521" max="521" width="2.42578125" customWidth="1"/>
    <col min="522" max="522" width="7" customWidth="1"/>
    <col min="523" max="523" width="11.28515625" customWidth="1"/>
    <col min="524" max="524" width="5" customWidth="1"/>
    <col min="525" max="525" width="11.28515625" customWidth="1"/>
    <col min="526" max="526" width="14.28515625" customWidth="1"/>
    <col min="527" max="527" width="13.85546875" customWidth="1"/>
    <col min="528" max="769" width="9.140625" customWidth="1"/>
    <col min="770" max="770" width="3.85546875" customWidth="1"/>
    <col min="771" max="771" width="28.42578125" customWidth="1"/>
    <col min="772" max="772" width="10.28515625" customWidth="1"/>
    <col min="773" max="773" width="14" customWidth="1"/>
    <col min="774" max="774" width="13" customWidth="1"/>
    <col min="775" max="775" width="11.140625" customWidth="1"/>
    <col min="776" max="776" width="12.85546875" customWidth="1"/>
    <col min="777" max="777" width="2.42578125" customWidth="1"/>
    <col min="778" max="778" width="7" customWidth="1"/>
    <col min="779" max="779" width="11.28515625" customWidth="1"/>
    <col min="780" max="780" width="5" customWidth="1"/>
    <col min="781" max="781" width="11.28515625" customWidth="1"/>
    <col min="782" max="782" width="14.28515625" customWidth="1"/>
    <col min="783" max="783" width="13.85546875" customWidth="1"/>
    <col min="784" max="1025" width="9.140625" customWidth="1"/>
    <col min="1026" max="1026" width="3.85546875" customWidth="1"/>
    <col min="1027" max="1027" width="28.42578125" customWidth="1"/>
    <col min="1028" max="1028" width="10.28515625" customWidth="1"/>
    <col min="1029" max="1029" width="14" customWidth="1"/>
    <col min="1030" max="1030" width="13" customWidth="1"/>
    <col min="1031" max="1031" width="11.140625" customWidth="1"/>
    <col min="1032" max="1032" width="12.85546875" customWidth="1"/>
    <col min="1033" max="1033" width="2.42578125" customWidth="1"/>
    <col min="1034" max="1034" width="7" customWidth="1"/>
    <col min="1035" max="1035" width="11.28515625" customWidth="1"/>
    <col min="1036" max="1036" width="5" customWidth="1"/>
    <col min="1037" max="1037" width="11.28515625" customWidth="1"/>
    <col min="1038" max="1038" width="14.28515625" customWidth="1"/>
    <col min="1039" max="1039" width="13.85546875" customWidth="1"/>
    <col min="1040" max="1281" width="9.140625" customWidth="1"/>
    <col min="1282" max="1282" width="3.85546875" customWidth="1"/>
    <col min="1283" max="1283" width="28.42578125" customWidth="1"/>
    <col min="1284" max="1284" width="10.28515625" customWidth="1"/>
    <col min="1285" max="1285" width="14" customWidth="1"/>
    <col min="1286" max="1286" width="13" customWidth="1"/>
    <col min="1287" max="1287" width="11.140625" customWidth="1"/>
    <col min="1288" max="1288" width="12.85546875" customWidth="1"/>
    <col min="1289" max="1289" width="2.42578125" customWidth="1"/>
    <col min="1290" max="1290" width="7" customWidth="1"/>
    <col min="1291" max="1291" width="11.28515625" customWidth="1"/>
    <col min="1292" max="1292" width="5" customWidth="1"/>
    <col min="1293" max="1293" width="11.28515625" customWidth="1"/>
    <col min="1294" max="1294" width="14.28515625" customWidth="1"/>
    <col min="1295" max="1295" width="13.85546875" customWidth="1"/>
    <col min="1296" max="1537" width="9.140625" customWidth="1"/>
    <col min="1538" max="1538" width="3.85546875" customWidth="1"/>
    <col min="1539" max="1539" width="28.42578125" customWidth="1"/>
    <col min="1540" max="1540" width="10.28515625" customWidth="1"/>
    <col min="1541" max="1541" width="14" customWidth="1"/>
    <col min="1542" max="1542" width="13" customWidth="1"/>
    <col min="1543" max="1543" width="11.140625" customWidth="1"/>
    <col min="1544" max="1544" width="12.85546875" customWidth="1"/>
    <col min="1545" max="1545" width="2.42578125" customWidth="1"/>
    <col min="1546" max="1546" width="7" customWidth="1"/>
    <col min="1547" max="1547" width="11.28515625" customWidth="1"/>
    <col min="1548" max="1548" width="5" customWidth="1"/>
    <col min="1549" max="1549" width="11.28515625" customWidth="1"/>
    <col min="1550" max="1550" width="14.28515625" customWidth="1"/>
    <col min="1551" max="1551" width="13.85546875" customWidth="1"/>
    <col min="1552" max="1793" width="9.140625" customWidth="1"/>
    <col min="1794" max="1794" width="3.85546875" customWidth="1"/>
    <col min="1795" max="1795" width="28.42578125" customWidth="1"/>
    <col min="1796" max="1796" width="10.28515625" customWidth="1"/>
    <col min="1797" max="1797" width="14" customWidth="1"/>
    <col min="1798" max="1798" width="13" customWidth="1"/>
    <col min="1799" max="1799" width="11.140625" customWidth="1"/>
    <col min="1800" max="1800" width="12.85546875" customWidth="1"/>
    <col min="1801" max="1801" width="2.42578125" customWidth="1"/>
    <col min="1802" max="1802" width="7" customWidth="1"/>
    <col min="1803" max="1803" width="11.28515625" customWidth="1"/>
    <col min="1804" max="1804" width="5" customWidth="1"/>
    <col min="1805" max="1805" width="11.28515625" customWidth="1"/>
    <col min="1806" max="1806" width="14.28515625" customWidth="1"/>
    <col min="1807" max="1807" width="13.85546875" customWidth="1"/>
    <col min="1808" max="2049" width="9.140625" customWidth="1"/>
    <col min="2050" max="2050" width="3.85546875" customWidth="1"/>
    <col min="2051" max="2051" width="28.42578125" customWidth="1"/>
    <col min="2052" max="2052" width="10.28515625" customWidth="1"/>
    <col min="2053" max="2053" width="14" customWidth="1"/>
    <col min="2054" max="2054" width="13" customWidth="1"/>
    <col min="2055" max="2055" width="11.140625" customWidth="1"/>
    <col min="2056" max="2056" width="12.85546875" customWidth="1"/>
    <col min="2057" max="2057" width="2.42578125" customWidth="1"/>
    <col min="2058" max="2058" width="7" customWidth="1"/>
    <col min="2059" max="2059" width="11.28515625" customWidth="1"/>
    <col min="2060" max="2060" width="5" customWidth="1"/>
    <col min="2061" max="2061" width="11.28515625" customWidth="1"/>
    <col min="2062" max="2062" width="14.28515625" customWidth="1"/>
    <col min="2063" max="2063" width="13.85546875" customWidth="1"/>
    <col min="2064" max="2305" width="9.140625" customWidth="1"/>
    <col min="2306" max="2306" width="3.85546875" customWidth="1"/>
    <col min="2307" max="2307" width="28.42578125" customWidth="1"/>
    <col min="2308" max="2308" width="10.28515625" customWidth="1"/>
    <col min="2309" max="2309" width="14" customWidth="1"/>
    <col min="2310" max="2310" width="13" customWidth="1"/>
    <col min="2311" max="2311" width="11.140625" customWidth="1"/>
    <col min="2312" max="2312" width="12.85546875" customWidth="1"/>
    <col min="2313" max="2313" width="2.42578125" customWidth="1"/>
    <col min="2314" max="2314" width="7" customWidth="1"/>
    <col min="2315" max="2315" width="11.28515625" customWidth="1"/>
    <col min="2316" max="2316" width="5" customWidth="1"/>
    <col min="2317" max="2317" width="11.28515625" customWidth="1"/>
    <col min="2318" max="2318" width="14.28515625" customWidth="1"/>
    <col min="2319" max="2319" width="13.85546875" customWidth="1"/>
    <col min="2320" max="2561" width="9.140625" customWidth="1"/>
    <col min="2562" max="2562" width="3.85546875" customWidth="1"/>
    <col min="2563" max="2563" width="28.42578125" customWidth="1"/>
    <col min="2564" max="2564" width="10.28515625" customWidth="1"/>
    <col min="2565" max="2565" width="14" customWidth="1"/>
    <col min="2566" max="2566" width="13" customWidth="1"/>
    <col min="2567" max="2567" width="11.140625" customWidth="1"/>
    <col min="2568" max="2568" width="12.85546875" customWidth="1"/>
    <col min="2569" max="2569" width="2.42578125" customWidth="1"/>
    <col min="2570" max="2570" width="7" customWidth="1"/>
    <col min="2571" max="2571" width="11.28515625" customWidth="1"/>
    <col min="2572" max="2572" width="5" customWidth="1"/>
    <col min="2573" max="2573" width="11.28515625" customWidth="1"/>
    <col min="2574" max="2574" width="14.28515625" customWidth="1"/>
    <col min="2575" max="2575" width="13.85546875" customWidth="1"/>
    <col min="2576" max="2817" width="9.140625" customWidth="1"/>
    <col min="2818" max="2818" width="3.85546875" customWidth="1"/>
    <col min="2819" max="2819" width="28.42578125" customWidth="1"/>
    <col min="2820" max="2820" width="10.28515625" customWidth="1"/>
    <col min="2821" max="2821" width="14" customWidth="1"/>
    <col min="2822" max="2822" width="13" customWidth="1"/>
    <col min="2823" max="2823" width="11.140625" customWidth="1"/>
    <col min="2824" max="2824" width="12.85546875" customWidth="1"/>
    <col min="2825" max="2825" width="2.42578125" customWidth="1"/>
    <col min="2826" max="2826" width="7" customWidth="1"/>
    <col min="2827" max="2827" width="11.28515625" customWidth="1"/>
    <col min="2828" max="2828" width="5" customWidth="1"/>
    <col min="2829" max="2829" width="11.28515625" customWidth="1"/>
    <col min="2830" max="2830" width="14.28515625" customWidth="1"/>
    <col min="2831" max="2831" width="13.85546875" customWidth="1"/>
    <col min="2832" max="3073" width="9.140625" customWidth="1"/>
    <col min="3074" max="3074" width="3.85546875" customWidth="1"/>
    <col min="3075" max="3075" width="28.42578125" customWidth="1"/>
    <col min="3076" max="3076" width="10.28515625" customWidth="1"/>
    <col min="3077" max="3077" width="14" customWidth="1"/>
    <col min="3078" max="3078" width="13" customWidth="1"/>
    <col min="3079" max="3079" width="11.140625" customWidth="1"/>
    <col min="3080" max="3080" width="12.85546875" customWidth="1"/>
    <col min="3081" max="3081" width="2.42578125" customWidth="1"/>
    <col min="3082" max="3082" width="7" customWidth="1"/>
    <col min="3083" max="3083" width="11.28515625" customWidth="1"/>
    <col min="3084" max="3084" width="5" customWidth="1"/>
    <col min="3085" max="3085" width="11.28515625" customWidth="1"/>
    <col min="3086" max="3086" width="14.28515625" customWidth="1"/>
    <col min="3087" max="3087" width="13.85546875" customWidth="1"/>
    <col min="3088" max="3329" width="9.140625" customWidth="1"/>
    <col min="3330" max="3330" width="3.85546875" customWidth="1"/>
    <col min="3331" max="3331" width="28.42578125" customWidth="1"/>
    <col min="3332" max="3332" width="10.28515625" customWidth="1"/>
    <col min="3333" max="3333" width="14" customWidth="1"/>
    <col min="3334" max="3334" width="13" customWidth="1"/>
    <col min="3335" max="3335" width="11.140625" customWidth="1"/>
    <col min="3336" max="3336" width="12.85546875" customWidth="1"/>
    <col min="3337" max="3337" width="2.42578125" customWidth="1"/>
    <col min="3338" max="3338" width="7" customWidth="1"/>
    <col min="3339" max="3339" width="11.28515625" customWidth="1"/>
    <col min="3340" max="3340" width="5" customWidth="1"/>
    <col min="3341" max="3341" width="11.28515625" customWidth="1"/>
    <col min="3342" max="3342" width="14.28515625" customWidth="1"/>
    <col min="3343" max="3343" width="13.85546875" customWidth="1"/>
    <col min="3344" max="3585" width="9.140625" customWidth="1"/>
    <col min="3586" max="3586" width="3.85546875" customWidth="1"/>
    <col min="3587" max="3587" width="28.42578125" customWidth="1"/>
    <col min="3588" max="3588" width="10.28515625" customWidth="1"/>
    <col min="3589" max="3589" width="14" customWidth="1"/>
    <col min="3590" max="3590" width="13" customWidth="1"/>
    <col min="3591" max="3591" width="11.140625" customWidth="1"/>
    <col min="3592" max="3592" width="12.85546875" customWidth="1"/>
    <col min="3593" max="3593" width="2.42578125" customWidth="1"/>
    <col min="3594" max="3594" width="7" customWidth="1"/>
    <col min="3595" max="3595" width="11.28515625" customWidth="1"/>
    <col min="3596" max="3596" width="5" customWidth="1"/>
    <col min="3597" max="3597" width="11.28515625" customWidth="1"/>
    <col min="3598" max="3598" width="14.28515625" customWidth="1"/>
    <col min="3599" max="3599" width="13.85546875" customWidth="1"/>
    <col min="3600" max="3841" width="9.140625" customWidth="1"/>
    <col min="3842" max="3842" width="3.85546875" customWidth="1"/>
    <col min="3843" max="3843" width="28.42578125" customWidth="1"/>
    <col min="3844" max="3844" width="10.28515625" customWidth="1"/>
    <col min="3845" max="3845" width="14" customWidth="1"/>
    <col min="3846" max="3846" width="13" customWidth="1"/>
    <col min="3847" max="3847" width="11.140625" customWidth="1"/>
    <col min="3848" max="3848" width="12.85546875" customWidth="1"/>
    <col min="3849" max="3849" width="2.42578125" customWidth="1"/>
    <col min="3850" max="3850" width="7" customWidth="1"/>
    <col min="3851" max="3851" width="11.28515625" customWidth="1"/>
    <col min="3852" max="3852" width="5" customWidth="1"/>
    <col min="3853" max="3853" width="11.28515625" customWidth="1"/>
    <col min="3854" max="3854" width="14.28515625" customWidth="1"/>
    <col min="3855" max="3855" width="13.85546875" customWidth="1"/>
    <col min="3856" max="4097" width="9.140625" customWidth="1"/>
    <col min="4098" max="4098" width="3.85546875" customWidth="1"/>
    <col min="4099" max="4099" width="28.42578125" customWidth="1"/>
    <col min="4100" max="4100" width="10.28515625" customWidth="1"/>
    <col min="4101" max="4101" width="14" customWidth="1"/>
    <col min="4102" max="4102" width="13" customWidth="1"/>
    <col min="4103" max="4103" width="11.140625" customWidth="1"/>
    <col min="4104" max="4104" width="12.85546875" customWidth="1"/>
    <col min="4105" max="4105" width="2.42578125" customWidth="1"/>
    <col min="4106" max="4106" width="7" customWidth="1"/>
    <col min="4107" max="4107" width="11.28515625" customWidth="1"/>
    <col min="4108" max="4108" width="5" customWidth="1"/>
    <col min="4109" max="4109" width="11.28515625" customWidth="1"/>
    <col min="4110" max="4110" width="14.28515625" customWidth="1"/>
    <col min="4111" max="4111" width="13.85546875" customWidth="1"/>
    <col min="4112" max="4353" width="9.140625" customWidth="1"/>
    <col min="4354" max="4354" width="3.85546875" customWidth="1"/>
    <col min="4355" max="4355" width="28.42578125" customWidth="1"/>
    <col min="4356" max="4356" width="10.28515625" customWidth="1"/>
    <col min="4357" max="4357" width="14" customWidth="1"/>
    <col min="4358" max="4358" width="13" customWidth="1"/>
    <col min="4359" max="4359" width="11.140625" customWidth="1"/>
    <col min="4360" max="4360" width="12.85546875" customWidth="1"/>
    <col min="4361" max="4361" width="2.42578125" customWidth="1"/>
    <col min="4362" max="4362" width="7" customWidth="1"/>
    <col min="4363" max="4363" width="11.28515625" customWidth="1"/>
    <col min="4364" max="4364" width="5" customWidth="1"/>
    <col min="4365" max="4365" width="11.28515625" customWidth="1"/>
    <col min="4366" max="4366" width="14.28515625" customWidth="1"/>
    <col min="4367" max="4367" width="13.85546875" customWidth="1"/>
    <col min="4368" max="4609" width="9.140625" customWidth="1"/>
    <col min="4610" max="4610" width="3.85546875" customWidth="1"/>
    <col min="4611" max="4611" width="28.42578125" customWidth="1"/>
    <col min="4612" max="4612" width="10.28515625" customWidth="1"/>
    <col min="4613" max="4613" width="14" customWidth="1"/>
    <col min="4614" max="4614" width="13" customWidth="1"/>
    <col min="4615" max="4615" width="11.140625" customWidth="1"/>
    <col min="4616" max="4616" width="12.85546875" customWidth="1"/>
    <col min="4617" max="4617" width="2.42578125" customWidth="1"/>
    <col min="4618" max="4618" width="7" customWidth="1"/>
    <col min="4619" max="4619" width="11.28515625" customWidth="1"/>
    <col min="4620" max="4620" width="5" customWidth="1"/>
    <col min="4621" max="4621" width="11.28515625" customWidth="1"/>
    <col min="4622" max="4622" width="14.28515625" customWidth="1"/>
    <col min="4623" max="4623" width="13.85546875" customWidth="1"/>
    <col min="4624" max="4865" width="9.140625" customWidth="1"/>
    <col min="4866" max="4866" width="3.85546875" customWidth="1"/>
    <col min="4867" max="4867" width="28.42578125" customWidth="1"/>
    <col min="4868" max="4868" width="10.28515625" customWidth="1"/>
    <col min="4869" max="4869" width="14" customWidth="1"/>
    <col min="4870" max="4870" width="13" customWidth="1"/>
    <col min="4871" max="4871" width="11.140625" customWidth="1"/>
    <col min="4872" max="4872" width="12.85546875" customWidth="1"/>
    <col min="4873" max="4873" width="2.42578125" customWidth="1"/>
    <col min="4874" max="4874" width="7" customWidth="1"/>
    <col min="4875" max="4875" width="11.28515625" customWidth="1"/>
    <col min="4876" max="4876" width="5" customWidth="1"/>
    <col min="4877" max="4877" width="11.28515625" customWidth="1"/>
    <col min="4878" max="4878" width="14.28515625" customWidth="1"/>
    <col min="4879" max="4879" width="13.85546875" customWidth="1"/>
    <col min="4880" max="5121" width="9.140625" customWidth="1"/>
    <col min="5122" max="5122" width="3.85546875" customWidth="1"/>
    <col min="5123" max="5123" width="28.42578125" customWidth="1"/>
    <col min="5124" max="5124" width="10.28515625" customWidth="1"/>
    <col min="5125" max="5125" width="14" customWidth="1"/>
    <col min="5126" max="5126" width="13" customWidth="1"/>
    <col min="5127" max="5127" width="11.140625" customWidth="1"/>
    <col min="5128" max="5128" width="12.85546875" customWidth="1"/>
    <col min="5129" max="5129" width="2.42578125" customWidth="1"/>
    <col min="5130" max="5130" width="7" customWidth="1"/>
    <col min="5131" max="5131" width="11.28515625" customWidth="1"/>
    <col min="5132" max="5132" width="5" customWidth="1"/>
    <col min="5133" max="5133" width="11.28515625" customWidth="1"/>
    <col min="5134" max="5134" width="14.28515625" customWidth="1"/>
    <col min="5135" max="5135" width="13.85546875" customWidth="1"/>
    <col min="5136" max="5377" width="9.140625" customWidth="1"/>
    <col min="5378" max="5378" width="3.85546875" customWidth="1"/>
    <col min="5379" max="5379" width="28.42578125" customWidth="1"/>
    <col min="5380" max="5380" width="10.28515625" customWidth="1"/>
    <col min="5381" max="5381" width="14" customWidth="1"/>
    <col min="5382" max="5382" width="13" customWidth="1"/>
    <col min="5383" max="5383" width="11.140625" customWidth="1"/>
    <col min="5384" max="5384" width="12.85546875" customWidth="1"/>
    <col min="5385" max="5385" width="2.42578125" customWidth="1"/>
    <col min="5386" max="5386" width="7" customWidth="1"/>
    <col min="5387" max="5387" width="11.28515625" customWidth="1"/>
    <col min="5388" max="5388" width="5" customWidth="1"/>
    <col min="5389" max="5389" width="11.28515625" customWidth="1"/>
    <col min="5390" max="5390" width="14.28515625" customWidth="1"/>
    <col min="5391" max="5391" width="13.85546875" customWidth="1"/>
    <col min="5392" max="5633" width="9.140625" customWidth="1"/>
    <col min="5634" max="5634" width="3.85546875" customWidth="1"/>
    <col min="5635" max="5635" width="28.42578125" customWidth="1"/>
    <col min="5636" max="5636" width="10.28515625" customWidth="1"/>
    <col min="5637" max="5637" width="14" customWidth="1"/>
    <col min="5638" max="5638" width="13" customWidth="1"/>
    <col min="5639" max="5639" width="11.140625" customWidth="1"/>
    <col min="5640" max="5640" width="12.85546875" customWidth="1"/>
    <col min="5641" max="5641" width="2.42578125" customWidth="1"/>
    <col min="5642" max="5642" width="7" customWidth="1"/>
    <col min="5643" max="5643" width="11.28515625" customWidth="1"/>
    <col min="5644" max="5644" width="5" customWidth="1"/>
    <col min="5645" max="5645" width="11.28515625" customWidth="1"/>
    <col min="5646" max="5646" width="14.28515625" customWidth="1"/>
    <col min="5647" max="5647" width="13.85546875" customWidth="1"/>
    <col min="5648" max="5889" width="9.140625" customWidth="1"/>
    <col min="5890" max="5890" width="3.85546875" customWidth="1"/>
    <col min="5891" max="5891" width="28.42578125" customWidth="1"/>
    <col min="5892" max="5892" width="10.28515625" customWidth="1"/>
    <col min="5893" max="5893" width="14" customWidth="1"/>
    <col min="5894" max="5894" width="13" customWidth="1"/>
    <col min="5895" max="5895" width="11.140625" customWidth="1"/>
    <col min="5896" max="5896" width="12.85546875" customWidth="1"/>
    <col min="5897" max="5897" width="2.42578125" customWidth="1"/>
    <col min="5898" max="5898" width="7" customWidth="1"/>
    <col min="5899" max="5899" width="11.28515625" customWidth="1"/>
    <col min="5900" max="5900" width="5" customWidth="1"/>
    <col min="5901" max="5901" width="11.28515625" customWidth="1"/>
    <col min="5902" max="5902" width="14.28515625" customWidth="1"/>
    <col min="5903" max="5903" width="13.85546875" customWidth="1"/>
    <col min="5904" max="6145" width="9.140625" customWidth="1"/>
    <col min="6146" max="6146" width="3.85546875" customWidth="1"/>
    <col min="6147" max="6147" width="28.42578125" customWidth="1"/>
    <col min="6148" max="6148" width="10.28515625" customWidth="1"/>
    <col min="6149" max="6149" width="14" customWidth="1"/>
    <col min="6150" max="6150" width="13" customWidth="1"/>
    <col min="6151" max="6151" width="11.140625" customWidth="1"/>
    <col min="6152" max="6152" width="12.85546875" customWidth="1"/>
    <col min="6153" max="6153" width="2.42578125" customWidth="1"/>
    <col min="6154" max="6154" width="7" customWidth="1"/>
    <col min="6155" max="6155" width="11.28515625" customWidth="1"/>
    <col min="6156" max="6156" width="5" customWidth="1"/>
    <col min="6157" max="6157" width="11.28515625" customWidth="1"/>
    <col min="6158" max="6158" width="14.28515625" customWidth="1"/>
    <col min="6159" max="6159" width="13.85546875" customWidth="1"/>
    <col min="6160" max="6401" width="9.140625" customWidth="1"/>
    <col min="6402" max="6402" width="3.85546875" customWidth="1"/>
    <col min="6403" max="6403" width="28.42578125" customWidth="1"/>
    <col min="6404" max="6404" width="10.28515625" customWidth="1"/>
    <col min="6405" max="6405" width="14" customWidth="1"/>
    <col min="6406" max="6406" width="13" customWidth="1"/>
    <col min="6407" max="6407" width="11.140625" customWidth="1"/>
    <col min="6408" max="6408" width="12.85546875" customWidth="1"/>
    <col min="6409" max="6409" width="2.42578125" customWidth="1"/>
    <col min="6410" max="6410" width="7" customWidth="1"/>
    <col min="6411" max="6411" width="11.28515625" customWidth="1"/>
    <col min="6412" max="6412" width="5" customWidth="1"/>
    <col min="6413" max="6413" width="11.28515625" customWidth="1"/>
    <col min="6414" max="6414" width="14.28515625" customWidth="1"/>
    <col min="6415" max="6415" width="13.85546875" customWidth="1"/>
    <col min="6416" max="6657" width="9.140625" customWidth="1"/>
    <col min="6658" max="6658" width="3.85546875" customWidth="1"/>
    <col min="6659" max="6659" width="28.42578125" customWidth="1"/>
    <col min="6660" max="6660" width="10.28515625" customWidth="1"/>
    <col min="6661" max="6661" width="14" customWidth="1"/>
    <col min="6662" max="6662" width="13" customWidth="1"/>
    <col min="6663" max="6663" width="11.140625" customWidth="1"/>
    <col min="6664" max="6664" width="12.85546875" customWidth="1"/>
    <col min="6665" max="6665" width="2.42578125" customWidth="1"/>
    <col min="6666" max="6666" width="7" customWidth="1"/>
    <col min="6667" max="6667" width="11.28515625" customWidth="1"/>
    <col min="6668" max="6668" width="5" customWidth="1"/>
    <col min="6669" max="6669" width="11.28515625" customWidth="1"/>
    <col min="6670" max="6670" width="14.28515625" customWidth="1"/>
    <col min="6671" max="6671" width="13.85546875" customWidth="1"/>
    <col min="6672" max="6913" width="9.140625" customWidth="1"/>
    <col min="6914" max="6914" width="3.85546875" customWidth="1"/>
    <col min="6915" max="6915" width="28.42578125" customWidth="1"/>
    <col min="6916" max="6916" width="10.28515625" customWidth="1"/>
    <col min="6917" max="6917" width="14" customWidth="1"/>
    <col min="6918" max="6918" width="13" customWidth="1"/>
    <col min="6919" max="6919" width="11.140625" customWidth="1"/>
    <col min="6920" max="6920" width="12.85546875" customWidth="1"/>
    <col min="6921" max="6921" width="2.42578125" customWidth="1"/>
    <col min="6922" max="6922" width="7" customWidth="1"/>
    <col min="6923" max="6923" width="11.28515625" customWidth="1"/>
    <col min="6924" max="6924" width="5" customWidth="1"/>
    <col min="6925" max="6925" width="11.28515625" customWidth="1"/>
    <col min="6926" max="6926" width="14.28515625" customWidth="1"/>
    <col min="6927" max="6927" width="13.85546875" customWidth="1"/>
    <col min="6928" max="7169" width="9.140625" customWidth="1"/>
    <col min="7170" max="7170" width="3.85546875" customWidth="1"/>
    <col min="7171" max="7171" width="28.42578125" customWidth="1"/>
    <col min="7172" max="7172" width="10.28515625" customWidth="1"/>
    <col min="7173" max="7173" width="14" customWidth="1"/>
    <col min="7174" max="7174" width="13" customWidth="1"/>
    <col min="7175" max="7175" width="11.140625" customWidth="1"/>
    <col min="7176" max="7176" width="12.85546875" customWidth="1"/>
    <col min="7177" max="7177" width="2.42578125" customWidth="1"/>
    <col min="7178" max="7178" width="7" customWidth="1"/>
    <col min="7179" max="7179" width="11.28515625" customWidth="1"/>
    <col min="7180" max="7180" width="5" customWidth="1"/>
    <col min="7181" max="7181" width="11.28515625" customWidth="1"/>
    <col min="7182" max="7182" width="14.28515625" customWidth="1"/>
    <col min="7183" max="7183" width="13.85546875" customWidth="1"/>
    <col min="7184" max="7425" width="9.140625" customWidth="1"/>
    <col min="7426" max="7426" width="3.85546875" customWidth="1"/>
    <col min="7427" max="7427" width="28.42578125" customWidth="1"/>
    <col min="7428" max="7428" width="10.28515625" customWidth="1"/>
    <col min="7429" max="7429" width="14" customWidth="1"/>
    <col min="7430" max="7430" width="13" customWidth="1"/>
    <col min="7431" max="7431" width="11.140625" customWidth="1"/>
    <col min="7432" max="7432" width="12.85546875" customWidth="1"/>
    <col min="7433" max="7433" width="2.42578125" customWidth="1"/>
    <col min="7434" max="7434" width="7" customWidth="1"/>
    <col min="7435" max="7435" width="11.28515625" customWidth="1"/>
    <col min="7436" max="7436" width="5" customWidth="1"/>
    <col min="7437" max="7437" width="11.28515625" customWidth="1"/>
    <col min="7438" max="7438" width="14.28515625" customWidth="1"/>
    <col min="7439" max="7439" width="13.85546875" customWidth="1"/>
    <col min="7440" max="7681" width="9.140625" customWidth="1"/>
    <col min="7682" max="7682" width="3.85546875" customWidth="1"/>
    <col min="7683" max="7683" width="28.42578125" customWidth="1"/>
    <col min="7684" max="7684" width="10.28515625" customWidth="1"/>
    <col min="7685" max="7685" width="14" customWidth="1"/>
    <col min="7686" max="7686" width="13" customWidth="1"/>
    <col min="7687" max="7687" width="11.140625" customWidth="1"/>
    <col min="7688" max="7688" width="12.85546875" customWidth="1"/>
    <col min="7689" max="7689" width="2.42578125" customWidth="1"/>
    <col min="7690" max="7690" width="7" customWidth="1"/>
    <col min="7691" max="7691" width="11.28515625" customWidth="1"/>
    <col min="7692" max="7692" width="5" customWidth="1"/>
    <col min="7693" max="7693" width="11.28515625" customWidth="1"/>
    <col min="7694" max="7694" width="14.28515625" customWidth="1"/>
    <col min="7695" max="7695" width="13.85546875" customWidth="1"/>
    <col min="7696" max="7937" width="9.140625" customWidth="1"/>
    <col min="7938" max="7938" width="3.85546875" customWidth="1"/>
    <col min="7939" max="7939" width="28.42578125" customWidth="1"/>
    <col min="7940" max="7940" width="10.28515625" customWidth="1"/>
    <col min="7941" max="7941" width="14" customWidth="1"/>
    <col min="7942" max="7942" width="13" customWidth="1"/>
    <col min="7943" max="7943" width="11.140625" customWidth="1"/>
    <col min="7944" max="7944" width="12.85546875" customWidth="1"/>
    <col min="7945" max="7945" width="2.42578125" customWidth="1"/>
    <col min="7946" max="7946" width="7" customWidth="1"/>
    <col min="7947" max="7947" width="11.28515625" customWidth="1"/>
    <col min="7948" max="7948" width="5" customWidth="1"/>
    <col min="7949" max="7949" width="11.28515625" customWidth="1"/>
    <col min="7950" max="7950" width="14.28515625" customWidth="1"/>
    <col min="7951" max="7951" width="13.85546875" customWidth="1"/>
    <col min="7952" max="8193" width="9.140625" customWidth="1"/>
    <col min="8194" max="8194" width="3.85546875" customWidth="1"/>
    <col min="8195" max="8195" width="28.42578125" customWidth="1"/>
    <col min="8196" max="8196" width="10.28515625" customWidth="1"/>
    <col min="8197" max="8197" width="14" customWidth="1"/>
    <col min="8198" max="8198" width="13" customWidth="1"/>
    <col min="8199" max="8199" width="11.140625" customWidth="1"/>
    <col min="8200" max="8200" width="12.85546875" customWidth="1"/>
    <col min="8201" max="8201" width="2.42578125" customWidth="1"/>
    <col min="8202" max="8202" width="7" customWidth="1"/>
    <col min="8203" max="8203" width="11.28515625" customWidth="1"/>
    <col min="8204" max="8204" width="5" customWidth="1"/>
    <col min="8205" max="8205" width="11.28515625" customWidth="1"/>
    <col min="8206" max="8206" width="14.28515625" customWidth="1"/>
    <col min="8207" max="8207" width="13.85546875" customWidth="1"/>
    <col min="8208" max="8449" width="9.140625" customWidth="1"/>
    <col min="8450" max="8450" width="3.85546875" customWidth="1"/>
    <col min="8451" max="8451" width="28.42578125" customWidth="1"/>
    <col min="8452" max="8452" width="10.28515625" customWidth="1"/>
    <col min="8453" max="8453" width="14" customWidth="1"/>
    <col min="8454" max="8454" width="13" customWidth="1"/>
    <col min="8455" max="8455" width="11.140625" customWidth="1"/>
    <col min="8456" max="8456" width="12.85546875" customWidth="1"/>
    <col min="8457" max="8457" width="2.42578125" customWidth="1"/>
    <col min="8458" max="8458" width="7" customWidth="1"/>
    <col min="8459" max="8459" width="11.28515625" customWidth="1"/>
    <col min="8460" max="8460" width="5" customWidth="1"/>
    <col min="8461" max="8461" width="11.28515625" customWidth="1"/>
    <col min="8462" max="8462" width="14.28515625" customWidth="1"/>
    <col min="8463" max="8463" width="13.85546875" customWidth="1"/>
    <col min="8464" max="8705" width="9.140625" customWidth="1"/>
    <col min="8706" max="8706" width="3.85546875" customWidth="1"/>
    <col min="8707" max="8707" width="28.42578125" customWidth="1"/>
    <col min="8708" max="8708" width="10.28515625" customWidth="1"/>
    <col min="8709" max="8709" width="14" customWidth="1"/>
    <col min="8710" max="8710" width="13" customWidth="1"/>
    <col min="8711" max="8711" width="11.140625" customWidth="1"/>
    <col min="8712" max="8712" width="12.85546875" customWidth="1"/>
    <col min="8713" max="8713" width="2.42578125" customWidth="1"/>
    <col min="8714" max="8714" width="7" customWidth="1"/>
    <col min="8715" max="8715" width="11.28515625" customWidth="1"/>
    <col min="8716" max="8716" width="5" customWidth="1"/>
    <col min="8717" max="8717" width="11.28515625" customWidth="1"/>
    <col min="8718" max="8718" width="14.28515625" customWidth="1"/>
    <col min="8719" max="8719" width="13.85546875" customWidth="1"/>
    <col min="8720" max="8961" width="9.140625" customWidth="1"/>
    <col min="8962" max="8962" width="3.85546875" customWidth="1"/>
    <col min="8963" max="8963" width="28.42578125" customWidth="1"/>
    <col min="8964" max="8964" width="10.28515625" customWidth="1"/>
    <col min="8965" max="8965" width="14" customWidth="1"/>
    <col min="8966" max="8966" width="13" customWidth="1"/>
    <col min="8967" max="8967" width="11.140625" customWidth="1"/>
    <col min="8968" max="8968" width="12.85546875" customWidth="1"/>
    <col min="8969" max="8969" width="2.42578125" customWidth="1"/>
    <col min="8970" max="8970" width="7" customWidth="1"/>
    <col min="8971" max="8971" width="11.28515625" customWidth="1"/>
    <col min="8972" max="8972" width="5" customWidth="1"/>
    <col min="8973" max="8973" width="11.28515625" customWidth="1"/>
    <col min="8974" max="8974" width="14.28515625" customWidth="1"/>
    <col min="8975" max="8975" width="13.85546875" customWidth="1"/>
    <col min="8976" max="9217" width="9.140625" customWidth="1"/>
    <col min="9218" max="9218" width="3.85546875" customWidth="1"/>
    <col min="9219" max="9219" width="28.42578125" customWidth="1"/>
    <col min="9220" max="9220" width="10.28515625" customWidth="1"/>
    <col min="9221" max="9221" width="14" customWidth="1"/>
    <col min="9222" max="9222" width="13" customWidth="1"/>
    <col min="9223" max="9223" width="11.140625" customWidth="1"/>
    <col min="9224" max="9224" width="12.85546875" customWidth="1"/>
    <col min="9225" max="9225" width="2.42578125" customWidth="1"/>
    <col min="9226" max="9226" width="7" customWidth="1"/>
    <col min="9227" max="9227" width="11.28515625" customWidth="1"/>
    <col min="9228" max="9228" width="5" customWidth="1"/>
    <col min="9229" max="9229" width="11.28515625" customWidth="1"/>
    <col min="9230" max="9230" width="14.28515625" customWidth="1"/>
    <col min="9231" max="9231" width="13.85546875" customWidth="1"/>
    <col min="9232" max="9473" width="9.140625" customWidth="1"/>
    <col min="9474" max="9474" width="3.85546875" customWidth="1"/>
    <col min="9475" max="9475" width="28.42578125" customWidth="1"/>
    <col min="9476" max="9476" width="10.28515625" customWidth="1"/>
    <col min="9477" max="9477" width="14" customWidth="1"/>
    <col min="9478" max="9478" width="13" customWidth="1"/>
    <col min="9479" max="9479" width="11.140625" customWidth="1"/>
    <col min="9480" max="9480" width="12.85546875" customWidth="1"/>
    <col min="9481" max="9481" width="2.42578125" customWidth="1"/>
    <col min="9482" max="9482" width="7" customWidth="1"/>
    <col min="9483" max="9483" width="11.28515625" customWidth="1"/>
    <col min="9484" max="9484" width="5" customWidth="1"/>
    <col min="9485" max="9485" width="11.28515625" customWidth="1"/>
    <col min="9486" max="9486" width="14.28515625" customWidth="1"/>
    <col min="9487" max="9487" width="13.85546875" customWidth="1"/>
    <col min="9488" max="9729" width="9.140625" customWidth="1"/>
    <col min="9730" max="9730" width="3.85546875" customWidth="1"/>
    <col min="9731" max="9731" width="28.42578125" customWidth="1"/>
    <col min="9732" max="9732" width="10.28515625" customWidth="1"/>
    <col min="9733" max="9733" width="14" customWidth="1"/>
    <col min="9734" max="9734" width="13" customWidth="1"/>
    <col min="9735" max="9735" width="11.140625" customWidth="1"/>
    <col min="9736" max="9736" width="12.85546875" customWidth="1"/>
    <col min="9737" max="9737" width="2.42578125" customWidth="1"/>
    <col min="9738" max="9738" width="7" customWidth="1"/>
    <col min="9739" max="9739" width="11.28515625" customWidth="1"/>
    <col min="9740" max="9740" width="5" customWidth="1"/>
    <col min="9741" max="9741" width="11.28515625" customWidth="1"/>
    <col min="9742" max="9742" width="14.28515625" customWidth="1"/>
    <col min="9743" max="9743" width="13.85546875" customWidth="1"/>
    <col min="9744" max="9985" width="9.140625" customWidth="1"/>
    <col min="9986" max="9986" width="3.85546875" customWidth="1"/>
    <col min="9987" max="9987" width="28.42578125" customWidth="1"/>
    <col min="9988" max="9988" width="10.28515625" customWidth="1"/>
    <col min="9989" max="9989" width="14" customWidth="1"/>
    <col min="9990" max="9990" width="13" customWidth="1"/>
    <col min="9991" max="9991" width="11.140625" customWidth="1"/>
    <col min="9992" max="9992" width="12.85546875" customWidth="1"/>
    <col min="9993" max="9993" width="2.42578125" customWidth="1"/>
    <col min="9994" max="9994" width="7" customWidth="1"/>
    <col min="9995" max="9995" width="11.28515625" customWidth="1"/>
    <col min="9996" max="9996" width="5" customWidth="1"/>
    <col min="9997" max="9997" width="11.28515625" customWidth="1"/>
    <col min="9998" max="9998" width="14.28515625" customWidth="1"/>
    <col min="9999" max="9999" width="13.85546875" customWidth="1"/>
    <col min="10000" max="10241" width="9.140625" customWidth="1"/>
    <col min="10242" max="10242" width="3.85546875" customWidth="1"/>
    <col min="10243" max="10243" width="28.42578125" customWidth="1"/>
    <col min="10244" max="10244" width="10.28515625" customWidth="1"/>
    <col min="10245" max="10245" width="14" customWidth="1"/>
    <col min="10246" max="10246" width="13" customWidth="1"/>
    <col min="10247" max="10247" width="11.140625" customWidth="1"/>
    <col min="10248" max="10248" width="12.85546875" customWidth="1"/>
    <col min="10249" max="10249" width="2.42578125" customWidth="1"/>
    <col min="10250" max="10250" width="7" customWidth="1"/>
    <col min="10251" max="10251" width="11.28515625" customWidth="1"/>
    <col min="10252" max="10252" width="5" customWidth="1"/>
    <col min="10253" max="10253" width="11.28515625" customWidth="1"/>
    <col min="10254" max="10254" width="14.28515625" customWidth="1"/>
    <col min="10255" max="10255" width="13.85546875" customWidth="1"/>
    <col min="10256" max="10497" width="9.140625" customWidth="1"/>
    <col min="10498" max="10498" width="3.85546875" customWidth="1"/>
    <col min="10499" max="10499" width="28.42578125" customWidth="1"/>
    <col min="10500" max="10500" width="10.28515625" customWidth="1"/>
    <col min="10501" max="10501" width="14" customWidth="1"/>
    <col min="10502" max="10502" width="13" customWidth="1"/>
    <col min="10503" max="10503" width="11.140625" customWidth="1"/>
    <col min="10504" max="10504" width="12.85546875" customWidth="1"/>
    <col min="10505" max="10505" width="2.42578125" customWidth="1"/>
    <col min="10506" max="10506" width="7" customWidth="1"/>
    <col min="10507" max="10507" width="11.28515625" customWidth="1"/>
    <col min="10508" max="10508" width="5" customWidth="1"/>
    <col min="10509" max="10509" width="11.28515625" customWidth="1"/>
    <col min="10510" max="10510" width="14.28515625" customWidth="1"/>
    <col min="10511" max="10511" width="13.85546875" customWidth="1"/>
    <col min="10512" max="10753" width="9.140625" customWidth="1"/>
    <col min="10754" max="10754" width="3.85546875" customWidth="1"/>
    <col min="10755" max="10755" width="28.42578125" customWidth="1"/>
    <col min="10756" max="10756" width="10.28515625" customWidth="1"/>
    <col min="10757" max="10757" width="14" customWidth="1"/>
    <col min="10758" max="10758" width="13" customWidth="1"/>
    <col min="10759" max="10759" width="11.140625" customWidth="1"/>
    <col min="10760" max="10760" width="12.85546875" customWidth="1"/>
    <col min="10761" max="10761" width="2.42578125" customWidth="1"/>
    <col min="10762" max="10762" width="7" customWidth="1"/>
    <col min="10763" max="10763" width="11.28515625" customWidth="1"/>
    <col min="10764" max="10764" width="5" customWidth="1"/>
    <col min="10765" max="10765" width="11.28515625" customWidth="1"/>
    <col min="10766" max="10766" width="14.28515625" customWidth="1"/>
    <col min="10767" max="10767" width="13.85546875" customWidth="1"/>
    <col min="10768" max="11009" width="9.140625" customWidth="1"/>
    <col min="11010" max="11010" width="3.85546875" customWidth="1"/>
    <col min="11011" max="11011" width="28.42578125" customWidth="1"/>
    <col min="11012" max="11012" width="10.28515625" customWidth="1"/>
    <col min="11013" max="11013" width="14" customWidth="1"/>
    <col min="11014" max="11014" width="13" customWidth="1"/>
    <col min="11015" max="11015" width="11.140625" customWidth="1"/>
    <col min="11016" max="11016" width="12.85546875" customWidth="1"/>
    <col min="11017" max="11017" width="2.42578125" customWidth="1"/>
    <col min="11018" max="11018" width="7" customWidth="1"/>
    <col min="11019" max="11019" width="11.28515625" customWidth="1"/>
    <col min="11020" max="11020" width="5" customWidth="1"/>
    <col min="11021" max="11021" width="11.28515625" customWidth="1"/>
    <col min="11022" max="11022" width="14.28515625" customWidth="1"/>
    <col min="11023" max="11023" width="13.85546875" customWidth="1"/>
    <col min="11024" max="11265" width="9.140625" customWidth="1"/>
    <col min="11266" max="11266" width="3.85546875" customWidth="1"/>
    <col min="11267" max="11267" width="28.42578125" customWidth="1"/>
    <col min="11268" max="11268" width="10.28515625" customWidth="1"/>
    <col min="11269" max="11269" width="14" customWidth="1"/>
    <col min="11270" max="11270" width="13" customWidth="1"/>
    <col min="11271" max="11271" width="11.140625" customWidth="1"/>
    <col min="11272" max="11272" width="12.85546875" customWidth="1"/>
    <col min="11273" max="11273" width="2.42578125" customWidth="1"/>
    <col min="11274" max="11274" width="7" customWidth="1"/>
    <col min="11275" max="11275" width="11.28515625" customWidth="1"/>
    <col min="11276" max="11276" width="5" customWidth="1"/>
    <col min="11277" max="11277" width="11.28515625" customWidth="1"/>
    <col min="11278" max="11278" width="14.28515625" customWidth="1"/>
    <col min="11279" max="11279" width="13.85546875" customWidth="1"/>
    <col min="11280" max="11521" width="9.140625" customWidth="1"/>
    <col min="11522" max="11522" width="3.85546875" customWidth="1"/>
    <col min="11523" max="11523" width="28.42578125" customWidth="1"/>
    <col min="11524" max="11524" width="10.28515625" customWidth="1"/>
    <col min="11525" max="11525" width="14" customWidth="1"/>
    <col min="11526" max="11526" width="13" customWidth="1"/>
    <col min="11527" max="11527" width="11.140625" customWidth="1"/>
    <col min="11528" max="11528" width="12.85546875" customWidth="1"/>
    <col min="11529" max="11529" width="2.42578125" customWidth="1"/>
    <col min="11530" max="11530" width="7" customWidth="1"/>
    <col min="11531" max="11531" width="11.28515625" customWidth="1"/>
    <col min="11532" max="11532" width="5" customWidth="1"/>
    <col min="11533" max="11533" width="11.28515625" customWidth="1"/>
    <col min="11534" max="11534" width="14.28515625" customWidth="1"/>
    <col min="11535" max="11535" width="13.85546875" customWidth="1"/>
    <col min="11536" max="11777" width="9.140625" customWidth="1"/>
    <col min="11778" max="11778" width="3.85546875" customWidth="1"/>
    <col min="11779" max="11779" width="28.42578125" customWidth="1"/>
    <col min="11780" max="11780" width="10.28515625" customWidth="1"/>
    <col min="11781" max="11781" width="14" customWidth="1"/>
    <col min="11782" max="11782" width="13" customWidth="1"/>
    <col min="11783" max="11783" width="11.140625" customWidth="1"/>
    <col min="11784" max="11784" width="12.85546875" customWidth="1"/>
    <col min="11785" max="11785" width="2.42578125" customWidth="1"/>
    <col min="11786" max="11786" width="7" customWidth="1"/>
    <col min="11787" max="11787" width="11.28515625" customWidth="1"/>
    <col min="11788" max="11788" width="5" customWidth="1"/>
    <col min="11789" max="11789" width="11.28515625" customWidth="1"/>
    <col min="11790" max="11790" width="14.28515625" customWidth="1"/>
    <col min="11791" max="11791" width="13.85546875" customWidth="1"/>
    <col min="11792" max="12033" width="9.140625" customWidth="1"/>
    <col min="12034" max="12034" width="3.85546875" customWidth="1"/>
    <col min="12035" max="12035" width="28.42578125" customWidth="1"/>
    <col min="12036" max="12036" width="10.28515625" customWidth="1"/>
    <col min="12037" max="12037" width="14" customWidth="1"/>
    <col min="12038" max="12038" width="13" customWidth="1"/>
    <col min="12039" max="12039" width="11.140625" customWidth="1"/>
    <col min="12040" max="12040" width="12.85546875" customWidth="1"/>
    <col min="12041" max="12041" width="2.42578125" customWidth="1"/>
    <col min="12042" max="12042" width="7" customWidth="1"/>
    <col min="12043" max="12043" width="11.28515625" customWidth="1"/>
    <col min="12044" max="12044" width="5" customWidth="1"/>
    <col min="12045" max="12045" width="11.28515625" customWidth="1"/>
    <col min="12046" max="12046" width="14.28515625" customWidth="1"/>
    <col min="12047" max="12047" width="13.85546875" customWidth="1"/>
    <col min="12048" max="12289" width="9.140625" customWidth="1"/>
    <col min="12290" max="12290" width="3.85546875" customWidth="1"/>
    <col min="12291" max="12291" width="28.42578125" customWidth="1"/>
    <col min="12292" max="12292" width="10.28515625" customWidth="1"/>
    <col min="12293" max="12293" width="14" customWidth="1"/>
    <col min="12294" max="12294" width="13" customWidth="1"/>
    <col min="12295" max="12295" width="11.140625" customWidth="1"/>
    <col min="12296" max="12296" width="12.85546875" customWidth="1"/>
    <col min="12297" max="12297" width="2.42578125" customWidth="1"/>
    <col min="12298" max="12298" width="7" customWidth="1"/>
    <col min="12299" max="12299" width="11.28515625" customWidth="1"/>
    <col min="12300" max="12300" width="5" customWidth="1"/>
    <col min="12301" max="12301" width="11.28515625" customWidth="1"/>
    <col min="12302" max="12302" width="14.28515625" customWidth="1"/>
    <col min="12303" max="12303" width="13.85546875" customWidth="1"/>
    <col min="12304" max="12545" width="9.140625" customWidth="1"/>
    <col min="12546" max="12546" width="3.85546875" customWidth="1"/>
    <col min="12547" max="12547" width="28.42578125" customWidth="1"/>
    <col min="12548" max="12548" width="10.28515625" customWidth="1"/>
    <col min="12549" max="12549" width="14" customWidth="1"/>
    <col min="12550" max="12550" width="13" customWidth="1"/>
    <col min="12551" max="12551" width="11.140625" customWidth="1"/>
    <col min="12552" max="12552" width="12.85546875" customWidth="1"/>
    <col min="12553" max="12553" width="2.42578125" customWidth="1"/>
    <col min="12554" max="12554" width="7" customWidth="1"/>
    <col min="12555" max="12555" width="11.28515625" customWidth="1"/>
    <col min="12556" max="12556" width="5" customWidth="1"/>
    <col min="12557" max="12557" width="11.28515625" customWidth="1"/>
    <col min="12558" max="12558" width="14.28515625" customWidth="1"/>
    <col min="12559" max="12559" width="13.85546875" customWidth="1"/>
    <col min="12560" max="12801" width="9.140625" customWidth="1"/>
    <col min="12802" max="12802" width="3.85546875" customWidth="1"/>
    <col min="12803" max="12803" width="28.42578125" customWidth="1"/>
    <col min="12804" max="12804" width="10.28515625" customWidth="1"/>
    <col min="12805" max="12805" width="14" customWidth="1"/>
    <col min="12806" max="12806" width="13" customWidth="1"/>
    <col min="12807" max="12807" width="11.140625" customWidth="1"/>
    <col min="12808" max="12808" width="12.85546875" customWidth="1"/>
    <col min="12809" max="12809" width="2.42578125" customWidth="1"/>
    <col min="12810" max="12810" width="7" customWidth="1"/>
    <col min="12811" max="12811" width="11.28515625" customWidth="1"/>
    <col min="12812" max="12812" width="5" customWidth="1"/>
    <col min="12813" max="12813" width="11.28515625" customWidth="1"/>
    <col min="12814" max="12814" width="14.28515625" customWidth="1"/>
    <col min="12815" max="12815" width="13.85546875" customWidth="1"/>
    <col min="12816" max="13057" width="9.140625" customWidth="1"/>
    <col min="13058" max="13058" width="3.85546875" customWidth="1"/>
    <col min="13059" max="13059" width="28.42578125" customWidth="1"/>
    <col min="13060" max="13060" width="10.28515625" customWidth="1"/>
    <col min="13061" max="13061" width="14" customWidth="1"/>
    <col min="13062" max="13062" width="13" customWidth="1"/>
    <col min="13063" max="13063" width="11.140625" customWidth="1"/>
    <col min="13064" max="13064" width="12.85546875" customWidth="1"/>
    <col min="13065" max="13065" width="2.42578125" customWidth="1"/>
    <col min="13066" max="13066" width="7" customWidth="1"/>
    <col min="13067" max="13067" width="11.28515625" customWidth="1"/>
    <col min="13068" max="13068" width="5" customWidth="1"/>
    <col min="13069" max="13069" width="11.28515625" customWidth="1"/>
    <col min="13070" max="13070" width="14.28515625" customWidth="1"/>
    <col min="13071" max="13071" width="13.85546875" customWidth="1"/>
    <col min="13072" max="13313" width="9.140625" customWidth="1"/>
    <col min="13314" max="13314" width="3.85546875" customWidth="1"/>
    <col min="13315" max="13315" width="28.42578125" customWidth="1"/>
    <col min="13316" max="13316" width="10.28515625" customWidth="1"/>
    <col min="13317" max="13317" width="14" customWidth="1"/>
    <col min="13318" max="13318" width="13" customWidth="1"/>
    <col min="13319" max="13319" width="11.140625" customWidth="1"/>
    <col min="13320" max="13320" width="12.85546875" customWidth="1"/>
    <col min="13321" max="13321" width="2.42578125" customWidth="1"/>
    <col min="13322" max="13322" width="7" customWidth="1"/>
    <col min="13323" max="13323" width="11.28515625" customWidth="1"/>
    <col min="13324" max="13324" width="5" customWidth="1"/>
    <col min="13325" max="13325" width="11.28515625" customWidth="1"/>
    <col min="13326" max="13326" width="14.28515625" customWidth="1"/>
    <col min="13327" max="13327" width="13.85546875" customWidth="1"/>
    <col min="13328" max="13569" width="9.140625" customWidth="1"/>
    <col min="13570" max="13570" width="3.85546875" customWidth="1"/>
    <col min="13571" max="13571" width="28.42578125" customWidth="1"/>
    <col min="13572" max="13572" width="10.28515625" customWidth="1"/>
    <col min="13573" max="13573" width="14" customWidth="1"/>
    <col min="13574" max="13574" width="13" customWidth="1"/>
    <col min="13575" max="13575" width="11.140625" customWidth="1"/>
    <col min="13576" max="13576" width="12.85546875" customWidth="1"/>
    <col min="13577" max="13577" width="2.42578125" customWidth="1"/>
    <col min="13578" max="13578" width="7" customWidth="1"/>
    <col min="13579" max="13579" width="11.28515625" customWidth="1"/>
    <col min="13580" max="13580" width="5" customWidth="1"/>
    <col min="13581" max="13581" width="11.28515625" customWidth="1"/>
    <col min="13582" max="13582" width="14.28515625" customWidth="1"/>
    <col min="13583" max="13583" width="13.85546875" customWidth="1"/>
    <col min="13584" max="13825" width="9.140625" customWidth="1"/>
    <col min="13826" max="13826" width="3.85546875" customWidth="1"/>
    <col min="13827" max="13827" width="28.42578125" customWidth="1"/>
    <col min="13828" max="13828" width="10.28515625" customWidth="1"/>
    <col min="13829" max="13829" width="14" customWidth="1"/>
    <col min="13830" max="13830" width="13" customWidth="1"/>
    <col min="13831" max="13831" width="11.140625" customWidth="1"/>
    <col min="13832" max="13832" width="12.85546875" customWidth="1"/>
    <col min="13833" max="13833" width="2.42578125" customWidth="1"/>
    <col min="13834" max="13834" width="7" customWidth="1"/>
    <col min="13835" max="13835" width="11.28515625" customWidth="1"/>
    <col min="13836" max="13836" width="5" customWidth="1"/>
    <col min="13837" max="13837" width="11.28515625" customWidth="1"/>
    <col min="13838" max="13838" width="14.28515625" customWidth="1"/>
    <col min="13839" max="13839" width="13.85546875" customWidth="1"/>
    <col min="13840" max="14081" width="9.140625" customWidth="1"/>
    <col min="14082" max="14082" width="3.85546875" customWidth="1"/>
    <col min="14083" max="14083" width="28.42578125" customWidth="1"/>
    <col min="14084" max="14084" width="10.28515625" customWidth="1"/>
    <col min="14085" max="14085" width="14" customWidth="1"/>
    <col min="14086" max="14086" width="13" customWidth="1"/>
    <col min="14087" max="14087" width="11.140625" customWidth="1"/>
    <col min="14088" max="14088" width="12.85546875" customWidth="1"/>
    <col min="14089" max="14089" width="2.42578125" customWidth="1"/>
    <col min="14090" max="14090" width="7" customWidth="1"/>
    <col min="14091" max="14091" width="11.28515625" customWidth="1"/>
    <col min="14092" max="14092" width="5" customWidth="1"/>
    <col min="14093" max="14093" width="11.28515625" customWidth="1"/>
    <col min="14094" max="14094" width="14.28515625" customWidth="1"/>
    <col min="14095" max="14095" width="13.85546875" customWidth="1"/>
    <col min="14096" max="14337" width="9.140625" customWidth="1"/>
    <col min="14338" max="14338" width="3.85546875" customWidth="1"/>
    <col min="14339" max="14339" width="28.42578125" customWidth="1"/>
    <col min="14340" max="14340" width="10.28515625" customWidth="1"/>
    <col min="14341" max="14341" width="14" customWidth="1"/>
    <col min="14342" max="14342" width="13" customWidth="1"/>
    <col min="14343" max="14343" width="11.140625" customWidth="1"/>
    <col min="14344" max="14344" width="12.85546875" customWidth="1"/>
    <col min="14345" max="14345" width="2.42578125" customWidth="1"/>
    <col min="14346" max="14346" width="7" customWidth="1"/>
    <col min="14347" max="14347" width="11.28515625" customWidth="1"/>
    <col min="14348" max="14348" width="5" customWidth="1"/>
    <col min="14349" max="14349" width="11.28515625" customWidth="1"/>
    <col min="14350" max="14350" width="14.28515625" customWidth="1"/>
    <col min="14351" max="14351" width="13.85546875" customWidth="1"/>
    <col min="14352" max="14593" width="9.140625" customWidth="1"/>
    <col min="14594" max="14594" width="3.85546875" customWidth="1"/>
    <col min="14595" max="14595" width="28.42578125" customWidth="1"/>
    <col min="14596" max="14596" width="10.28515625" customWidth="1"/>
    <col min="14597" max="14597" width="14" customWidth="1"/>
    <col min="14598" max="14598" width="13" customWidth="1"/>
    <col min="14599" max="14599" width="11.140625" customWidth="1"/>
    <col min="14600" max="14600" width="12.85546875" customWidth="1"/>
    <col min="14601" max="14601" width="2.42578125" customWidth="1"/>
    <col min="14602" max="14602" width="7" customWidth="1"/>
    <col min="14603" max="14603" width="11.28515625" customWidth="1"/>
    <col min="14604" max="14604" width="5" customWidth="1"/>
    <col min="14605" max="14605" width="11.28515625" customWidth="1"/>
    <col min="14606" max="14606" width="14.28515625" customWidth="1"/>
    <col min="14607" max="14607" width="13.85546875" customWidth="1"/>
    <col min="14608" max="14849" width="9.140625" customWidth="1"/>
    <col min="14850" max="14850" width="3.85546875" customWidth="1"/>
    <col min="14851" max="14851" width="28.42578125" customWidth="1"/>
    <col min="14852" max="14852" width="10.28515625" customWidth="1"/>
    <col min="14853" max="14853" width="14" customWidth="1"/>
    <col min="14854" max="14854" width="13" customWidth="1"/>
    <col min="14855" max="14855" width="11.140625" customWidth="1"/>
    <col min="14856" max="14856" width="12.85546875" customWidth="1"/>
    <col min="14857" max="14857" width="2.42578125" customWidth="1"/>
    <col min="14858" max="14858" width="7" customWidth="1"/>
    <col min="14859" max="14859" width="11.28515625" customWidth="1"/>
    <col min="14860" max="14860" width="5" customWidth="1"/>
    <col min="14861" max="14861" width="11.28515625" customWidth="1"/>
    <col min="14862" max="14862" width="14.28515625" customWidth="1"/>
    <col min="14863" max="14863" width="13.85546875" customWidth="1"/>
    <col min="14864" max="15105" width="9.140625" customWidth="1"/>
    <col min="15106" max="15106" width="3.85546875" customWidth="1"/>
    <col min="15107" max="15107" width="28.42578125" customWidth="1"/>
    <col min="15108" max="15108" width="10.28515625" customWidth="1"/>
    <col min="15109" max="15109" width="14" customWidth="1"/>
    <col min="15110" max="15110" width="13" customWidth="1"/>
    <col min="15111" max="15111" width="11.140625" customWidth="1"/>
    <col min="15112" max="15112" width="12.85546875" customWidth="1"/>
    <col min="15113" max="15113" width="2.42578125" customWidth="1"/>
    <col min="15114" max="15114" width="7" customWidth="1"/>
    <col min="15115" max="15115" width="11.28515625" customWidth="1"/>
    <col min="15116" max="15116" width="5" customWidth="1"/>
    <col min="15117" max="15117" width="11.28515625" customWidth="1"/>
    <col min="15118" max="15118" width="14.28515625" customWidth="1"/>
    <col min="15119" max="15119" width="13.85546875" customWidth="1"/>
    <col min="15120" max="15361" width="9.140625" customWidth="1"/>
    <col min="15362" max="15362" width="3.85546875" customWidth="1"/>
    <col min="15363" max="15363" width="28.42578125" customWidth="1"/>
    <col min="15364" max="15364" width="10.28515625" customWidth="1"/>
    <col min="15365" max="15365" width="14" customWidth="1"/>
    <col min="15366" max="15366" width="13" customWidth="1"/>
    <col min="15367" max="15367" width="11.140625" customWidth="1"/>
    <col min="15368" max="15368" width="12.85546875" customWidth="1"/>
    <col min="15369" max="15369" width="2.42578125" customWidth="1"/>
    <col min="15370" max="15370" width="7" customWidth="1"/>
    <col min="15371" max="15371" width="11.28515625" customWidth="1"/>
    <col min="15372" max="15372" width="5" customWidth="1"/>
    <col min="15373" max="15373" width="11.28515625" customWidth="1"/>
    <col min="15374" max="15374" width="14.28515625" customWidth="1"/>
    <col min="15375" max="15375" width="13.85546875" customWidth="1"/>
    <col min="15376" max="15617" width="9.140625" customWidth="1"/>
    <col min="15618" max="15618" width="3.85546875" customWidth="1"/>
    <col min="15619" max="15619" width="28.42578125" customWidth="1"/>
    <col min="15620" max="15620" width="10.28515625" customWidth="1"/>
    <col min="15621" max="15621" width="14" customWidth="1"/>
    <col min="15622" max="15622" width="13" customWidth="1"/>
    <col min="15623" max="15623" width="11.140625" customWidth="1"/>
    <col min="15624" max="15624" width="12.85546875" customWidth="1"/>
    <col min="15625" max="15625" width="2.42578125" customWidth="1"/>
    <col min="15626" max="15626" width="7" customWidth="1"/>
    <col min="15627" max="15627" width="11.28515625" customWidth="1"/>
    <col min="15628" max="15628" width="5" customWidth="1"/>
    <col min="15629" max="15629" width="11.28515625" customWidth="1"/>
    <col min="15630" max="15630" width="14.28515625" customWidth="1"/>
    <col min="15631" max="15631" width="13.85546875" customWidth="1"/>
    <col min="15632" max="15873" width="9.140625" customWidth="1"/>
    <col min="15874" max="15874" width="3.85546875" customWidth="1"/>
    <col min="15875" max="15875" width="28.42578125" customWidth="1"/>
    <col min="15876" max="15876" width="10.28515625" customWidth="1"/>
    <col min="15877" max="15877" width="14" customWidth="1"/>
    <col min="15878" max="15878" width="13" customWidth="1"/>
    <col min="15879" max="15879" width="11.140625" customWidth="1"/>
    <col min="15880" max="15880" width="12.85546875" customWidth="1"/>
    <col min="15881" max="15881" width="2.42578125" customWidth="1"/>
    <col min="15882" max="15882" width="7" customWidth="1"/>
    <col min="15883" max="15883" width="11.28515625" customWidth="1"/>
    <col min="15884" max="15884" width="5" customWidth="1"/>
    <col min="15885" max="15885" width="11.28515625" customWidth="1"/>
    <col min="15886" max="15886" width="14.28515625" customWidth="1"/>
    <col min="15887" max="15887" width="13.85546875" customWidth="1"/>
    <col min="15888" max="16129" width="9.140625" customWidth="1"/>
    <col min="16130" max="16130" width="3.85546875" customWidth="1"/>
    <col min="16131" max="16131" width="28.42578125" customWidth="1"/>
    <col min="16132" max="16132" width="10.28515625" customWidth="1"/>
    <col min="16133" max="16133" width="14" customWidth="1"/>
    <col min="16134" max="16134" width="13" customWidth="1"/>
    <col min="16135" max="16135" width="11.140625" customWidth="1"/>
    <col min="16136" max="16136" width="12.85546875" customWidth="1"/>
    <col min="16137" max="16137" width="2.42578125" customWidth="1"/>
    <col min="16138" max="16138" width="7" customWidth="1"/>
    <col min="16139" max="16139" width="11.28515625" customWidth="1"/>
    <col min="16140" max="16140" width="5" customWidth="1"/>
    <col min="16141" max="16141" width="11.28515625" customWidth="1"/>
    <col min="16142" max="16142" width="14.28515625" customWidth="1"/>
    <col min="16143" max="16143" width="13.85546875" customWidth="1"/>
    <col min="16144" max="16384" width="9.140625" customWidth="1"/>
  </cols>
  <sheetData>
    <row r="1">
      <c r="A1" s="1783" t="s">
        <v>0</v>
      </c>
      <c r="B1" s="1783"/>
      <c r="C1" s="1783"/>
      <c r="D1" s="1783"/>
      <c r="E1" s="1783"/>
      <c r="F1" s="1783"/>
      <c r="G1" s="1949" t="s">
        <v>121</v>
      </c>
      <c r="H1" s="1783"/>
      <c r="I1" s="1783"/>
      <c r="J1" s="1783"/>
      <c r="K1" s="1783"/>
      <c r="L1" s="1783"/>
      <c r="M1" s="1784"/>
      <c r="N1" s="1784"/>
      <c r="O1" s="1783"/>
    </row>
    <row r="2">
      <c r="A2" s="1785" t="s">
        <v>715</v>
      </c>
      <c r="B2" s="1785"/>
      <c r="C2" s="1785"/>
      <c r="D2" s="1785"/>
      <c r="E2" s="1785"/>
      <c r="F2" s="1785"/>
      <c r="G2" s="1785"/>
      <c r="H2" s="1785"/>
      <c r="I2" s="1785"/>
      <c r="J2" s="1785"/>
      <c r="K2" s="1785"/>
      <c r="L2" s="1785"/>
      <c r="M2" s="1786"/>
      <c r="N2" s="1786"/>
      <c r="O2" s="1785"/>
    </row>
    <row r="3">
      <c r="A3" s="1787" t="s">
        <v>716</v>
      </c>
      <c r="B3" s="1787"/>
      <c r="C3" s="1787"/>
      <c r="D3" s="1787"/>
      <c r="E3" s="1787"/>
      <c r="F3" s="1787"/>
      <c r="G3" s="1787"/>
      <c r="H3" s="1787"/>
      <c r="I3" s="1787"/>
      <c r="J3" s="1787"/>
      <c r="K3" s="1787"/>
      <c r="L3" s="1787"/>
      <c r="M3" s="1788"/>
      <c r="N3" s="1788"/>
      <c r="O3" s="1787"/>
    </row>
    <row r="4">
      <c r="A4" s="1787" t="s">
        <v>717</v>
      </c>
      <c r="B4" s="1787"/>
      <c r="C4" s="1787"/>
      <c r="D4" s="1787"/>
      <c r="E4" s="1787"/>
      <c r="F4" s="1787"/>
      <c r="G4" s="1787"/>
      <c r="H4" s="1787"/>
      <c r="I4" s="1787"/>
      <c r="J4" s="1787"/>
      <c r="K4" s="1787"/>
      <c r="L4" s="1787"/>
      <c r="M4" s="1788"/>
      <c r="N4" s="1788"/>
      <c r="O4" s="1787"/>
    </row>
    <row r="5">
      <c r="A5" s="163"/>
      <c r="B5" s="163"/>
      <c r="C5" s="163"/>
      <c r="D5" s="163"/>
      <c r="E5" s="163"/>
      <c r="F5" s="163"/>
      <c r="G5" s="163"/>
      <c r="H5" s="163"/>
      <c r="I5" s="179"/>
      <c r="J5" s="163"/>
      <c r="K5" s="163"/>
      <c r="L5" s="163"/>
      <c r="M5" s="191"/>
      <c r="N5" s="191"/>
      <c r="O5" s="163"/>
    </row>
    <row r="6">
      <c r="A6" s="164"/>
      <c r="B6" s="164"/>
      <c r="C6" s="164"/>
      <c r="D6" s="164"/>
      <c r="E6" s="164"/>
      <c r="F6" s="164"/>
      <c r="G6" s="164"/>
      <c r="H6" s="164"/>
      <c r="I6" s="179"/>
      <c r="J6" s="163"/>
      <c r="K6" s="163"/>
      <c r="L6" s="163"/>
      <c r="M6" s="191"/>
      <c r="N6" s="191"/>
      <c r="O6" s="163"/>
    </row>
    <row r="7">
      <c r="M7" s="192"/>
      <c r="N7" s="192"/>
    </row>
    <row r="8">
      <c r="A8" s="1789" t="s">
        <v>718</v>
      </c>
      <c r="B8" s="1789"/>
      <c r="C8" s="1789"/>
      <c r="D8" s="1789"/>
      <c r="E8" s="1789"/>
      <c r="F8" s="1789"/>
      <c r="G8" s="1789"/>
      <c r="H8" s="1789"/>
      <c r="I8" s="1789"/>
      <c r="J8" s="1789"/>
      <c r="K8" s="1789"/>
      <c r="L8" s="1789"/>
      <c r="M8" s="1790"/>
      <c r="N8" s="1790"/>
      <c r="O8" s="1789"/>
    </row>
    <row r="9">
      <c r="D9" s="165"/>
      <c r="M9" s="192"/>
      <c r="N9" s="192"/>
    </row>
    <row r="10">
      <c r="A10" s="1782" t="s">
        <v>719</v>
      </c>
      <c r="B10" s="1782" t="s">
        <v>720</v>
      </c>
      <c r="C10" s="1782" t="s">
        <v>721</v>
      </c>
      <c r="D10" s="1779" t="s">
        <v>722</v>
      </c>
      <c r="E10" s="1780"/>
      <c r="F10" s="1780"/>
      <c r="G10" s="1780"/>
      <c r="H10" s="1782" t="s">
        <v>723</v>
      </c>
      <c r="I10" s="163"/>
      <c r="J10" s="1778" t="s">
        <v>724</v>
      </c>
      <c r="K10" s="1778"/>
      <c r="L10" s="1778"/>
      <c r="M10" s="1777" t="s">
        <v>725</v>
      </c>
      <c r="N10" s="1777"/>
      <c r="O10" s="1774" t="s">
        <v>726</v>
      </c>
    </row>
    <row r="11">
      <c r="A11" s="1782"/>
      <c r="B11" s="1782"/>
      <c r="C11" s="1782"/>
      <c r="D11" s="1782" t="s">
        <v>727</v>
      </c>
      <c r="E11" s="1779" t="s">
        <v>728</v>
      </c>
      <c r="F11" s="1780"/>
      <c r="G11" s="1780"/>
      <c r="H11" s="1782"/>
      <c r="I11" s="163"/>
      <c r="J11" s="1778"/>
      <c r="K11" s="1778"/>
      <c r="L11" s="1778"/>
      <c r="M11" s="1777"/>
      <c r="N11" s="1777"/>
      <c r="O11" s="1775"/>
    </row>
    <row r="12" ht="30">
      <c r="A12" s="1782"/>
      <c r="B12" s="1782"/>
      <c r="C12" s="1782"/>
      <c r="D12" s="1782"/>
      <c r="E12" s="166" t="s">
        <v>729</v>
      </c>
      <c r="F12" s="166" t="s">
        <v>730</v>
      </c>
      <c r="G12" s="166" t="s">
        <v>731</v>
      </c>
      <c r="H12" s="1782"/>
      <c r="I12" s="163"/>
      <c r="J12" s="193" t="s">
        <v>732</v>
      </c>
      <c r="K12" s="193" t="s">
        <v>733</v>
      </c>
      <c r="L12" s="193" t="s">
        <v>726</v>
      </c>
      <c r="M12" s="194" t="s">
        <v>734</v>
      </c>
      <c r="N12" s="194" t="s">
        <v>735</v>
      </c>
      <c r="O12" s="1776"/>
    </row>
    <row r="13" ht="15" customHeight="1">
      <c r="A13" s="167">
        <v>1</v>
      </c>
      <c r="B13" s="168" t="s">
        <v>193</v>
      </c>
      <c r="C13" s="168" t="s">
        <v>736</v>
      </c>
      <c r="D13" s="169">
        <v>4300479</v>
      </c>
      <c r="E13" s="169">
        <v>500000</v>
      </c>
      <c r="F13" s="170"/>
      <c r="G13" s="169">
        <v>200000</v>
      </c>
      <c r="H13" s="171">
        <f ref="H13:H21" t="shared" si="0">SUM(D13:G13)</f>
        <v>5000479</v>
      </c>
      <c r="I13" s="163"/>
      <c r="J13" s="167">
        <v>0</v>
      </c>
      <c r="K13" s="167">
        <v>0</v>
      </c>
      <c r="L13" s="167">
        <v>0</v>
      </c>
      <c r="M13" s="195">
        <f ref="M13:M16" t="shared" si="1">+(H13/50*J13)</f>
        <v>0</v>
      </c>
      <c r="N13" s="195">
        <f ref="N13:N16" t="shared" si="2">+(50-J13)*(H13/50)</f>
        <v>5000479</v>
      </c>
      <c r="O13" s="169">
        <f>SUM(M13:N13)</f>
        <v>5000479</v>
      </c>
      <c r="P13" s="196" t="s">
        <v>737</v>
      </c>
      <c r="Q13" s="203" t="s">
        <v>738</v>
      </c>
    </row>
    <row r="14" ht="15" customHeight="1">
      <c r="A14" s="167">
        <f ref="A14:A20" t="shared" si="4">+A13+1</f>
        <v>2</v>
      </c>
      <c r="B14" s="168" t="s">
        <v>193</v>
      </c>
      <c r="C14" s="168" t="s">
        <v>739</v>
      </c>
      <c r="D14" s="169">
        <v>4300479</v>
      </c>
      <c r="E14" s="169">
        <v>500000</v>
      </c>
      <c r="F14" s="172"/>
      <c r="G14" s="169">
        <v>200000</v>
      </c>
      <c r="H14" s="171">
        <f>SUM(D14:G14)</f>
        <v>5000479</v>
      </c>
      <c r="I14" s="163"/>
      <c r="J14" s="197">
        <v>349</v>
      </c>
      <c r="K14" s="167">
        <v>0</v>
      </c>
      <c r="L14" s="167">
        <v>0</v>
      </c>
      <c r="M14" s="195">
        <f>+H14</f>
        <v>5000479</v>
      </c>
      <c r="N14" s="195">
        <v>0</v>
      </c>
      <c r="O14" s="169">
        <f>SUM(M14:N14)</f>
        <v>5000479</v>
      </c>
      <c r="P14" s="196"/>
      <c r="Q14" s="203" t="s">
        <v>738</v>
      </c>
    </row>
    <row r="15" ht="15" customHeight="1">
      <c r="A15" s="167">
        <f t="shared" si="4"/>
        <v>3</v>
      </c>
      <c r="B15" s="168" t="s">
        <v>47</v>
      </c>
      <c r="C15" s="168" t="s">
        <v>740</v>
      </c>
      <c r="D15" s="169">
        <v>2970502</v>
      </c>
      <c r="E15" s="169">
        <v>500000</v>
      </c>
      <c r="F15" s="170"/>
      <c r="G15" s="169">
        <v>200000</v>
      </c>
      <c r="H15" s="171">
        <f t="shared" si="0"/>
        <v>3670502</v>
      </c>
      <c r="I15" s="163"/>
      <c r="J15" s="197">
        <v>68</v>
      </c>
      <c r="K15" s="167">
        <v>0</v>
      </c>
      <c r="L15" s="167">
        <v>0</v>
      </c>
      <c r="M15" s="195">
        <f>+(H15/50*50)</f>
        <v>3670502</v>
      </c>
      <c r="N15" s="195">
        <v>0</v>
      </c>
      <c r="O15" s="169">
        <f>SUM(M15:N15)</f>
        <v>3670502</v>
      </c>
      <c r="P15" s="196"/>
      <c r="Q15" s="203" t="s">
        <v>738</v>
      </c>
    </row>
    <row r="16" ht="17.25" customHeight="1">
      <c r="A16" s="167">
        <f t="shared" si="4"/>
        <v>4</v>
      </c>
      <c r="B16" s="168" t="s">
        <v>741</v>
      </c>
      <c r="C16" s="168" t="s">
        <v>742</v>
      </c>
      <c r="D16" s="169">
        <v>1970000</v>
      </c>
      <c r="E16" s="169">
        <v>500000</v>
      </c>
      <c r="F16" s="169">
        <f>29*15000</f>
        <v>435000</v>
      </c>
      <c r="G16" s="169">
        <v>200000</v>
      </c>
      <c r="H16" s="171">
        <f t="shared" si="0"/>
        <v>3105000</v>
      </c>
      <c r="I16" s="163"/>
      <c r="J16" s="197">
        <v>21</v>
      </c>
      <c r="K16" s="167">
        <v>0</v>
      </c>
      <c r="L16" s="167">
        <f ref="L16:L17" t="shared" si="8">+J16</f>
        <v>21</v>
      </c>
      <c r="M16" s="195">
        <f t="shared" si="1"/>
        <v>1304100</v>
      </c>
      <c r="N16" s="195">
        <f t="shared" si="2"/>
        <v>1800900</v>
      </c>
      <c r="O16" s="169">
        <f ref="O16:O20" t="shared" si="9">SUM(M16:N16)</f>
        <v>3105000</v>
      </c>
      <c r="P16" s="198"/>
      <c r="Q16" s="203" t="s">
        <v>738</v>
      </c>
    </row>
    <row r="17" ht="17.25" customHeight="1">
      <c r="A17" s="167">
        <f t="shared" si="4"/>
        <v>5</v>
      </c>
      <c r="B17" s="168" t="s">
        <v>743</v>
      </c>
      <c r="C17" s="168" t="s">
        <v>744</v>
      </c>
      <c r="D17" s="169">
        <v>2810025</v>
      </c>
      <c r="E17" s="169">
        <v>500000</v>
      </c>
      <c r="F17" s="169"/>
      <c r="G17" s="169">
        <v>200000</v>
      </c>
      <c r="H17" s="171">
        <f ref="H17:H19" t="shared" si="10">SUM(D17:G17)</f>
        <v>3510025</v>
      </c>
      <c r="I17" s="163"/>
      <c r="J17" s="167">
        <f>+D47</f>
        <v>100</v>
      </c>
      <c r="K17" s="167">
        <v>0</v>
      </c>
      <c r="L17" s="167">
        <f t="shared" si="8"/>
        <v>100</v>
      </c>
      <c r="M17" s="195">
        <f>H17</f>
        <v>3510025</v>
      </c>
      <c r="N17" s="195"/>
      <c r="O17" s="169">
        <f ref="O17:O18" t="shared" si="11">SUM(M17:N17)</f>
        <v>3510025</v>
      </c>
      <c r="P17" s="198"/>
      <c r="Q17" s="203" t="s">
        <v>738</v>
      </c>
    </row>
    <row r="18" ht="17.25" customHeight="1">
      <c r="A18" s="167">
        <f t="shared" si="4"/>
        <v>6</v>
      </c>
      <c r="B18" s="173" t="s">
        <v>139</v>
      </c>
      <c r="C18" s="173" t="s">
        <v>745</v>
      </c>
      <c r="D18" s="174">
        <v>1861000</v>
      </c>
      <c r="E18" s="175">
        <v>500000</v>
      </c>
      <c r="F18" s="169"/>
      <c r="G18" s="169">
        <v>200000</v>
      </c>
      <c r="H18" s="171">
        <f t="shared" si="10"/>
        <v>2561000</v>
      </c>
      <c r="I18" s="163"/>
      <c r="J18" s="167">
        <v>91</v>
      </c>
      <c r="K18" s="167">
        <v>0</v>
      </c>
      <c r="L18" s="167">
        <f>SUM(J18:K18)</f>
        <v>91</v>
      </c>
      <c r="M18" s="195">
        <f>+(H18/J18)*J18</f>
        <v>2561000</v>
      </c>
      <c r="N18" s="195">
        <v>300000</v>
      </c>
      <c r="O18" s="169">
        <f t="shared" si="11"/>
        <v>2861000</v>
      </c>
      <c r="P18" s="199"/>
      <c r="Q18" s="203" t="s">
        <v>738</v>
      </c>
    </row>
    <row r="19" ht="17.25" customHeight="1">
      <c r="A19" s="167">
        <f t="shared" si="4"/>
        <v>7</v>
      </c>
      <c r="B19" s="173" t="s">
        <v>139</v>
      </c>
      <c r="C19" s="173" t="s">
        <v>746</v>
      </c>
      <c r="D19" s="174">
        <v>1861000</v>
      </c>
      <c r="E19" s="175">
        <v>500000</v>
      </c>
      <c r="F19" s="169"/>
      <c r="G19" s="169">
        <v>200000</v>
      </c>
      <c r="H19" s="171">
        <f t="shared" si="10"/>
        <v>2561000</v>
      </c>
      <c r="I19" s="163"/>
      <c r="J19" s="167">
        <v>0</v>
      </c>
      <c r="K19" s="167">
        <v>0</v>
      </c>
      <c r="L19" s="167">
        <f>SUM(J19:K19)</f>
        <v>0</v>
      </c>
      <c r="M19" s="195">
        <f>+H19</f>
        <v>2561000</v>
      </c>
      <c r="N19" s="195">
        <v>0</v>
      </c>
      <c r="O19" s="169">
        <f>SUM(M19:N19)</f>
        <v>2561000</v>
      </c>
      <c r="P19" s="199" t="s">
        <v>747</v>
      </c>
      <c r="Q19" s="203" t="s">
        <v>738</v>
      </c>
    </row>
    <row r="20" ht="17.25" customHeight="1">
      <c r="A20" s="167">
        <f t="shared" si="4"/>
        <v>8</v>
      </c>
      <c r="B20" s="168" t="s">
        <v>200</v>
      </c>
      <c r="C20" s="176" t="s">
        <v>748</v>
      </c>
      <c r="D20" s="177">
        <v>2770300</v>
      </c>
      <c r="E20" s="175">
        <v>500000</v>
      </c>
      <c r="F20" s="169">
        <f>26*15000</f>
        <v>390000</v>
      </c>
      <c r="G20" s="169">
        <v>200000</v>
      </c>
      <c r="H20" s="171">
        <f t="shared" si="0"/>
        <v>3860300</v>
      </c>
      <c r="I20" s="163"/>
      <c r="J20" s="167">
        <v>32</v>
      </c>
      <c r="K20" s="167">
        <v>0</v>
      </c>
      <c r="L20" s="167">
        <f>SUM(J20:K20)</f>
        <v>32</v>
      </c>
      <c r="M20" s="195">
        <f>+(H20/50*J20)</f>
        <v>2470592</v>
      </c>
      <c r="N20" s="195">
        <f>+(50-J20)*(H20/50)</f>
        <v>1389708</v>
      </c>
      <c r="O20" s="169">
        <f t="shared" si="9"/>
        <v>3860300</v>
      </c>
      <c r="P20" s="198"/>
      <c r="Q20" s="203" t="s">
        <v>738</v>
      </c>
    </row>
    <row r="21" ht="17.25" customHeight="1">
      <c r="A21" s="167">
        <v>9</v>
      </c>
      <c r="B21" s="168" t="s">
        <v>170</v>
      </c>
      <c r="C21" s="176" t="s">
        <v>749</v>
      </c>
      <c r="D21" s="175">
        <v>2069530</v>
      </c>
      <c r="E21" s="175">
        <v>500000</v>
      </c>
      <c r="F21" s="169">
        <f>27*15000</f>
        <v>405000</v>
      </c>
      <c r="G21" s="169">
        <v>200000</v>
      </c>
      <c r="H21" s="171">
        <f t="shared" si="0"/>
        <v>3174530</v>
      </c>
      <c r="I21" s="163"/>
      <c r="J21" s="167">
        <v>43</v>
      </c>
      <c r="K21" s="167">
        <v>0</v>
      </c>
      <c r="L21" s="167">
        <f>SUM(J21:K21)</f>
        <v>43</v>
      </c>
      <c r="M21" s="195">
        <f>+(H21/50*J21)</f>
        <v>2730095.8</v>
      </c>
      <c r="N21" s="195">
        <f>+(50-J21)*(H21/50)</f>
        <v>444434.2</v>
      </c>
      <c r="O21" s="169">
        <f>SUM(M21:N21)</f>
        <v>3174530</v>
      </c>
    </row>
    <row r="22" ht="17.25" customHeight="1">
      <c r="A22" s="168"/>
      <c r="B22" s="168"/>
      <c r="C22" s="168"/>
      <c r="D22" s="169"/>
      <c r="E22" s="169"/>
      <c r="F22" s="169"/>
      <c r="G22" s="169"/>
      <c r="H22" s="178">
        <f>SUM(H13:H21)</f>
        <v>32443315</v>
      </c>
      <c r="I22" s="163"/>
      <c r="J22" s="1781" t="s">
        <v>750</v>
      </c>
      <c r="K22" s="1781"/>
      <c r="L22" s="1781"/>
      <c r="M22" s="195">
        <f ref="M22:O22" t="shared" si="21">SUM(M13:M21)</f>
        <v>23807793.8</v>
      </c>
      <c r="N22" s="200">
        <f t="shared" si="21"/>
        <v>8935521.2</v>
      </c>
      <c r="O22" s="195">
        <f t="shared" si="21"/>
        <v>32743315</v>
      </c>
    </row>
    <row r="23">
      <c r="A23" s="163"/>
      <c r="B23" s="163"/>
      <c r="C23" s="163"/>
      <c r="D23" s="179"/>
      <c r="E23" s="179"/>
      <c r="F23" s="179"/>
      <c r="G23" s="179"/>
      <c r="H23" s="179"/>
      <c r="I23" s="163"/>
      <c r="J23" s="163"/>
      <c r="K23" s="163"/>
      <c r="L23" s="163"/>
      <c r="M23" s="191"/>
      <c r="N23" s="191"/>
      <c r="O23" s="163"/>
    </row>
    <row r="24">
      <c r="A24" s="163"/>
      <c r="B24" s="163"/>
      <c r="C24" s="163"/>
      <c r="D24" s="179"/>
      <c r="E24" s="179"/>
      <c r="F24" s="179"/>
      <c r="G24" s="179"/>
      <c r="H24" s="179"/>
      <c r="I24" s="163"/>
      <c r="J24" s="163"/>
      <c r="K24" s="163"/>
      <c r="L24" s="163"/>
      <c r="M24" s="191"/>
      <c r="N24" s="1545" t="s">
        <v>751</v>
      </c>
      <c r="O24" s="201"/>
    </row>
    <row r="25">
      <c r="A25" s="163"/>
      <c r="B25" s="163"/>
      <c r="C25" s="163"/>
      <c r="D25" s="179"/>
      <c r="E25" s="179"/>
      <c r="F25" s="179"/>
      <c r="G25" s="179"/>
      <c r="H25" s="179"/>
      <c r="I25" s="163"/>
      <c r="J25" s="163"/>
      <c r="K25" s="163"/>
      <c r="L25" s="163"/>
      <c r="M25" s="191"/>
      <c r="N25" s="191" t="s">
        <v>752</v>
      </c>
    </row>
    <row r="26">
      <c r="A26" s="163"/>
      <c r="B26" s="163"/>
      <c r="C26" s="163"/>
      <c r="D26" s="179"/>
      <c r="E26" s="179"/>
      <c r="F26" s="179"/>
      <c r="G26" s="179"/>
      <c r="H26" s="179"/>
      <c r="I26" s="163"/>
      <c r="J26" s="163"/>
      <c r="K26" s="163"/>
      <c r="L26" s="163"/>
      <c r="M26" s="191"/>
      <c r="N26" s="191"/>
      <c r="O26" s="163"/>
    </row>
    <row r="27">
      <c r="B27" s="180" t="s">
        <v>753</v>
      </c>
      <c r="C27" s="180"/>
      <c r="D27" s="181"/>
      <c r="E27" s="181"/>
      <c r="F27" s="181"/>
      <c r="G27" s="181"/>
      <c r="K27" s="202"/>
    </row>
    <row r="28">
      <c r="B28" s="180" t="s">
        <v>754</v>
      </c>
      <c r="C28" s="180"/>
      <c r="D28" s="181"/>
      <c r="E28" s="181"/>
      <c r="F28" s="180" t="s">
        <v>755</v>
      </c>
      <c r="G28" s="181"/>
    </row>
    <row r="29">
      <c r="B29" s="182" t="s">
        <v>756</v>
      </c>
      <c r="C29" s="182"/>
      <c r="D29" s="182" t="s">
        <v>757</v>
      </c>
      <c r="E29" s="181"/>
      <c r="F29" s="182" t="s">
        <v>756</v>
      </c>
      <c r="G29" s="182" t="s">
        <v>757</v>
      </c>
    </row>
    <row r="30">
      <c r="B30" s="183" t="s">
        <v>758</v>
      </c>
      <c r="C30" s="183"/>
      <c r="D30" s="183">
        <v>15</v>
      </c>
      <c r="E30" s="181"/>
      <c r="F30" s="183" t="s">
        <v>193</v>
      </c>
      <c r="G30" s="184">
        <v>197</v>
      </c>
    </row>
    <row r="31">
      <c r="B31" s="183" t="s">
        <v>514</v>
      </c>
      <c r="C31" s="183"/>
      <c r="D31" s="183">
        <v>2</v>
      </c>
      <c r="E31" s="181"/>
      <c r="F31" s="183" t="s">
        <v>759</v>
      </c>
      <c r="G31" s="184">
        <v>9</v>
      </c>
    </row>
    <row r="32">
      <c r="B32" s="183" t="s">
        <v>760</v>
      </c>
      <c r="C32" s="183"/>
      <c r="D32" s="185">
        <v>4</v>
      </c>
      <c r="E32" s="181"/>
      <c r="F32" s="183" t="s">
        <v>761</v>
      </c>
      <c r="G32" s="184">
        <v>13</v>
      </c>
    </row>
    <row r="33">
      <c r="B33" s="182"/>
      <c r="C33" s="182"/>
      <c r="D33" s="182">
        <f>SUM(D30:D32)</f>
        <v>21</v>
      </c>
      <c r="E33" s="181"/>
      <c r="F33" s="183" t="s">
        <v>762</v>
      </c>
      <c r="G33" s="183">
        <v>2</v>
      </c>
    </row>
    <row r="34">
      <c r="B34" s="181"/>
      <c r="C34" s="181"/>
      <c r="D34" s="181"/>
      <c r="E34" s="181"/>
      <c r="F34" s="183" t="s">
        <v>763</v>
      </c>
      <c r="G34" s="183">
        <v>9</v>
      </c>
    </row>
    <row r="35">
      <c r="B35" s="181"/>
      <c r="C35" s="181"/>
      <c r="D35" s="181"/>
      <c r="E35" s="181"/>
      <c r="F35" s="183" t="s">
        <v>764</v>
      </c>
      <c r="G35" s="183">
        <v>1</v>
      </c>
    </row>
    <row r="36">
      <c r="B36" s="181"/>
      <c r="C36" s="181"/>
      <c r="D36" s="181"/>
      <c r="E36" s="181"/>
      <c r="F36" s="183" t="s">
        <v>765</v>
      </c>
      <c r="G36" s="184">
        <v>13</v>
      </c>
    </row>
    <row r="37">
      <c r="B37" s="180" t="s">
        <v>766</v>
      </c>
      <c r="C37" s="180"/>
      <c r="D37" s="181"/>
      <c r="E37" s="181"/>
      <c r="F37" s="183" t="s">
        <v>767</v>
      </c>
      <c r="G37" s="184">
        <v>4</v>
      </c>
    </row>
    <row r="38">
      <c r="B38" s="182" t="s">
        <v>756</v>
      </c>
      <c r="C38" s="182"/>
      <c r="D38" s="182" t="s">
        <v>757</v>
      </c>
      <c r="E38" s="181"/>
      <c r="F38" s="183" t="s">
        <v>314</v>
      </c>
      <c r="G38" s="184">
        <v>15</v>
      </c>
    </row>
    <row r="39">
      <c r="B39" s="183" t="s">
        <v>517</v>
      </c>
      <c r="C39" s="183"/>
      <c r="D39" s="184">
        <v>16</v>
      </c>
      <c r="E39" s="181"/>
      <c r="F39" s="183" t="s">
        <v>312</v>
      </c>
      <c r="G39" s="184">
        <v>51</v>
      </c>
    </row>
    <row r="40">
      <c r="B40" s="183" t="s">
        <v>686</v>
      </c>
      <c r="C40" s="183"/>
      <c r="D40" s="186">
        <v>2</v>
      </c>
      <c r="E40" s="181"/>
      <c r="F40" s="183" t="s">
        <v>27</v>
      </c>
      <c r="G40" s="184">
        <v>10</v>
      </c>
    </row>
    <row r="41">
      <c r="B41" s="183" t="s">
        <v>768</v>
      </c>
      <c r="C41" s="183"/>
      <c r="D41" s="186">
        <v>12</v>
      </c>
      <c r="E41" s="181"/>
      <c r="F41" s="183" t="s">
        <v>769</v>
      </c>
      <c r="G41" s="184">
        <v>6</v>
      </c>
    </row>
    <row r="42">
      <c r="B42" s="183" t="s">
        <v>770</v>
      </c>
      <c r="C42" s="183"/>
      <c r="D42" s="184">
        <v>39</v>
      </c>
      <c r="E42" s="181"/>
      <c r="F42" s="183" t="s">
        <v>771</v>
      </c>
      <c r="G42" s="184">
        <v>19</v>
      </c>
    </row>
    <row r="43">
      <c r="B43" s="183" t="s">
        <v>328</v>
      </c>
      <c r="C43" s="183"/>
      <c r="D43" s="184">
        <v>20</v>
      </c>
      <c r="E43" s="181"/>
      <c r="F43" s="182"/>
      <c r="G43" s="183">
        <f>SUM(G30:G42)</f>
        <v>349</v>
      </c>
    </row>
    <row r="44">
      <c r="B44" s="183" t="s">
        <v>683</v>
      </c>
      <c r="C44" s="183"/>
      <c r="D44" s="185"/>
      <c r="E44" s="181"/>
      <c r="F44" s="180"/>
      <c r="G44" s="181"/>
    </row>
    <row r="45">
      <c r="B45" s="183" t="s">
        <v>772</v>
      </c>
      <c r="C45" s="183"/>
      <c r="D45" s="184">
        <v>11</v>
      </c>
      <c r="E45" s="181"/>
      <c r="F45" s="180" t="s">
        <v>773</v>
      </c>
      <c r="G45" s="181"/>
      <c r="H45" s="187" t="s">
        <v>774</v>
      </c>
    </row>
    <row r="46">
      <c r="B46" s="183" t="s">
        <v>775</v>
      </c>
      <c r="C46" s="183"/>
      <c r="D46" s="185"/>
      <c r="E46" s="181"/>
      <c r="F46" s="182" t="s">
        <v>756</v>
      </c>
      <c r="G46" s="182" t="s">
        <v>757</v>
      </c>
    </row>
    <row r="47">
      <c r="B47" s="183"/>
      <c r="C47" s="183"/>
      <c r="D47" s="182">
        <f>SUM(D39:D46)</f>
        <v>100</v>
      </c>
      <c r="E47" s="181"/>
      <c r="F47" s="183" t="s">
        <v>776</v>
      </c>
      <c r="G47" s="184">
        <v>68</v>
      </c>
    </row>
    <row r="48" ht="15.75">
      <c r="B48" s="181"/>
      <c r="C48" s="181"/>
      <c r="D48" s="181"/>
      <c r="E48" s="181"/>
      <c r="F48" s="183"/>
      <c r="G48" s="188">
        <f>SUM(G47:G47)</f>
        <v>68</v>
      </c>
    </row>
    <row r="49">
      <c r="B49" s="181"/>
      <c r="C49" s="181"/>
      <c r="D49" s="181"/>
      <c r="E49" s="181"/>
      <c r="F49" s="181"/>
      <c r="G49" s="181"/>
    </row>
    <row r="50">
      <c r="B50" s="181"/>
      <c r="C50" s="181"/>
      <c r="D50" s="181"/>
      <c r="E50" s="181"/>
      <c r="F50" s="180" t="s">
        <v>777</v>
      </c>
      <c r="G50" s="181"/>
    </row>
    <row r="51">
      <c r="B51" s="180" t="s">
        <v>778</v>
      </c>
      <c r="C51" s="180"/>
      <c r="D51" s="181"/>
      <c r="E51" s="181"/>
      <c r="F51" s="182" t="s">
        <v>756</v>
      </c>
      <c r="G51" s="182" t="s">
        <v>757</v>
      </c>
    </row>
    <row r="52" ht="15.75">
      <c r="B52" s="182" t="s">
        <v>756</v>
      </c>
      <c r="C52" s="182"/>
      <c r="D52" s="182" t="s">
        <v>757</v>
      </c>
      <c r="E52" s="181"/>
      <c r="F52" s="183" t="s">
        <v>139</v>
      </c>
      <c r="G52" s="188">
        <v>91</v>
      </c>
    </row>
    <row r="53">
      <c r="B53" s="183" t="s">
        <v>779</v>
      </c>
      <c r="C53" s="183"/>
      <c r="D53" s="183">
        <v>9</v>
      </c>
      <c r="E53" s="181"/>
      <c r="F53" s="181"/>
      <c r="G53" s="181"/>
    </row>
    <row r="54">
      <c r="B54" s="183" t="s">
        <v>780</v>
      </c>
      <c r="C54" s="183"/>
      <c r="D54" s="183">
        <v>3</v>
      </c>
      <c r="E54" s="181"/>
      <c r="F54" s="181"/>
      <c r="G54" s="181"/>
    </row>
    <row r="55">
      <c r="B55" s="183" t="s">
        <v>781</v>
      </c>
      <c r="C55" s="183"/>
      <c r="D55" s="183">
        <v>10</v>
      </c>
      <c r="E55" s="181"/>
      <c r="F55" s="181"/>
      <c r="G55" s="181"/>
    </row>
    <row r="56">
      <c r="B56" s="183" t="s">
        <v>381</v>
      </c>
      <c r="C56" s="183"/>
      <c r="D56" s="183">
        <v>6</v>
      </c>
      <c r="E56" s="181"/>
      <c r="F56" s="181"/>
      <c r="G56" s="181"/>
    </row>
    <row r="57">
      <c r="B57" s="183" t="s">
        <v>782</v>
      </c>
      <c r="C57" s="183"/>
      <c r="D57" s="183">
        <v>2</v>
      </c>
      <c r="E57" s="181"/>
      <c r="F57" s="181"/>
      <c r="G57" s="181"/>
    </row>
    <row r="58">
      <c r="B58" s="183" t="s">
        <v>783</v>
      </c>
      <c r="C58" s="183"/>
      <c r="D58" s="183">
        <v>2</v>
      </c>
      <c r="E58" s="181"/>
      <c r="F58" s="181"/>
      <c r="G58" s="181"/>
    </row>
    <row r="59" ht="15.75">
      <c r="B59" s="183"/>
      <c r="C59" s="183"/>
      <c r="D59" s="188">
        <f>SUM(D53:D58)</f>
        <v>32</v>
      </c>
      <c r="E59" s="181"/>
      <c r="F59" s="181"/>
      <c r="G59" s="181"/>
    </row>
    <row r="60">
      <c r="F60" s="181"/>
      <c r="G60" s="181"/>
    </row>
    <row r="62">
      <c r="B62" s="189" t="s">
        <v>784</v>
      </c>
    </row>
    <row r="63">
      <c r="B63" s="182" t="s">
        <v>756</v>
      </c>
      <c r="C63" s="182"/>
      <c r="D63" s="182" t="s">
        <v>757</v>
      </c>
    </row>
    <row r="64">
      <c r="B64" s="183" t="s">
        <v>785</v>
      </c>
      <c r="C64" s="183"/>
      <c r="D64" s="190">
        <v>43</v>
      </c>
    </row>
  </sheetData>
  <mergeCells>
    <mergeCell ref="A1:O1"/>
    <mergeCell ref="A2:O2"/>
    <mergeCell ref="A3:O3"/>
    <mergeCell ref="A4:O4"/>
    <mergeCell ref="A8:O8"/>
    <mergeCell ref="J22:L22"/>
    <mergeCell ref="A10:A12"/>
    <mergeCell ref="B10:B12"/>
    <mergeCell ref="C10:C12"/>
    <mergeCell ref="D11:D12"/>
    <mergeCell ref="H10:H12"/>
    <mergeCell ref="O10:O12"/>
    <mergeCell ref="M10:N11"/>
    <mergeCell ref="J10:L11"/>
    <mergeCell ref="D10:G10"/>
    <mergeCell ref="E11:G11"/>
  </mergeCells>
  <printOptions horizontalCentered="1"/>
  <pageMargins left="0" right="0" top="0.75" bottom="0.75" header="0.30902777777777801" footer="0.30902777777777801"/>
  <pageSetup paperSize="9" scale="70" fitToHeight="0" orientation="landscape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8"/>
  </sheetPr>
  <dimension ref="A1:W29"/>
  <sheetViews>
    <sheetView zoomScale="85" zoomScaleNormal="85" workbookViewId="0">
      <pane xSplit="7" ySplit="12" topLeftCell="H13" activePane="bottomRight" state="frozen"/>
      <selection pane="topRight"/>
      <selection pane="bottomLeft"/>
      <selection pane="bottomRight" activeCell="R27" sqref="R27"/>
    </sheetView>
  </sheetViews>
  <sheetFormatPr defaultColWidth="9.140625" defaultRowHeight="12" customHeight="1"/>
  <cols>
    <col min="1" max="2" width="4.85546875" customWidth="1"/>
    <col min="3" max="3" width="25.7109375" customWidth="1"/>
    <col min="4" max="4" width="11.5703125" customWidth="1"/>
    <col min="5" max="5" hidden="1" width="8.140625" customWidth="1"/>
    <col min="6" max="6" hidden="1" width="9.85546875" customWidth="1"/>
    <col min="7" max="7" width="11.28515625" customWidth="1"/>
    <col min="8" max="8" width="9.5703125" customWidth="1"/>
    <col min="9" max="9" width="10.5703125" customWidth="1"/>
    <col min="10" max="10" width="10.7109375" customWidth="1"/>
    <col min="11" max="11" width="9.42578125" customWidth="1"/>
    <col min="12" max="12" width="13.140625" customWidth="1"/>
    <col min="13" max="13" width="13.28515625" customWidth="1"/>
    <col min="14" max="14" width="12.42578125" customWidth="1"/>
    <col min="15" max="15" width="8.42578125" customWidth="1"/>
    <col min="16" max="17" width="10.42578125" customWidth="1"/>
    <col min="18" max="18" width="11.28515625" customWidth="1"/>
    <col min="19" max="19" width="13.140625" customWidth="1"/>
    <col min="20" max="20" width="12.140625" customWidth="1"/>
    <col min="21" max="21" width="10.28515625" customWidth="1"/>
  </cols>
  <sheetData>
    <row r="1" ht="12" customHeight="1">
      <c r="A1" s="207" t="s">
        <v>0</v>
      </c>
      <c r="C1" s="209"/>
      <c r="G1" s="210"/>
      <c r="H1" s="210"/>
      <c r="M1" s="210"/>
      <c r="U1" s="317"/>
    </row>
    <row r="2" ht="12" customHeight="1">
      <c r="A2" s="207" t="s">
        <v>1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80"/>
      <c r="R2" s="280"/>
      <c r="S2" s="280"/>
      <c r="T2" s="318"/>
      <c r="U2" s="318"/>
    </row>
    <row r="3" ht="15">
      <c r="A3" s="1354" t="str">
        <f>+'MALANG BAT AGUSTUS - OK'!A3</f>
        <v>Periode Bulan Agustus  2021</v>
      </c>
      <c r="C3" s="209"/>
      <c r="G3" s="213"/>
      <c r="H3" s="213"/>
      <c r="I3" s="281"/>
      <c r="M3" s="210"/>
      <c r="U3" s="317"/>
    </row>
    <row r="4" ht="15">
      <c r="A4" s="207"/>
      <c r="C4" s="209"/>
      <c r="G4" s="214">
        <v>2355663</v>
      </c>
      <c r="H4" s="214"/>
      <c r="I4" s="281"/>
      <c r="M4" s="210"/>
      <c r="U4" s="317"/>
    </row>
    <row r="5" ht="15">
      <c r="A5" s="207"/>
      <c r="C5" s="209"/>
      <c r="G5" s="214"/>
      <c r="H5" s="214"/>
      <c r="I5" s="281"/>
      <c r="M5" s="210"/>
      <c r="U5" s="317"/>
    </row>
    <row r="6" ht="22.5" customHeight="1">
      <c r="A6" s="1397" t="s">
        <v>2</v>
      </c>
      <c r="B6" s="1398" t="s">
        <v>3</v>
      </c>
      <c r="C6" s="1398" t="s">
        <v>4</v>
      </c>
      <c r="D6" s="1398" t="s">
        <v>5</v>
      </c>
      <c r="E6" s="1398" t="s">
        <v>6</v>
      </c>
      <c r="F6" s="1399" t="s">
        <v>7</v>
      </c>
      <c r="G6" s="219" t="s">
        <v>8</v>
      </c>
      <c r="H6" s="219" t="s">
        <v>9</v>
      </c>
      <c r="I6" s="1403" t="s">
        <v>10</v>
      </c>
      <c r="J6" s="1404" t="s">
        <v>11</v>
      </c>
      <c r="K6" s="1404" t="s">
        <v>12</v>
      </c>
      <c r="L6" s="1405" t="s">
        <v>13</v>
      </c>
      <c r="M6" s="1405" t="s">
        <v>14</v>
      </c>
      <c r="N6" s="1406" t="s">
        <v>15</v>
      </c>
      <c r="O6" s="1406" t="s">
        <v>16</v>
      </c>
      <c r="P6" s="1406" t="s">
        <v>17</v>
      </c>
      <c r="Q6" s="1406" t="s">
        <v>18</v>
      </c>
      <c r="R6" s="1407" t="s">
        <v>19</v>
      </c>
      <c r="S6" s="1408" t="s">
        <v>20</v>
      </c>
      <c r="T6" s="1408" t="s">
        <v>21</v>
      </c>
      <c r="U6" s="1409" t="s">
        <v>22</v>
      </c>
      <c r="V6" s="1410" t="s">
        <v>23</v>
      </c>
    </row>
    <row r="7" ht="18" customHeight="1">
      <c r="A7" s="1441" t="s">
        <v>24</v>
      </c>
      <c r="B7" s="1442">
        <v>2847</v>
      </c>
      <c r="C7" s="1443" t="s">
        <v>25</v>
      </c>
      <c r="D7" s="1444" t="s">
        <v>26</v>
      </c>
      <c r="E7" s="1445" t="s">
        <v>27</v>
      </c>
      <c r="F7" s="1445" t="s">
        <v>28</v>
      </c>
      <c r="G7" s="1446">
        <f>2355663/31*22</f>
        <v>1671760.83870968</v>
      </c>
      <c r="H7" s="1446"/>
      <c r="I7" s="1452">
        <f>+$G$4*4.89%</f>
        <v>115191.9207</v>
      </c>
      <c r="J7" s="1452">
        <f>+$G$4*4%</f>
        <v>94226.52</v>
      </c>
      <c r="K7" s="1452">
        <f>+$G$4*2%</f>
        <v>47113.26</v>
      </c>
      <c r="L7" s="1452">
        <v>1667</v>
      </c>
      <c r="M7" s="512">
        <f>SUM(G7:L7)</f>
        <v>1929959.53940968</v>
      </c>
      <c r="N7" s="1453">
        <f ref="N7:N8" t="shared" si="0">+M7*8%</f>
        <v>154396.763152774</v>
      </c>
      <c r="O7" s="1453"/>
      <c r="P7" s="1453"/>
      <c r="Q7" s="1453"/>
      <c r="R7" s="1460">
        <f ref="R7:R8" t="shared" si="1">SUM(M7:Q7)</f>
        <v>2084356.30256245</v>
      </c>
      <c r="S7" s="1460">
        <f ref="S7:S8" t="shared" si="2">N7*0.1</f>
        <v>15439.6763152774</v>
      </c>
      <c r="T7" s="1461">
        <f ref="T7:T8" t="shared" si="3">R7+S7</f>
        <v>2099795.97887773</v>
      </c>
      <c r="U7" s="1462">
        <v>44417</v>
      </c>
      <c r="V7" s="1463">
        <v>44500</v>
      </c>
      <c r="W7" s="458"/>
    </row>
    <row r="8" ht="18" customHeight="1">
      <c r="A8" s="1441" t="s">
        <v>24</v>
      </c>
      <c r="B8" s="1442">
        <v>2848</v>
      </c>
      <c r="C8" s="1443" t="s">
        <v>29</v>
      </c>
      <c r="D8" s="1444" t="s">
        <v>26</v>
      </c>
      <c r="E8" s="1447" t="s">
        <v>27</v>
      </c>
      <c r="F8" s="1447" t="s">
        <v>28</v>
      </c>
      <c r="G8" s="1446">
        <f>2355663/31*22</f>
        <v>1671760.83870968</v>
      </c>
      <c r="H8" s="1446"/>
      <c r="I8" s="1452">
        <f>+$G$4*4.89%</f>
        <v>115191.9207</v>
      </c>
      <c r="J8" s="1452">
        <f>+$G$4*4%</f>
        <v>94226.52</v>
      </c>
      <c r="K8" s="1452">
        <f>+$G$4*2%</f>
        <v>47113.26</v>
      </c>
      <c r="L8" s="1452">
        <v>1667</v>
      </c>
      <c r="M8" s="512">
        <f>SUM(G8:L8)</f>
        <v>1929959.53940968</v>
      </c>
      <c r="N8" s="1453">
        <f t="shared" si="0"/>
        <v>154396.763152774</v>
      </c>
      <c r="O8" s="1453"/>
      <c r="P8" s="1453"/>
      <c r="Q8" s="1453"/>
      <c r="R8" s="1460">
        <f t="shared" si="1"/>
        <v>2084356.30256245</v>
      </c>
      <c r="S8" s="1460">
        <f t="shared" si="2"/>
        <v>15439.6763152774</v>
      </c>
      <c r="T8" s="1461">
        <f t="shared" si="3"/>
        <v>2099795.97887773</v>
      </c>
      <c r="U8" s="1462">
        <v>44417</v>
      </c>
      <c r="V8" s="1463">
        <v>44500</v>
      </c>
      <c r="W8" s="458"/>
    </row>
    <row r="9" ht="18" customHeight="1">
      <c r="A9" s="1736" t="s">
        <v>30</v>
      </c>
      <c r="B9" s="1856"/>
      <c r="C9" s="1738"/>
      <c r="D9" s="1738"/>
      <c r="E9" s="1738"/>
      <c r="F9" s="1739"/>
      <c r="G9" s="1425">
        <f ref="G9:T9" t="shared" si="4">SUM(G7:G8)</f>
        <v>3343521.67741935</v>
      </c>
      <c r="H9" s="1425">
        <f t="shared" si="4"/>
        <v>0</v>
      </c>
      <c r="I9" s="1425">
        <f t="shared" si="4"/>
        <v>230383.8414</v>
      </c>
      <c r="J9" s="1425">
        <f t="shared" si="4"/>
        <v>188453.04</v>
      </c>
      <c r="K9" s="1425">
        <f t="shared" si="4"/>
        <v>94226.52</v>
      </c>
      <c r="L9" s="1425">
        <f t="shared" si="4"/>
        <v>3334</v>
      </c>
      <c r="M9" s="1425">
        <f t="shared" si="4"/>
        <v>3859919.07881935</v>
      </c>
      <c r="N9" s="1425">
        <f t="shared" si="4"/>
        <v>308793.526305548</v>
      </c>
      <c r="O9" s="1425">
        <f t="shared" si="4"/>
        <v>0</v>
      </c>
      <c r="P9" s="1425">
        <f t="shared" si="4"/>
        <v>0</v>
      </c>
      <c r="Q9" s="1425">
        <f t="shared" si="4"/>
        <v>0</v>
      </c>
      <c r="R9" s="1425">
        <f t="shared" si="4"/>
        <v>4168712.6051249</v>
      </c>
      <c r="S9" s="1425">
        <f t="shared" si="4"/>
        <v>30879.3526305548</v>
      </c>
      <c r="T9" s="1425">
        <f t="shared" si="4"/>
        <v>4199591.95775546</v>
      </c>
      <c r="U9" s="1425"/>
      <c r="V9" s="1438"/>
    </row>
    <row r="10" ht="18" customHeight="1">
      <c r="A10" s="1401" t="s">
        <v>30</v>
      </c>
      <c r="B10" s="1857"/>
      <c r="C10" s="1129"/>
      <c r="D10" s="1129"/>
      <c r="E10" s="1129"/>
      <c r="F10" s="1129"/>
      <c r="G10" s="1402"/>
      <c r="H10" s="1402"/>
      <c r="I10" s="1402"/>
      <c r="J10" s="1402"/>
      <c r="K10" s="1402"/>
      <c r="L10" s="1402"/>
      <c r="M10" s="1402"/>
      <c r="N10" s="1402"/>
      <c r="O10" s="1402"/>
      <c r="P10" s="1402"/>
      <c r="Q10" s="1402"/>
      <c r="R10" s="1402"/>
      <c r="S10" s="1402"/>
      <c r="T10" s="1402"/>
      <c r="U10" s="1402"/>
      <c r="V10" s="1412"/>
    </row>
    <row r="11" ht="18" customHeight="1">
      <c r="A11" s="1401" t="s">
        <v>30</v>
      </c>
      <c r="B11" s="1857"/>
      <c r="C11" s="1129"/>
      <c r="D11" s="1129"/>
      <c r="E11" s="1129"/>
      <c r="F11" s="1129"/>
      <c r="G11" s="1402"/>
      <c r="H11" s="1402"/>
      <c r="I11" s="1402"/>
      <c r="J11" s="1402"/>
      <c r="K11" s="1402"/>
      <c r="L11" s="1402"/>
      <c r="M11" s="1402"/>
      <c r="N11" s="1402"/>
      <c r="O11" s="1402"/>
      <c r="P11" s="1402"/>
      <c r="Q11" s="1402"/>
      <c r="R11" s="1402"/>
      <c r="S11" s="1402"/>
      <c r="T11" s="1402"/>
      <c r="U11" s="1402"/>
      <c r="V11" s="1412"/>
    </row>
    <row r="12" ht="22.5">
      <c r="A12" s="463" t="s">
        <v>31</v>
      </c>
      <c r="B12" s="1872" t="s">
        <v>3</v>
      </c>
      <c r="C12" s="464" t="s">
        <v>4</v>
      </c>
      <c r="D12" s="464" t="s">
        <v>5</v>
      </c>
      <c r="E12" s="464" t="s">
        <v>6</v>
      </c>
      <c r="F12" s="465" t="s">
        <v>7</v>
      </c>
      <c r="G12" s="466" t="s">
        <v>8</v>
      </c>
      <c r="H12" s="219" t="s">
        <v>9</v>
      </c>
      <c r="I12" s="467" t="s">
        <v>10</v>
      </c>
      <c r="J12" s="477" t="s">
        <v>11</v>
      </c>
      <c r="K12" s="477" t="s">
        <v>12</v>
      </c>
      <c r="L12" s="478" t="s">
        <v>13</v>
      </c>
      <c r="M12" s="478" t="s">
        <v>14</v>
      </c>
      <c r="N12" s="286" t="s">
        <v>15</v>
      </c>
      <c r="O12" s="286" t="s">
        <v>32</v>
      </c>
      <c r="P12" s="1406" t="s">
        <v>17</v>
      </c>
      <c r="Q12" s="286" t="s">
        <v>18</v>
      </c>
      <c r="R12" s="483" t="s">
        <v>19</v>
      </c>
      <c r="S12" s="484" t="s">
        <v>20</v>
      </c>
      <c r="T12" s="484" t="s">
        <v>21</v>
      </c>
      <c r="U12" s="485" t="s">
        <v>22</v>
      </c>
      <c r="V12" s="486" t="s">
        <v>23</v>
      </c>
    </row>
    <row r="13" ht="16.5" customHeight="1">
      <c r="A13" s="1448" t="s">
        <v>24</v>
      </c>
      <c r="B13" s="1449">
        <v>2849</v>
      </c>
      <c r="C13" s="1450" t="s">
        <v>33</v>
      </c>
      <c r="D13" s="1449" t="s">
        <v>34</v>
      </c>
      <c r="E13" s="1445" t="s">
        <v>27</v>
      </c>
      <c r="F13" s="1449" t="s">
        <v>28</v>
      </c>
      <c r="G13" s="1446">
        <f>2355663/31*7</f>
        <v>531923.903225806</v>
      </c>
      <c r="H13" s="1451"/>
      <c r="I13" s="1454">
        <f ref="I13:I16" t="shared" si="5">+$G$4*4.89%</f>
        <v>115191.9207</v>
      </c>
      <c r="J13" s="1454">
        <f ref="J13:J16" t="shared" si="6">+$G$4*4%</f>
        <v>94226.52</v>
      </c>
      <c r="K13" s="1454">
        <f ref="K13:K16" t="shared" si="7">+$G$4*2%</f>
        <v>47113.26</v>
      </c>
      <c r="L13" s="1455">
        <v>15000</v>
      </c>
      <c r="M13" s="512">
        <f>SUM(G13:L13)</f>
        <v>803455.603925806</v>
      </c>
      <c r="N13" s="1456">
        <f ref="N13:N16" t="shared" si="8">+M13*8%</f>
        <v>64276.4483140645</v>
      </c>
      <c r="O13" s="404"/>
      <c r="P13" s="1457"/>
      <c r="Q13" s="1464"/>
      <c r="R13" s="1465">
        <f ref="R13:R16" t="shared" si="9">SUM(M13:Q13)</f>
        <v>867732.052239871</v>
      </c>
      <c r="S13" s="1465">
        <f ref="S13:S16" t="shared" si="10">N13*0.1</f>
        <v>6427.64483140645</v>
      </c>
      <c r="T13" s="1466">
        <f ref="T13:T16" t="shared" si="11">R13+S13</f>
        <v>874159.697071277</v>
      </c>
      <c r="U13" s="1462">
        <v>44417</v>
      </c>
      <c r="V13" s="1463">
        <v>44500</v>
      </c>
    </row>
    <row r="14" ht="16.5" customHeight="1">
      <c r="A14" s="1370" t="s">
        <v>24</v>
      </c>
      <c r="B14" s="376">
        <v>2850</v>
      </c>
      <c r="C14" s="1371" t="s">
        <v>35</v>
      </c>
      <c r="D14" s="376" t="s">
        <v>34</v>
      </c>
      <c r="E14" s="838" t="s">
        <v>27</v>
      </c>
      <c r="F14" s="376" t="s">
        <v>28</v>
      </c>
      <c r="G14" s="1446">
        <f ref="G14:G16" t="shared" si="13">2355663/31*7</f>
        <v>531923.903225806</v>
      </c>
      <c r="H14" s="381"/>
      <c r="I14" s="511">
        <f t="shared" si="5"/>
        <v>115191.9207</v>
      </c>
      <c r="J14" s="511">
        <f t="shared" si="6"/>
        <v>94226.52</v>
      </c>
      <c r="K14" s="511">
        <f t="shared" si="7"/>
        <v>47113.26</v>
      </c>
      <c r="L14" s="404">
        <v>15000</v>
      </c>
      <c r="M14" s="512">
        <f ref="M14:M16" t="shared" si="14">SUM(G14:L14)</f>
        <v>803455.603925806</v>
      </c>
      <c r="N14" s="407">
        <f t="shared" si="8"/>
        <v>64276.4483140645</v>
      </c>
      <c r="O14" s="404"/>
      <c r="P14" s="404"/>
      <c r="Q14" s="407"/>
      <c r="R14" s="1141">
        <f t="shared" si="9"/>
        <v>867732.052239871</v>
      </c>
      <c r="S14" s="1141">
        <f t="shared" si="10"/>
        <v>6427.64483140645</v>
      </c>
      <c r="T14" s="1142">
        <f t="shared" si="11"/>
        <v>874159.697071277</v>
      </c>
      <c r="U14" s="1462">
        <v>44417</v>
      </c>
      <c r="V14" s="1463">
        <v>44500</v>
      </c>
    </row>
    <row r="15" ht="16.5" customHeight="1">
      <c r="A15" s="1370" t="s">
        <v>24</v>
      </c>
      <c r="B15" s="376">
        <v>2851</v>
      </c>
      <c r="C15" s="1371" t="s">
        <v>36</v>
      </c>
      <c r="D15" s="376" t="s">
        <v>34</v>
      </c>
      <c r="E15" s="838" t="s">
        <v>27</v>
      </c>
      <c r="F15" s="376" t="s">
        <v>28</v>
      </c>
      <c r="G15" s="1446">
        <f t="shared" si="13"/>
        <v>531923.903225806</v>
      </c>
      <c r="H15" s="1372"/>
      <c r="I15" s="1458">
        <f t="shared" si="5"/>
        <v>115191.9207</v>
      </c>
      <c r="J15" s="1458">
        <f t="shared" si="6"/>
        <v>94226.52</v>
      </c>
      <c r="K15" s="1458">
        <f t="shared" si="7"/>
        <v>47113.26</v>
      </c>
      <c r="L15" s="1457">
        <v>15000</v>
      </c>
      <c r="M15" s="512">
        <f t="shared" si="14"/>
        <v>803455.603925806</v>
      </c>
      <c r="N15" s="1459">
        <f t="shared" si="8"/>
        <v>64276.4483140645</v>
      </c>
      <c r="O15" s="404"/>
      <c r="P15" s="404"/>
      <c r="Q15" s="407"/>
      <c r="R15" s="1141">
        <f t="shared" si="9"/>
        <v>867732.052239871</v>
      </c>
      <c r="S15" s="1141">
        <f t="shared" si="10"/>
        <v>6427.64483140645</v>
      </c>
      <c r="T15" s="1142">
        <f t="shared" si="11"/>
        <v>874159.697071277</v>
      </c>
      <c r="U15" s="1462">
        <v>44417</v>
      </c>
      <c r="V15" s="1463">
        <v>44500</v>
      </c>
    </row>
    <row r="16" ht="16.5" customHeight="1">
      <c r="A16" s="1370" t="s">
        <v>24</v>
      </c>
      <c r="B16" s="376">
        <v>2852</v>
      </c>
      <c r="C16" s="1371" t="s">
        <v>37</v>
      </c>
      <c r="D16" s="376" t="s">
        <v>34</v>
      </c>
      <c r="E16" s="838" t="s">
        <v>27</v>
      </c>
      <c r="F16" s="376" t="s">
        <v>28</v>
      </c>
      <c r="G16" s="1446">
        <f t="shared" si="13"/>
        <v>531923.903225806</v>
      </c>
      <c r="H16" s="381"/>
      <c r="I16" s="511">
        <f t="shared" si="5"/>
        <v>115191.9207</v>
      </c>
      <c r="J16" s="511">
        <f t="shared" si="6"/>
        <v>94226.52</v>
      </c>
      <c r="K16" s="511">
        <f t="shared" si="7"/>
        <v>47113.26</v>
      </c>
      <c r="L16" s="404">
        <v>15000</v>
      </c>
      <c r="M16" s="512">
        <f t="shared" si="14"/>
        <v>803455.603925806</v>
      </c>
      <c r="N16" s="407">
        <f t="shared" si="8"/>
        <v>64276.4483140645</v>
      </c>
      <c r="O16" s="404"/>
      <c r="P16" s="404"/>
      <c r="Q16" s="407"/>
      <c r="R16" s="1141">
        <f t="shared" si="9"/>
        <v>867732.052239871</v>
      </c>
      <c r="S16" s="1141">
        <f t="shared" si="10"/>
        <v>6427.64483140645</v>
      </c>
      <c r="T16" s="1142">
        <f t="shared" si="11"/>
        <v>874159.697071277</v>
      </c>
      <c r="U16" s="1462">
        <v>44417</v>
      </c>
      <c r="V16" s="1463">
        <v>44500</v>
      </c>
    </row>
    <row r="17" ht="16.5" customHeight="1">
      <c r="A17" s="1744" t="s">
        <v>30</v>
      </c>
      <c r="B17" s="1867"/>
      <c r="C17" s="1745"/>
      <c r="D17" s="1745"/>
      <c r="E17" s="1745"/>
      <c r="F17" s="1745"/>
      <c r="G17" s="234">
        <f ref="G17:T17" t="shared" si="15">SUM(G13:G16)</f>
        <v>2127695.61290323</v>
      </c>
      <c r="H17" s="234">
        <f t="shared" si="15"/>
        <v>0</v>
      </c>
      <c r="I17" s="234">
        <f t="shared" si="15"/>
        <v>460767.6828</v>
      </c>
      <c r="J17" s="234">
        <f t="shared" si="15"/>
        <v>376906.08</v>
      </c>
      <c r="K17" s="234">
        <f t="shared" si="15"/>
        <v>188453.04</v>
      </c>
      <c r="L17" s="234">
        <f t="shared" si="15"/>
        <v>60000</v>
      </c>
      <c r="M17" s="234">
        <f t="shared" si="15"/>
        <v>3213822.41570323</v>
      </c>
      <c r="N17" s="234">
        <f t="shared" si="15"/>
        <v>257105.793256258</v>
      </c>
      <c r="O17" s="234">
        <f t="shared" si="15"/>
        <v>0</v>
      </c>
      <c r="P17" s="234">
        <f t="shared" si="15"/>
        <v>0</v>
      </c>
      <c r="Q17" s="234">
        <f t="shared" si="15"/>
        <v>0</v>
      </c>
      <c r="R17" s="234">
        <f t="shared" si="15"/>
        <v>3470928.20895948</v>
      </c>
      <c r="S17" s="234">
        <f t="shared" si="15"/>
        <v>25710.5793256258</v>
      </c>
      <c r="T17" s="234">
        <f t="shared" si="15"/>
        <v>3496638.78828511</v>
      </c>
      <c r="U17" s="332"/>
      <c r="V17" s="333"/>
    </row>
    <row r="18" ht="12" customHeight="1">
      <c r="A18" s="0" t="s">
        <v>30</v>
      </c>
      <c r="B18" s="1861"/>
      <c r="C18" s="209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U18" s="317"/>
    </row>
    <row r="19" ht="12" customHeight="1">
      <c r="A19" s="1744" t="s">
        <v>30</v>
      </c>
      <c r="B19" s="1867"/>
      <c r="C19" s="1745"/>
      <c r="D19" s="1745"/>
      <c r="E19" s="1745"/>
      <c r="F19" s="1745"/>
      <c r="G19" s="234">
        <f ref="G19:T19" t="shared" si="16">+G17+G9</f>
        <v>5471217.29032258</v>
      </c>
      <c r="H19" s="234">
        <f t="shared" si="16"/>
        <v>0</v>
      </c>
      <c r="I19" s="234">
        <f t="shared" si="16"/>
        <v>691151.5242</v>
      </c>
      <c r="J19" s="234">
        <f t="shared" si="16"/>
        <v>565359.12</v>
      </c>
      <c r="K19" s="234">
        <f t="shared" si="16"/>
        <v>282679.56</v>
      </c>
      <c r="L19" s="234">
        <f t="shared" si="16"/>
        <v>63334</v>
      </c>
      <c r="M19" s="234">
        <f t="shared" si="16"/>
        <v>7073741.49452258</v>
      </c>
      <c r="N19" s="234">
        <f t="shared" si="16"/>
        <v>565899.319561807</v>
      </c>
      <c r="O19" s="234">
        <f t="shared" si="16"/>
        <v>0</v>
      </c>
      <c r="P19" s="234">
        <f t="shared" si="16"/>
        <v>0</v>
      </c>
      <c r="Q19" s="234">
        <f t="shared" si="16"/>
        <v>0</v>
      </c>
      <c r="R19" s="234">
        <f t="shared" si="16"/>
        <v>7639640.81408439</v>
      </c>
      <c r="S19" s="234">
        <f t="shared" si="16"/>
        <v>56589.9319561806</v>
      </c>
      <c r="T19" s="234">
        <f t="shared" si="16"/>
        <v>7696230.74604057</v>
      </c>
      <c r="U19" s="332"/>
      <c r="V19" s="333"/>
    </row>
    <row r="20" ht="12" customHeight="1">
      <c r="A20" s="0" t="s">
        <v>30</v>
      </c>
      <c r="B20" s="1861"/>
      <c r="C20" s="387"/>
      <c r="D20" s="262"/>
      <c r="E20" s="263"/>
      <c r="F20" s="264"/>
      <c r="G20" s="210"/>
      <c r="H20" s="2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48"/>
      <c r="U20" s="317"/>
    </row>
    <row r="21" ht="12" customHeight="1">
      <c r="A21" s="0" t="s">
        <v>30</v>
      </c>
      <c r="B21" s="1869"/>
      <c r="C21" s="264" t="str">
        <f>+'MALANG BAT 2 AGUSTUS - OK'!C11</f>
        <v>Karawang, 16 Agustus 2021</v>
      </c>
      <c r="D21" s="270"/>
      <c r="E21" s="270"/>
      <c r="F21" s="270"/>
      <c r="G21" s="271"/>
      <c r="H21" s="271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48"/>
    </row>
    <row r="22" ht="12" customHeight="1">
      <c r="A22" s="0" t="s">
        <v>30</v>
      </c>
      <c r="B22" s="1870"/>
      <c r="C22" s="264" t="s">
        <v>38</v>
      </c>
      <c r="D22" s="263"/>
      <c r="E22" s="264"/>
      <c r="F22" s="264"/>
      <c r="G22" s="210"/>
      <c r="H22" s="210"/>
      <c r="I22" s="270"/>
      <c r="J22" s="270"/>
      <c r="K22" s="270"/>
      <c r="L22" s="270"/>
      <c r="M22" s="270"/>
      <c r="N22" s="310"/>
      <c r="O22" s="310"/>
      <c r="P22" s="310"/>
      <c r="Q22" s="310"/>
      <c r="R22" s="270"/>
      <c r="S22" s="270"/>
      <c r="T22" s="310"/>
      <c r="U22" s="348"/>
    </row>
    <row r="23" ht="12" customHeight="1">
      <c r="A23" s="0" t="s">
        <v>30</v>
      </c>
      <c r="B23" s="1869"/>
      <c r="C23" s="445"/>
      <c r="D23" s="274"/>
      <c r="E23" s="264"/>
      <c r="F23" s="264"/>
      <c r="G23" s="275"/>
      <c r="H23" s="275"/>
      <c r="I23" s="262"/>
      <c r="J23" s="262"/>
      <c r="K23" s="262"/>
      <c r="L23" s="312"/>
      <c r="M23" s="263" t="s">
        <v>39</v>
      </c>
      <c r="N23" s="313"/>
      <c r="O23" s="313"/>
      <c r="R23" s="349"/>
      <c r="S23" s="270"/>
      <c r="T23" s="313"/>
      <c r="U23" s="348"/>
    </row>
    <row r="24" ht="12" customHeight="1">
      <c r="A24" s="0" t="s">
        <v>30</v>
      </c>
      <c r="B24" s="1871"/>
      <c r="C24" s="446"/>
      <c r="D24" s="209"/>
      <c r="G24" s="275"/>
      <c r="H24" s="275"/>
      <c r="I24" s="262"/>
      <c r="J24" s="315"/>
      <c r="K24" s="262"/>
      <c r="L24" s="312"/>
      <c r="M24" s="262"/>
      <c r="N24" s="270"/>
      <c r="O24" s="270"/>
      <c r="P24" s="270"/>
      <c r="Q24" s="270"/>
      <c r="R24" s="349"/>
      <c r="S24" s="270"/>
      <c r="T24" s="270"/>
      <c r="U24" s="348"/>
    </row>
    <row r="25" ht="12" customHeight="1">
      <c r="A25" s="0" t="s">
        <v>30</v>
      </c>
      <c r="B25" s="1871"/>
      <c r="C25" s="446"/>
      <c r="D25" s="209"/>
      <c r="G25" s="210"/>
      <c r="H25" s="210"/>
      <c r="I25" s="210"/>
      <c r="J25" s="270"/>
      <c r="K25" s="270"/>
      <c r="L25" s="310"/>
      <c r="M25" s="270"/>
      <c r="N25" s="270"/>
      <c r="O25" s="270"/>
      <c r="P25" s="270"/>
      <c r="Q25" s="270"/>
      <c r="R25" s="208"/>
      <c r="S25" s="270"/>
      <c r="T25" s="270"/>
      <c r="U25" s="348"/>
    </row>
    <row r="26" ht="12" customHeight="1">
      <c r="A26" s="0" t="s">
        <v>30</v>
      </c>
      <c r="B26" s="1869"/>
      <c r="C26" s="445"/>
      <c r="D26" s="274"/>
      <c r="E26" s="264"/>
      <c r="F26" s="264"/>
      <c r="G26" s="275"/>
      <c r="H26" s="275"/>
      <c r="I26" s="275"/>
      <c r="J26" s="262"/>
      <c r="K26" s="262"/>
      <c r="L26" s="312"/>
      <c r="M26" s="262"/>
      <c r="N26" s="262"/>
      <c r="O26" s="262"/>
      <c r="P26" s="262"/>
      <c r="Q26" s="262"/>
      <c r="R26" s="264"/>
      <c r="S26" s="270"/>
      <c r="T26" s="270"/>
      <c r="U26" s="348"/>
    </row>
    <row r="27" ht="12" customHeight="1">
      <c r="A27" s="0" t="s">
        <v>30</v>
      </c>
      <c r="B27" s="1870"/>
      <c r="C27" s="264"/>
      <c r="D27" s="264"/>
      <c r="E27" s="264"/>
      <c r="F27" s="264"/>
      <c r="G27" s="275"/>
      <c r="H27" s="275"/>
      <c r="I27" s="275"/>
      <c r="J27" s="262"/>
      <c r="K27" s="262"/>
      <c r="L27" s="312"/>
      <c r="M27" s="262"/>
      <c r="N27" s="262"/>
      <c r="O27" s="262"/>
      <c r="P27" s="262"/>
      <c r="Q27" s="262"/>
      <c r="R27" s="264"/>
      <c r="S27" s="208"/>
      <c r="T27" s="270"/>
      <c r="U27" s="348"/>
    </row>
    <row r="28" ht="12" customHeight="1">
      <c r="A28" s="0" t="s">
        <v>30</v>
      </c>
      <c r="B28" s="1870"/>
      <c r="C28" s="264"/>
      <c r="D28" s="264"/>
      <c r="E28" s="264"/>
      <c r="F28" s="264"/>
      <c r="G28" s="275"/>
      <c r="H28" s="275"/>
      <c r="I28" s="275"/>
      <c r="J28" s="262"/>
      <c r="K28" s="262"/>
      <c r="L28" s="312"/>
      <c r="M28" s="262"/>
      <c r="N28" s="262"/>
      <c r="O28" s="262"/>
      <c r="P28" s="262"/>
      <c r="Q28" s="262"/>
      <c r="R28" s="264"/>
      <c r="S28" s="270"/>
      <c r="T28" s="387"/>
      <c r="U28" s="348"/>
    </row>
    <row r="29" ht="12" customHeight="1">
      <c r="A29" s="0" t="s">
        <v>30</v>
      </c>
      <c r="B29" s="1870"/>
      <c r="C29" s="264" t="s">
        <v>40</v>
      </c>
      <c r="D29" s="568"/>
      <c r="E29" s="264"/>
      <c r="F29" s="264"/>
      <c r="G29" s="275"/>
      <c r="H29" s="275"/>
      <c r="I29" s="275"/>
      <c r="J29" s="312" t="s">
        <v>41</v>
      </c>
      <c r="K29" s="263"/>
      <c r="L29" s="263"/>
      <c r="M29" s="263" t="s">
        <v>42</v>
      </c>
      <c r="P29" s="264" t="s">
        <v>43</v>
      </c>
      <c r="Q29" s="263"/>
      <c r="T29" s="387"/>
      <c r="U29" s="350"/>
    </row>
  </sheetData>
  <mergeCells>
    <mergeCell ref="A9:F9"/>
    <mergeCell ref="A17:F17"/>
    <mergeCell ref="A19:F19"/>
  </mergeCells>
  <printOptions horizontalCentered="1"/>
  <pageMargins left="0" right="0" top="0.75" bottom="0.75" header="0.3" footer="0.3"/>
  <pageSetup paperSize="9" scale="65" orientation="landscape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rgb="FFFF0000"/>
  </sheetPr>
  <dimension ref="A1:N605"/>
  <sheetViews>
    <sheetView zoomScale="70" zoomScaleNormal="70" workbookViewId="0">
      <pane xSplit="5" ySplit="8" topLeftCell="F579" activePane="bottomRight" state="frozen"/>
      <selection pane="topRight"/>
      <selection pane="bottomLeft"/>
      <selection pane="bottomRight" activeCell="A44" sqref="A44:E44"/>
    </sheetView>
  </sheetViews>
  <sheetFormatPr defaultColWidth="9" defaultRowHeight="15"/>
  <cols>
    <col min="1" max="1" width="4.140625" customWidth="1"/>
    <col min="2" max="2" width="4.28515625" customWidth="1"/>
    <col min="3" max="3" width="6" customWidth="1"/>
    <col min="4" max="4" width="23.85546875" customWidth="1"/>
    <col min="5" max="5" width="9" customWidth="1"/>
    <col min="6" max="6" width="9.7109375" customWidth="1"/>
    <col min="7" max="7" width="12.28515625" customWidth="1"/>
    <col min="8" max="8" width="11.42578125" customWidth="1"/>
    <col min="9" max="9" width="9.7109375" customWidth="1"/>
    <col min="10" max="10" width="20.85546875" customWidth="1"/>
    <col min="11" max="11" width="14.42578125" customWidth="1"/>
  </cols>
  <sheetData>
    <row r="1">
      <c r="G1" s="1861" t="s">
        <v>121</v>
      </c>
    </row>
    <row r="2">
      <c r="B2" s="104" t="s">
        <v>122</v>
      </c>
    </row>
    <row r="3">
      <c r="B3" s="104" t="s">
        <v>123</v>
      </c>
    </row>
    <row r="4">
      <c r="B4" s="104"/>
    </row>
    <row r="5">
      <c r="B5" s="104" t="s">
        <v>124</v>
      </c>
    </row>
    <row r="6">
      <c r="A6" s="105"/>
      <c r="B6" s="106" t="s">
        <v>125</v>
      </c>
    </row>
    <row r="7">
      <c r="A7" s="107"/>
      <c r="B7" s="1799" t="s">
        <v>126</v>
      </c>
      <c r="C7" s="1799" t="s">
        <v>127</v>
      </c>
      <c r="D7" s="1799" t="s">
        <v>128</v>
      </c>
      <c r="E7" s="1810" t="s">
        <v>129</v>
      </c>
      <c r="F7" s="1799" t="s">
        <v>130</v>
      </c>
      <c r="G7" s="1799" t="s">
        <v>131</v>
      </c>
      <c r="H7" s="1799"/>
      <c r="I7" s="108" t="s">
        <v>132</v>
      </c>
      <c r="J7" s="108" t="s">
        <v>133</v>
      </c>
      <c r="K7" s="1799" t="s">
        <v>134</v>
      </c>
    </row>
    <row r="8">
      <c r="A8" s="107"/>
      <c r="B8" s="1800"/>
      <c r="C8" s="1800"/>
      <c r="D8" s="1800"/>
      <c r="E8" s="1811"/>
      <c r="F8" s="1800"/>
      <c r="G8" s="109" t="s">
        <v>135</v>
      </c>
      <c r="H8" s="109" t="s">
        <v>136</v>
      </c>
      <c r="I8" s="109" t="s">
        <v>137</v>
      </c>
      <c r="J8" s="109" t="s">
        <v>137</v>
      </c>
      <c r="K8" s="1800"/>
    </row>
    <row r="9" ht="11.25" customHeight="1">
      <c r="B9" s="110">
        <v>1</v>
      </c>
      <c r="C9" s="110"/>
      <c r="D9" s="111" t="s">
        <v>138</v>
      </c>
      <c r="E9" s="112">
        <v>43813</v>
      </c>
      <c r="F9" s="112"/>
      <c r="G9" s="110" t="s">
        <v>139</v>
      </c>
      <c r="H9" s="110" t="s">
        <v>140</v>
      </c>
      <c r="I9" s="122">
        <v>1802000</v>
      </c>
      <c r="J9" s="110"/>
      <c r="K9" s="1801" t="s">
        <v>141</v>
      </c>
    </row>
    <row r="10">
      <c r="B10" s="113">
        <f>+B9+1</f>
        <v>2</v>
      </c>
      <c r="C10" s="113"/>
      <c r="D10" s="114" t="s">
        <v>142</v>
      </c>
      <c r="E10" s="115">
        <v>43822</v>
      </c>
      <c r="F10" s="115"/>
      <c r="G10" s="113" t="s">
        <v>139</v>
      </c>
      <c r="H10" s="113" t="s">
        <v>140</v>
      </c>
      <c r="I10" s="123">
        <v>1802000</v>
      </c>
      <c r="J10" s="113"/>
      <c r="K10" s="1801"/>
    </row>
    <row r="11">
      <c r="B11" s="113">
        <f ref="B11:B42" t="shared" si="0">+B10+1</f>
        <v>3</v>
      </c>
      <c r="C11" s="113"/>
      <c r="D11" s="114" t="s">
        <v>143</v>
      </c>
      <c r="E11" s="115">
        <v>43832</v>
      </c>
      <c r="F11" s="115"/>
      <c r="G11" s="113" t="s">
        <v>139</v>
      </c>
      <c r="H11" s="113" t="s">
        <v>140</v>
      </c>
      <c r="I11" s="123">
        <v>1802000</v>
      </c>
      <c r="J11" s="113"/>
      <c r="K11" s="1801"/>
    </row>
    <row r="12">
      <c r="B12" s="113">
        <f t="shared" si="0"/>
        <v>4</v>
      </c>
      <c r="C12" s="113"/>
      <c r="D12" s="114" t="s">
        <v>144</v>
      </c>
      <c r="E12" s="115">
        <v>43835</v>
      </c>
      <c r="F12" s="115"/>
      <c r="G12" s="113" t="s">
        <v>139</v>
      </c>
      <c r="H12" s="113" t="s">
        <v>140</v>
      </c>
      <c r="I12" s="123">
        <v>1802000</v>
      </c>
      <c r="J12" s="113"/>
      <c r="K12" s="1801"/>
    </row>
    <row r="13">
      <c r="B13" s="113">
        <f t="shared" si="0"/>
        <v>5</v>
      </c>
      <c r="C13" s="113"/>
      <c r="D13" s="114" t="s">
        <v>145</v>
      </c>
      <c r="E13" s="115"/>
      <c r="F13" s="115">
        <v>43825</v>
      </c>
      <c r="G13" s="113" t="s">
        <v>139</v>
      </c>
      <c r="H13" s="113" t="s">
        <v>140</v>
      </c>
      <c r="I13" s="123">
        <v>1802000</v>
      </c>
      <c r="J13" s="113"/>
      <c r="K13" s="1801"/>
    </row>
    <row r="14">
      <c r="B14" s="113">
        <f t="shared" si="0"/>
        <v>6</v>
      </c>
      <c r="C14" s="113"/>
      <c r="D14" s="114" t="s">
        <v>146</v>
      </c>
      <c r="E14" s="115"/>
      <c r="F14" s="115">
        <v>43833</v>
      </c>
      <c r="G14" s="113" t="s">
        <v>139</v>
      </c>
      <c r="H14" s="113" t="s">
        <v>140</v>
      </c>
      <c r="I14" s="123">
        <v>1802000</v>
      </c>
      <c r="J14" s="113"/>
      <c r="K14" s="1801"/>
    </row>
    <row r="15">
      <c r="B15" s="113">
        <f t="shared" si="0"/>
        <v>7</v>
      </c>
      <c r="C15" s="113"/>
      <c r="D15" s="114" t="s">
        <v>147</v>
      </c>
      <c r="E15" s="115"/>
      <c r="F15" s="115">
        <v>43802</v>
      </c>
      <c r="G15" s="113" t="s">
        <v>139</v>
      </c>
      <c r="H15" s="113" t="s">
        <v>140</v>
      </c>
      <c r="I15" s="123">
        <v>1802000</v>
      </c>
      <c r="J15" s="113"/>
      <c r="K15" s="1801"/>
    </row>
    <row r="16">
      <c r="B16" s="113">
        <f t="shared" si="0"/>
        <v>8</v>
      </c>
      <c r="C16" s="113"/>
      <c r="D16" s="114" t="s">
        <v>148</v>
      </c>
      <c r="E16" s="115"/>
      <c r="F16" s="115">
        <v>43805</v>
      </c>
      <c r="G16" s="113" t="s">
        <v>139</v>
      </c>
      <c r="H16" s="113" t="s">
        <v>140</v>
      </c>
      <c r="I16" s="123">
        <v>1802000</v>
      </c>
      <c r="J16" s="113"/>
      <c r="K16" s="1801"/>
    </row>
    <row r="17">
      <c r="B17" s="113">
        <f t="shared" si="0"/>
        <v>9</v>
      </c>
      <c r="C17" s="113"/>
      <c r="D17" s="114" t="s">
        <v>149</v>
      </c>
      <c r="E17" s="115"/>
      <c r="F17" s="115">
        <v>43816</v>
      </c>
      <c r="G17" s="113" t="s">
        <v>139</v>
      </c>
      <c r="H17" s="113" t="s">
        <v>140</v>
      </c>
      <c r="I17" s="123">
        <v>1802000</v>
      </c>
      <c r="J17" s="113"/>
      <c r="K17" s="1801"/>
    </row>
    <row r="18">
      <c r="B18" s="113">
        <f t="shared" si="0"/>
        <v>10</v>
      </c>
      <c r="C18" s="113"/>
      <c r="D18" s="114" t="s">
        <v>150</v>
      </c>
      <c r="E18" s="115"/>
      <c r="F18" s="115">
        <v>43802</v>
      </c>
      <c r="G18" s="116" t="s">
        <v>47</v>
      </c>
      <c r="H18" s="116" t="s">
        <v>48</v>
      </c>
      <c r="I18" s="124">
        <v>2895502</v>
      </c>
      <c r="J18" s="113"/>
      <c r="K18" s="1801"/>
    </row>
    <row r="19">
      <c r="B19" s="113">
        <f t="shared" si="0"/>
        <v>11</v>
      </c>
      <c r="C19" s="113"/>
      <c r="D19" s="114" t="s">
        <v>151</v>
      </c>
      <c r="E19" s="115"/>
      <c r="F19" s="115">
        <v>43825</v>
      </c>
      <c r="G19" s="116" t="s">
        <v>47</v>
      </c>
      <c r="H19" s="116" t="s">
        <v>48</v>
      </c>
      <c r="I19" s="124">
        <v>2895502</v>
      </c>
      <c r="J19" s="113"/>
      <c r="K19" s="1801"/>
    </row>
    <row r="20">
      <c r="B20" s="113">
        <f t="shared" si="0"/>
        <v>12</v>
      </c>
      <c r="C20" s="113"/>
      <c r="D20" s="114" t="s">
        <v>152</v>
      </c>
      <c r="E20" s="115"/>
      <c r="F20" s="115">
        <v>43825</v>
      </c>
      <c r="G20" s="116" t="s">
        <v>47</v>
      </c>
      <c r="H20" s="116" t="s">
        <v>48</v>
      </c>
      <c r="I20" s="124">
        <v>2895502</v>
      </c>
      <c r="J20" s="113"/>
      <c r="K20" s="1801"/>
    </row>
    <row r="21">
      <c r="B21" s="113">
        <f t="shared" si="0"/>
        <v>13</v>
      </c>
      <c r="C21" s="113"/>
      <c r="D21" s="114" t="s">
        <v>153</v>
      </c>
      <c r="E21" s="115"/>
      <c r="F21" s="115">
        <v>43825</v>
      </c>
      <c r="G21" s="116" t="s">
        <v>47</v>
      </c>
      <c r="H21" s="116" t="s">
        <v>48</v>
      </c>
      <c r="I21" s="124">
        <v>2895502</v>
      </c>
      <c r="J21" s="113"/>
      <c r="K21" s="1801"/>
    </row>
    <row r="22">
      <c r="B22" s="113">
        <f t="shared" si="0"/>
        <v>14</v>
      </c>
      <c r="C22" s="113"/>
      <c r="D22" s="114" t="s">
        <v>154</v>
      </c>
      <c r="E22" s="115"/>
      <c r="F22" s="115">
        <v>43825</v>
      </c>
      <c r="G22" s="116" t="s">
        <v>47</v>
      </c>
      <c r="H22" s="116" t="s">
        <v>48</v>
      </c>
      <c r="I22" s="124">
        <v>2895502</v>
      </c>
      <c r="J22" s="113"/>
      <c r="K22" s="1801"/>
    </row>
    <row r="23">
      <c r="B23" s="113">
        <f t="shared" si="0"/>
        <v>15</v>
      </c>
      <c r="C23" s="113"/>
      <c r="D23" s="114" t="s">
        <v>155</v>
      </c>
      <c r="E23" s="115"/>
      <c r="F23" s="115">
        <v>43825</v>
      </c>
      <c r="G23" s="116" t="s">
        <v>47</v>
      </c>
      <c r="H23" s="116" t="s">
        <v>48</v>
      </c>
      <c r="I23" s="124">
        <v>2895502</v>
      </c>
      <c r="J23" s="113"/>
      <c r="K23" s="1801"/>
    </row>
    <row r="24">
      <c r="B24" s="113">
        <f t="shared" si="0"/>
        <v>16</v>
      </c>
      <c r="C24" s="113"/>
      <c r="D24" s="114" t="s">
        <v>156</v>
      </c>
      <c r="E24" s="115"/>
      <c r="F24" s="115">
        <v>43825</v>
      </c>
      <c r="G24" s="116" t="s">
        <v>47</v>
      </c>
      <c r="H24" s="116" t="s">
        <v>48</v>
      </c>
      <c r="I24" s="124">
        <v>2895502</v>
      </c>
      <c r="J24" s="113"/>
      <c r="K24" s="1801"/>
    </row>
    <row r="25">
      <c r="B25" s="113">
        <f t="shared" si="0"/>
        <v>17</v>
      </c>
      <c r="C25" s="113"/>
      <c r="D25" s="114" t="s">
        <v>157</v>
      </c>
      <c r="E25" s="115"/>
      <c r="F25" s="115">
        <v>43825</v>
      </c>
      <c r="G25" s="116" t="s">
        <v>47</v>
      </c>
      <c r="H25" s="116" t="s">
        <v>48</v>
      </c>
      <c r="I25" s="124">
        <v>2895502</v>
      </c>
      <c r="J25" s="113"/>
      <c r="K25" s="1801"/>
    </row>
    <row r="26">
      <c r="B26" s="113">
        <f t="shared" si="0"/>
        <v>18</v>
      </c>
      <c r="C26" s="113"/>
      <c r="D26" s="114" t="s">
        <v>158</v>
      </c>
      <c r="E26" s="115"/>
      <c r="F26" s="115">
        <v>43825</v>
      </c>
      <c r="G26" s="116" t="s">
        <v>47</v>
      </c>
      <c r="H26" s="116" t="s">
        <v>48</v>
      </c>
      <c r="I26" s="124">
        <v>2895502</v>
      </c>
      <c r="J26" s="113"/>
      <c r="K26" s="1801"/>
    </row>
    <row r="27">
      <c r="B27" s="113">
        <f t="shared" si="0"/>
        <v>19</v>
      </c>
      <c r="C27" s="113"/>
      <c r="D27" s="114" t="s">
        <v>159</v>
      </c>
      <c r="E27" s="115"/>
      <c r="F27" s="115">
        <v>43825</v>
      </c>
      <c r="G27" s="116" t="s">
        <v>47</v>
      </c>
      <c r="H27" s="116" t="s">
        <v>48</v>
      </c>
      <c r="I27" s="124">
        <v>2895502</v>
      </c>
      <c r="J27" s="113"/>
      <c r="K27" s="1801"/>
    </row>
    <row r="28">
      <c r="B28" s="113">
        <f t="shared" si="0"/>
        <v>20</v>
      </c>
      <c r="C28" s="113"/>
      <c r="D28" s="114" t="s">
        <v>160</v>
      </c>
      <c r="E28" s="115"/>
      <c r="F28" s="115"/>
      <c r="G28" s="116" t="s">
        <v>47</v>
      </c>
      <c r="H28" s="116" t="s">
        <v>48</v>
      </c>
      <c r="I28" s="124">
        <v>2895502</v>
      </c>
      <c r="J28" s="113"/>
      <c r="K28" s="1801"/>
    </row>
    <row r="29">
      <c r="B29" s="113">
        <f t="shared" si="0"/>
        <v>21</v>
      </c>
      <c r="C29" s="113"/>
      <c r="D29" s="114" t="s">
        <v>161</v>
      </c>
      <c r="E29" s="115">
        <v>43818</v>
      </c>
      <c r="F29" s="115"/>
      <c r="G29" s="116" t="s">
        <v>47</v>
      </c>
      <c r="H29" s="116" t="s">
        <v>48</v>
      </c>
      <c r="I29" s="124">
        <v>2895502</v>
      </c>
      <c r="J29" s="113"/>
      <c r="K29" s="1801"/>
    </row>
    <row r="30">
      <c r="B30" s="113">
        <f t="shared" si="0"/>
        <v>22</v>
      </c>
      <c r="C30" s="113"/>
      <c r="D30" s="114" t="s">
        <v>162</v>
      </c>
      <c r="E30" s="115">
        <v>43822</v>
      </c>
      <c r="F30" s="115"/>
      <c r="G30" s="116" t="s">
        <v>47</v>
      </c>
      <c r="H30" s="116" t="s">
        <v>48</v>
      </c>
      <c r="I30" s="124">
        <v>2895502</v>
      </c>
      <c r="J30" s="113"/>
      <c r="K30" s="1801"/>
    </row>
    <row r="31">
      <c r="B31" s="113">
        <f t="shared" si="0"/>
        <v>23</v>
      </c>
      <c r="C31" s="113"/>
      <c r="D31" s="114" t="s">
        <v>163</v>
      </c>
      <c r="E31" s="115">
        <v>43823</v>
      </c>
      <c r="F31" s="115"/>
      <c r="G31" s="116" t="s">
        <v>47</v>
      </c>
      <c r="H31" s="116" t="s">
        <v>48</v>
      </c>
      <c r="I31" s="124">
        <v>2895502</v>
      </c>
      <c r="J31" s="113"/>
      <c r="K31" s="1801"/>
    </row>
    <row r="32">
      <c r="B32" s="113">
        <f t="shared" si="0"/>
        <v>24</v>
      </c>
      <c r="C32" s="113"/>
      <c r="D32" s="114" t="s">
        <v>164</v>
      </c>
      <c r="E32" s="115">
        <v>43825</v>
      </c>
      <c r="F32" s="115"/>
      <c r="G32" s="116" t="s">
        <v>47</v>
      </c>
      <c r="H32" s="116" t="s">
        <v>48</v>
      </c>
      <c r="I32" s="124">
        <v>2895502</v>
      </c>
      <c r="J32" s="113"/>
      <c r="K32" s="1801"/>
    </row>
    <row r="33">
      <c r="B33" s="113">
        <f t="shared" si="0"/>
        <v>25</v>
      </c>
      <c r="C33" s="113"/>
      <c r="D33" s="114" t="s">
        <v>78</v>
      </c>
      <c r="E33" s="115">
        <v>43825</v>
      </c>
      <c r="F33" s="115"/>
      <c r="G33" s="116" t="s">
        <v>47</v>
      </c>
      <c r="H33" s="116" t="s">
        <v>48</v>
      </c>
      <c r="I33" s="124">
        <v>2895502</v>
      </c>
      <c r="J33" s="113"/>
      <c r="K33" s="1801"/>
    </row>
    <row r="34">
      <c r="B34" s="113">
        <f t="shared" si="0"/>
        <v>26</v>
      </c>
      <c r="C34" s="113"/>
      <c r="D34" s="114" t="s">
        <v>165</v>
      </c>
      <c r="E34" s="115">
        <v>43826</v>
      </c>
      <c r="F34" s="115"/>
      <c r="G34" s="116" t="s">
        <v>47</v>
      </c>
      <c r="H34" s="116" t="s">
        <v>48</v>
      </c>
      <c r="I34" s="124">
        <v>2895502</v>
      </c>
      <c r="J34" s="113"/>
      <c r="K34" s="1801"/>
    </row>
    <row r="35">
      <c r="B35" s="113">
        <f t="shared" si="0"/>
        <v>27</v>
      </c>
      <c r="C35" s="113"/>
      <c r="D35" s="114" t="s">
        <v>166</v>
      </c>
      <c r="E35" s="115">
        <v>43831</v>
      </c>
      <c r="F35" s="115"/>
      <c r="G35" s="116" t="s">
        <v>47</v>
      </c>
      <c r="H35" s="116" t="s">
        <v>48</v>
      </c>
      <c r="I35" s="124">
        <v>2895502</v>
      </c>
      <c r="J35" s="113"/>
      <c r="K35" s="1801"/>
    </row>
    <row r="36">
      <c r="B36" s="113">
        <f t="shared" si="0"/>
        <v>28</v>
      </c>
      <c r="C36" s="113"/>
      <c r="D36" s="114" t="s">
        <v>167</v>
      </c>
      <c r="E36" s="115">
        <v>43834</v>
      </c>
      <c r="F36" s="115"/>
      <c r="G36" s="116" t="s">
        <v>47</v>
      </c>
      <c r="H36" s="116" t="s">
        <v>48</v>
      </c>
      <c r="I36" s="124">
        <v>2895502</v>
      </c>
      <c r="J36" s="113"/>
      <c r="K36" s="1801"/>
    </row>
    <row r="37">
      <c r="B37" s="113">
        <f t="shared" si="0"/>
        <v>29</v>
      </c>
      <c r="C37" s="113"/>
      <c r="D37" s="114" t="s">
        <v>168</v>
      </c>
      <c r="E37" s="115">
        <v>43835</v>
      </c>
      <c r="F37" s="115"/>
      <c r="G37" s="116" t="s">
        <v>47</v>
      </c>
      <c r="H37" s="116" t="s">
        <v>48</v>
      </c>
      <c r="I37" s="124">
        <v>2895502</v>
      </c>
      <c r="J37" s="113"/>
      <c r="K37" s="1801"/>
    </row>
    <row r="38">
      <c r="B38" s="113">
        <f t="shared" si="0"/>
        <v>30</v>
      </c>
      <c r="C38" s="113"/>
      <c r="D38" s="114" t="s">
        <v>169</v>
      </c>
      <c r="E38" s="115">
        <v>43831</v>
      </c>
      <c r="F38" s="115"/>
      <c r="G38" s="116" t="s">
        <v>170</v>
      </c>
      <c r="H38" s="116" t="s">
        <v>171</v>
      </c>
      <c r="I38" s="124">
        <v>2004000</v>
      </c>
      <c r="J38" s="113"/>
      <c r="K38" s="1801"/>
    </row>
    <row r="39">
      <c r="B39" s="113">
        <f t="shared" si="0"/>
        <v>31</v>
      </c>
      <c r="C39" s="113"/>
      <c r="D39" s="114" t="s">
        <v>172</v>
      </c>
      <c r="E39" s="115">
        <v>43831</v>
      </c>
      <c r="F39" s="115"/>
      <c r="G39" s="116" t="s">
        <v>170</v>
      </c>
      <c r="H39" s="116" t="s">
        <v>171</v>
      </c>
      <c r="I39" s="124">
        <v>2004000</v>
      </c>
      <c r="J39" s="113"/>
      <c r="K39" s="1801"/>
    </row>
    <row r="40">
      <c r="B40" s="113">
        <f t="shared" si="0"/>
        <v>32</v>
      </c>
      <c r="C40" s="113"/>
      <c r="D40" s="114" t="s">
        <v>173</v>
      </c>
      <c r="E40" s="115">
        <v>43816</v>
      </c>
      <c r="F40" s="115"/>
      <c r="G40" s="117" t="s">
        <v>170</v>
      </c>
      <c r="H40" s="117" t="s">
        <v>87</v>
      </c>
      <c r="I40" s="124">
        <v>2004000</v>
      </c>
      <c r="J40" s="113"/>
      <c r="K40" s="1801"/>
    </row>
    <row r="41">
      <c r="B41" s="113">
        <f t="shared" si="0"/>
        <v>33</v>
      </c>
      <c r="C41" s="113"/>
      <c r="D41" s="114" t="s">
        <v>174</v>
      </c>
      <c r="E41" s="115">
        <v>43823</v>
      </c>
      <c r="F41" s="115"/>
      <c r="G41" s="117" t="s">
        <v>170</v>
      </c>
      <c r="H41" s="117" t="s">
        <v>87</v>
      </c>
      <c r="I41" s="124">
        <v>2004000</v>
      </c>
      <c r="J41" s="113"/>
      <c r="K41" s="1801"/>
    </row>
    <row r="42">
      <c r="B42" s="113">
        <f t="shared" si="0"/>
        <v>34</v>
      </c>
      <c r="C42" s="113"/>
      <c r="D42" s="114" t="s">
        <v>175</v>
      </c>
      <c r="E42" s="115">
        <v>43810</v>
      </c>
      <c r="F42" s="115"/>
      <c r="G42" s="116" t="s">
        <v>176</v>
      </c>
      <c r="H42" s="116" t="s">
        <v>177</v>
      </c>
      <c r="I42" s="124">
        <v>2715000</v>
      </c>
      <c r="J42" s="113"/>
      <c r="K42" s="1802"/>
    </row>
    <row r="43">
      <c r="B43" s="118"/>
      <c r="C43" s="118"/>
      <c r="D43" s="119"/>
      <c r="E43" s="120"/>
      <c r="F43" s="120"/>
      <c r="G43" s="121"/>
      <c r="H43" s="121"/>
      <c r="I43" s="125"/>
      <c r="J43" s="118"/>
      <c r="K43" s="118"/>
    </row>
    <row r="44" ht="11.25" customHeight="1">
      <c r="B44" s="113">
        <v>1</v>
      </c>
      <c r="C44" s="113"/>
      <c r="D44" s="114" t="s">
        <v>178</v>
      </c>
      <c r="E44" s="115">
        <v>43862</v>
      </c>
      <c r="F44" s="115">
        <v>43865</v>
      </c>
      <c r="G44" s="113" t="s">
        <v>139</v>
      </c>
      <c r="H44" s="113" t="s">
        <v>140</v>
      </c>
      <c r="I44" s="123">
        <v>1802000</v>
      </c>
      <c r="J44" s="113"/>
      <c r="K44" s="1803" t="s">
        <v>179</v>
      </c>
    </row>
    <row r="45">
      <c r="B45" s="113">
        <f>+B44+1</f>
        <v>2</v>
      </c>
      <c r="C45" s="113"/>
      <c r="D45" s="114" t="s">
        <v>180</v>
      </c>
      <c r="E45" s="115">
        <v>43867</v>
      </c>
      <c r="F45" s="115">
        <v>43868</v>
      </c>
      <c r="G45" s="113" t="s">
        <v>139</v>
      </c>
      <c r="H45" s="113" t="s">
        <v>140</v>
      </c>
      <c r="I45" s="123">
        <v>1802000</v>
      </c>
      <c r="J45" s="113"/>
      <c r="K45" s="1804"/>
    </row>
    <row r="46">
      <c r="B46" s="113">
        <f ref="B46:B64" t="shared" si="1">+B45+1</f>
        <v>3</v>
      </c>
      <c r="C46" s="113"/>
      <c r="D46" s="114" t="s">
        <v>181</v>
      </c>
      <c r="E46" s="115">
        <v>43867</v>
      </c>
      <c r="F46" s="115">
        <v>43869</v>
      </c>
      <c r="G46" s="113" t="s">
        <v>139</v>
      </c>
      <c r="H46" s="113" t="s">
        <v>140</v>
      </c>
      <c r="I46" s="123">
        <v>1802000</v>
      </c>
      <c r="J46" s="113"/>
      <c r="K46" s="1804"/>
    </row>
    <row r="47">
      <c r="B47" s="113">
        <f t="shared" si="1"/>
        <v>4</v>
      </c>
      <c r="C47" s="113"/>
      <c r="D47" s="114" t="s">
        <v>182</v>
      </c>
      <c r="E47" s="115"/>
      <c r="F47" s="115">
        <v>43861</v>
      </c>
      <c r="G47" s="113" t="s">
        <v>139</v>
      </c>
      <c r="H47" s="113" t="s">
        <v>140</v>
      </c>
      <c r="I47" s="123">
        <v>1802000</v>
      </c>
      <c r="J47" s="113"/>
      <c r="K47" s="1804"/>
    </row>
    <row r="48">
      <c r="B48" s="113">
        <f t="shared" si="1"/>
        <v>5</v>
      </c>
      <c r="C48" s="113"/>
      <c r="D48" s="114" t="s">
        <v>183</v>
      </c>
      <c r="E48" s="115">
        <v>43862</v>
      </c>
      <c r="F48" s="115"/>
      <c r="G48" s="113" t="s">
        <v>139</v>
      </c>
      <c r="H48" s="113" t="s">
        <v>140</v>
      </c>
      <c r="I48" s="123">
        <v>1802000</v>
      </c>
      <c r="J48" s="113"/>
      <c r="K48" s="1804"/>
    </row>
    <row r="49">
      <c r="B49" s="113">
        <f t="shared" si="1"/>
        <v>6</v>
      </c>
      <c r="C49" s="113"/>
      <c r="D49" s="114" t="s">
        <v>184</v>
      </c>
      <c r="E49" s="115">
        <v>43862</v>
      </c>
      <c r="F49" s="115"/>
      <c r="G49" s="113" t="s">
        <v>139</v>
      </c>
      <c r="H49" s="113" t="s">
        <v>140</v>
      </c>
      <c r="I49" s="123">
        <v>1802000</v>
      </c>
      <c r="J49" s="113"/>
      <c r="K49" s="1804"/>
    </row>
    <row r="50">
      <c r="B50" s="113">
        <f t="shared" si="1"/>
        <v>7</v>
      </c>
      <c r="C50" s="113"/>
      <c r="D50" s="114" t="s">
        <v>185</v>
      </c>
      <c r="E50" s="115">
        <v>43862</v>
      </c>
      <c r="F50" s="115"/>
      <c r="G50" s="113" t="s">
        <v>139</v>
      </c>
      <c r="H50" s="113" t="s">
        <v>140</v>
      </c>
      <c r="I50" s="123">
        <v>1802000</v>
      </c>
      <c r="J50" s="113"/>
      <c r="K50" s="1804"/>
    </row>
    <row r="51">
      <c r="B51" s="113">
        <f t="shared" si="1"/>
        <v>8</v>
      </c>
      <c r="C51" s="113"/>
      <c r="D51" s="114" t="s">
        <v>186</v>
      </c>
      <c r="E51" s="115">
        <v>43862</v>
      </c>
      <c r="F51" s="115"/>
      <c r="G51" s="113" t="s">
        <v>139</v>
      </c>
      <c r="H51" s="113" t="s">
        <v>140</v>
      </c>
      <c r="I51" s="123">
        <v>1802000</v>
      </c>
      <c r="J51" s="113"/>
      <c r="K51" s="1804"/>
    </row>
    <row r="52">
      <c r="B52" s="113">
        <f t="shared" si="1"/>
        <v>9</v>
      </c>
      <c r="C52" s="113"/>
      <c r="D52" s="114" t="s">
        <v>187</v>
      </c>
      <c r="E52" s="115">
        <v>43862</v>
      </c>
      <c r="F52" s="115"/>
      <c r="G52" s="113" t="s">
        <v>139</v>
      </c>
      <c r="H52" s="113" t="s">
        <v>140</v>
      </c>
      <c r="I52" s="123">
        <v>1802000</v>
      </c>
      <c r="J52" s="113"/>
      <c r="K52" s="1804"/>
    </row>
    <row r="53">
      <c r="B53" s="113">
        <f t="shared" si="1"/>
        <v>10</v>
      </c>
      <c r="C53" s="113"/>
      <c r="D53" s="114" t="s">
        <v>188</v>
      </c>
      <c r="E53" s="115">
        <v>43865</v>
      </c>
      <c r="F53" s="115"/>
      <c r="G53" s="113" t="s">
        <v>139</v>
      </c>
      <c r="H53" s="113" t="s">
        <v>140</v>
      </c>
      <c r="I53" s="123">
        <v>1802000</v>
      </c>
      <c r="J53" s="113"/>
      <c r="K53" s="1804"/>
    </row>
    <row r="54">
      <c r="B54" s="113">
        <f t="shared" si="1"/>
        <v>11</v>
      </c>
      <c r="C54" s="113"/>
      <c r="D54" s="114" t="s">
        <v>189</v>
      </c>
      <c r="E54" s="115">
        <v>43873</v>
      </c>
      <c r="F54" s="115"/>
      <c r="G54" s="113" t="s">
        <v>139</v>
      </c>
      <c r="H54" s="113" t="s">
        <v>140</v>
      </c>
      <c r="I54" s="123">
        <v>1802000</v>
      </c>
      <c r="J54" s="113"/>
      <c r="K54" s="1804"/>
    </row>
    <row r="55">
      <c r="B55" s="113">
        <f t="shared" si="1"/>
        <v>12</v>
      </c>
      <c r="C55" s="113"/>
      <c r="D55" s="114" t="s">
        <v>190</v>
      </c>
      <c r="E55" s="115">
        <v>43873</v>
      </c>
      <c r="F55" s="115"/>
      <c r="G55" s="113" t="s">
        <v>139</v>
      </c>
      <c r="H55" s="113" t="s">
        <v>140</v>
      </c>
      <c r="I55" s="123">
        <v>1802000</v>
      </c>
      <c r="J55" s="113"/>
      <c r="K55" s="1804"/>
    </row>
    <row r="56">
      <c r="B56" s="113">
        <f t="shared" si="1"/>
        <v>13</v>
      </c>
      <c r="C56" s="113"/>
      <c r="D56" s="114" t="s">
        <v>191</v>
      </c>
      <c r="E56" s="115">
        <v>43873</v>
      </c>
      <c r="F56" s="115"/>
      <c r="G56" s="113" t="s">
        <v>139</v>
      </c>
      <c r="H56" s="113" t="s">
        <v>140</v>
      </c>
      <c r="I56" s="123">
        <v>1802000</v>
      </c>
      <c r="J56" s="113"/>
      <c r="K56" s="1804"/>
    </row>
    <row r="57">
      <c r="B57" s="113">
        <f t="shared" si="1"/>
        <v>14</v>
      </c>
      <c r="C57" s="113"/>
      <c r="D57" s="114" t="s">
        <v>192</v>
      </c>
      <c r="E57" s="115"/>
      <c r="F57" s="115">
        <v>43843</v>
      </c>
      <c r="G57" s="116" t="s">
        <v>193</v>
      </c>
      <c r="H57" s="116" t="s">
        <v>177</v>
      </c>
      <c r="I57" s="124">
        <v>4200479</v>
      </c>
      <c r="J57" s="113"/>
      <c r="K57" s="1804"/>
    </row>
    <row r="58">
      <c r="B58" s="113">
        <f t="shared" si="1"/>
        <v>15</v>
      </c>
      <c r="C58" s="113"/>
      <c r="D58" s="114" t="s">
        <v>194</v>
      </c>
      <c r="E58" s="115">
        <v>43855</v>
      </c>
      <c r="F58" s="115"/>
      <c r="G58" s="116" t="s">
        <v>193</v>
      </c>
      <c r="H58" s="116" t="s">
        <v>177</v>
      </c>
      <c r="I58" s="124">
        <v>4200479</v>
      </c>
      <c r="J58" s="113"/>
      <c r="K58" s="1804"/>
    </row>
    <row r="59">
      <c r="B59" s="113">
        <f t="shared" si="1"/>
        <v>16</v>
      </c>
      <c r="C59" s="113"/>
      <c r="D59" s="114" t="s">
        <v>195</v>
      </c>
      <c r="E59" s="115">
        <v>43873</v>
      </c>
      <c r="F59" s="115"/>
      <c r="G59" s="116" t="s">
        <v>193</v>
      </c>
      <c r="H59" s="116" t="s">
        <v>177</v>
      </c>
      <c r="I59" s="124">
        <v>4200479</v>
      </c>
      <c r="J59" s="113"/>
      <c r="K59" s="1804"/>
    </row>
    <row r="60">
      <c r="B60" s="113">
        <f t="shared" si="1"/>
        <v>17</v>
      </c>
      <c r="C60" s="113"/>
      <c r="D60" s="114" t="s">
        <v>196</v>
      </c>
      <c r="E60" s="115"/>
      <c r="F60" s="115">
        <v>43873</v>
      </c>
      <c r="G60" s="115" t="s">
        <v>47</v>
      </c>
      <c r="H60" s="115" t="s">
        <v>48</v>
      </c>
      <c r="I60" s="124">
        <v>2895502</v>
      </c>
      <c r="J60" s="113"/>
      <c r="K60" s="1804"/>
    </row>
    <row r="61">
      <c r="B61" s="113">
        <f t="shared" si="1"/>
        <v>18</v>
      </c>
      <c r="C61" s="113"/>
      <c r="D61" s="114" t="s">
        <v>164</v>
      </c>
      <c r="E61" s="115"/>
      <c r="F61" s="115">
        <v>43861</v>
      </c>
      <c r="G61" s="115" t="s">
        <v>47</v>
      </c>
      <c r="H61" s="115" t="s">
        <v>48</v>
      </c>
      <c r="I61" s="124">
        <v>2895502</v>
      </c>
      <c r="J61" s="113"/>
      <c r="K61" s="1804"/>
    </row>
    <row r="62">
      <c r="B62" s="113">
        <f t="shared" si="1"/>
        <v>19</v>
      </c>
      <c r="C62" s="113"/>
      <c r="D62" s="114" t="s">
        <v>197</v>
      </c>
      <c r="E62" s="115">
        <v>43854</v>
      </c>
      <c r="F62" s="115"/>
      <c r="G62" s="116" t="s">
        <v>176</v>
      </c>
      <c r="H62" s="116" t="s">
        <v>177</v>
      </c>
      <c r="I62" s="124">
        <v>2715000</v>
      </c>
      <c r="J62" s="113"/>
      <c r="K62" s="1804"/>
    </row>
    <row r="63">
      <c r="B63" s="113">
        <f t="shared" si="1"/>
        <v>20</v>
      </c>
      <c r="C63" s="113"/>
      <c r="D63" s="114" t="s">
        <v>198</v>
      </c>
      <c r="E63" s="115"/>
      <c r="F63" s="115">
        <v>43861</v>
      </c>
      <c r="G63" s="116" t="s">
        <v>176</v>
      </c>
      <c r="H63" s="116" t="s">
        <v>177</v>
      </c>
      <c r="I63" s="124">
        <v>2715000</v>
      </c>
      <c r="J63" s="113"/>
      <c r="K63" s="1804"/>
    </row>
    <row r="64">
      <c r="B64" s="113">
        <f t="shared" si="1"/>
        <v>21</v>
      </c>
      <c r="C64" s="113"/>
      <c r="D64" s="114" t="s">
        <v>199</v>
      </c>
      <c r="E64" s="115"/>
      <c r="F64" s="115">
        <v>43839</v>
      </c>
      <c r="G64" s="116" t="s">
        <v>200</v>
      </c>
      <c r="H64" s="116" t="s">
        <v>201</v>
      </c>
      <c r="I64" s="124">
        <v>2770300</v>
      </c>
      <c r="J64" s="113"/>
      <c r="K64" s="1805"/>
    </row>
    <row r="65">
      <c r="B65" s="118"/>
      <c r="C65" s="118"/>
      <c r="D65" s="119"/>
      <c r="E65" s="120"/>
      <c r="F65" s="120"/>
      <c r="G65" s="121"/>
      <c r="H65" s="121"/>
      <c r="I65" s="125"/>
      <c r="J65" s="118"/>
      <c r="K65" s="131"/>
    </row>
    <row r="66" ht="11.25" customHeight="1">
      <c r="B66" s="113">
        <v>1</v>
      </c>
      <c r="C66" s="113"/>
      <c r="D66" s="114" t="s">
        <v>202</v>
      </c>
      <c r="E66" s="115">
        <v>43874</v>
      </c>
      <c r="F66" s="115"/>
      <c r="G66" s="113" t="s">
        <v>139</v>
      </c>
      <c r="H66" s="113" t="s">
        <v>140</v>
      </c>
      <c r="I66" s="123">
        <v>1802000</v>
      </c>
      <c r="J66" s="113"/>
      <c r="K66" s="1803" t="s">
        <v>203</v>
      </c>
    </row>
    <row r="67">
      <c r="B67" s="113">
        <f>+B66+1</f>
        <v>2</v>
      </c>
      <c r="C67" s="113"/>
      <c r="D67" s="114" t="s">
        <v>204</v>
      </c>
      <c r="E67" s="115">
        <v>43878</v>
      </c>
      <c r="F67" s="115"/>
      <c r="G67" s="113" t="s">
        <v>139</v>
      </c>
      <c r="H67" s="113" t="s">
        <v>140</v>
      </c>
      <c r="I67" s="123">
        <v>1802000</v>
      </c>
      <c r="J67" s="113"/>
      <c r="K67" s="1804"/>
    </row>
    <row r="68">
      <c r="B68" s="113">
        <f ref="B68:B81" t="shared" si="2">+B67+1</f>
        <v>3</v>
      </c>
      <c r="C68" s="113"/>
      <c r="D68" s="114" t="s">
        <v>205</v>
      </c>
      <c r="E68" s="115">
        <v>43878</v>
      </c>
      <c r="F68" s="115"/>
      <c r="G68" s="113" t="s">
        <v>139</v>
      </c>
      <c r="H68" s="113" t="s">
        <v>140</v>
      </c>
      <c r="I68" s="123">
        <v>1802000</v>
      </c>
      <c r="J68" s="113"/>
      <c r="K68" s="1804"/>
    </row>
    <row r="69">
      <c r="B69" s="113">
        <f t="shared" si="2"/>
        <v>4</v>
      </c>
      <c r="C69" s="113"/>
      <c r="D69" s="114" t="s">
        <v>206</v>
      </c>
      <c r="E69" s="115">
        <v>43878</v>
      </c>
      <c r="F69" s="115"/>
      <c r="G69" s="113" t="s">
        <v>139</v>
      </c>
      <c r="H69" s="113" t="s">
        <v>140</v>
      </c>
      <c r="I69" s="123">
        <v>1802000</v>
      </c>
      <c r="J69" s="113"/>
      <c r="K69" s="1804"/>
    </row>
    <row r="70">
      <c r="B70" s="113">
        <f t="shared" si="2"/>
        <v>5</v>
      </c>
      <c r="C70" s="113"/>
      <c r="D70" s="114" t="s">
        <v>207</v>
      </c>
      <c r="E70" s="115">
        <v>43878</v>
      </c>
      <c r="F70" s="115"/>
      <c r="G70" s="113" t="s">
        <v>139</v>
      </c>
      <c r="H70" s="113" t="s">
        <v>140</v>
      </c>
      <c r="I70" s="123">
        <v>1802000</v>
      </c>
      <c r="J70" s="113"/>
      <c r="K70" s="1804"/>
    </row>
    <row r="71">
      <c r="B71" s="113">
        <f t="shared" si="2"/>
        <v>6</v>
      </c>
      <c r="C71" s="113"/>
      <c r="D71" s="114" t="s">
        <v>208</v>
      </c>
      <c r="E71" s="115">
        <v>43878</v>
      </c>
      <c r="F71" s="115"/>
      <c r="G71" s="113" t="s">
        <v>139</v>
      </c>
      <c r="H71" s="113" t="s">
        <v>140</v>
      </c>
      <c r="I71" s="123">
        <v>1802000</v>
      </c>
      <c r="J71" s="113"/>
      <c r="K71" s="1804"/>
    </row>
    <row r="72">
      <c r="B72" s="113">
        <f t="shared" si="2"/>
        <v>7</v>
      </c>
      <c r="C72" s="113"/>
      <c r="D72" s="114" t="s">
        <v>209</v>
      </c>
      <c r="E72" s="115">
        <v>43878</v>
      </c>
      <c r="F72" s="115"/>
      <c r="G72" s="113" t="s">
        <v>139</v>
      </c>
      <c r="H72" s="113" t="s">
        <v>140</v>
      </c>
      <c r="I72" s="123">
        <v>1802000</v>
      </c>
      <c r="J72" s="113"/>
      <c r="K72" s="1804"/>
    </row>
    <row r="73">
      <c r="B73" s="113">
        <f t="shared" si="2"/>
        <v>8</v>
      </c>
      <c r="C73" s="113"/>
      <c r="D73" s="114" t="s">
        <v>210</v>
      </c>
      <c r="E73" s="115">
        <v>43878</v>
      </c>
      <c r="F73" s="115"/>
      <c r="G73" s="113" t="s">
        <v>139</v>
      </c>
      <c r="H73" s="113" t="s">
        <v>140</v>
      </c>
      <c r="I73" s="123">
        <v>1802000</v>
      </c>
      <c r="J73" s="113"/>
      <c r="K73" s="1804"/>
    </row>
    <row r="74">
      <c r="B74" s="113">
        <f t="shared" si="2"/>
        <v>9</v>
      </c>
      <c r="C74" s="113"/>
      <c r="D74" s="114" t="s">
        <v>180</v>
      </c>
      <c r="E74" s="115">
        <v>43867</v>
      </c>
      <c r="F74" s="115">
        <v>43868</v>
      </c>
      <c r="G74" s="113" t="s">
        <v>139</v>
      </c>
      <c r="H74" s="113" t="s">
        <v>140</v>
      </c>
      <c r="I74" s="123">
        <v>1802000</v>
      </c>
      <c r="J74" s="113"/>
      <c r="K74" s="1804"/>
    </row>
    <row r="75">
      <c r="B75" s="113">
        <f t="shared" si="2"/>
        <v>10</v>
      </c>
      <c r="C75" s="113"/>
      <c r="D75" s="114" t="s">
        <v>181</v>
      </c>
      <c r="E75" s="115">
        <v>43867</v>
      </c>
      <c r="F75" s="115">
        <v>43869</v>
      </c>
      <c r="G75" s="113" t="s">
        <v>139</v>
      </c>
      <c r="H75" s="113" t="s">
        <v>140</v>
      </c>
      <c r="I75" s="123">
        <v>1802000</v>
      </c>
      <c r="J75" s="113"/>
      <c r="K75" s="1804"/>
    </row>
    <row r="76">
      <c r="B76" s="113">
        <f t="shared" si="2"/>
        <v>11</v>
      </c>
      <c r="C76" s="113"/>
      <c r="D76" s="114" t="s">
        <v>211</v>
      </c>
      <c r="E76" s="115">
        <v>43891</v>
      </c>
      <c r="F76" s="115"/>
      <c r="G76" s="117" t="s">
        <v>170</v>
      </c>
      <c r="H76" s="117" t="s">
        <v>87</v>
      </c>
      <c r="I76" s="124">
        <v>2004000</v>
      </c>
      <c r="J76" s="113"/>
      <c r="K76" s="1804"/>
    </row>
    <row r="77">
      <c r="B77" s="113">
        <f t="shared" si="2"/>
        <v>12</v>
      </c>
      <c r="C77" s="113"/>
      <c r="D77" s="114" t="s">
        <v>212</v>
      </c>
      <c r="E77" s="115"/>
      <c r="F77" s="115">
        <v>43890</v>
      </c>
      <c r="G77" s="117" t="s">
        <v>170</v>
      </c>
      <c r="H77" s="117" t="s">
        <v>87</v>
      </c>
      <c r="I77" s="124">
        <v>2004000</v>
      </c>
      <c r="J77" s="113"/>
      <c r="K77" s="1804"/>
    </row>
    <row r="78">
      <c r="B78" s="113">
        <f t="shared" si="2"/>
        <v>13</v>
      </c>
      <c r="C78" s="113"/>
      <c r="D78" s="114" t="s">
        <v>213</v>
      </c>
      <c r="E78" s="115">
        <v>43902</v>
      </c>
      <c r="F78" s="115"/>
      <c r="G78" s="116" t="s">
        <v>176</v>
      </c>
      <c r="H78" s="116" t="s">
        <v>177</v>
      </c>
      <c r="I78" s="124">
        <v>2715000</v>
      </c>
      <c r="J78" s="113"/>
      <c r="K78" s="1804"/>
    </row>
    <row r="79">
      <c r="B79" s="113">
        <f t="shared" si="2"/>
        <v>14</v>
      </c>
      <c r="C79" s="113"/>
      <c r="D79" s="114" t="s">
        <v>197</v>
      </c>
      <c r="E79" s="115"/>
      <c r="F79" s="115">
        <v>43890</v>
      </c>
      <c r="G79" s="116" t="s">
        <v>176</v>
      </c>
      <c r="H79" s="116" t="s">
        <v>177</v>
      </c>
      <c r="I79" s="124">
        <v>2715000</v>
      </c>
      <c r="J79" s="113"/>
      <c r="K79" s="1804"/>
    </row>
    <row r="80">
      <c r="B80" s="113">
        <f t="shared" si="2"/>
        <v>15</v>
      </c>
      <c r="C80" s="113"/>
      <c r="D80" s="114" t="s">
        <v>214</v>
      </c>
      <c r="E80" s="115">
        <v>43885</v>
      </c>
      <c r="F80" s="115"/>
      <c r="G80" s="116" t="s">
        <v>200</v>
      </c>
      <c r="H80" s="116" t="s">
        <v>87</v>
      </c>
      <c r="I80" s="124">
        <v>2770300</v>
      </c>
      <c r="J80" s="113"/>
      <c r="K80" s="1804"/>
    </row>
    <row r="81">
      <c r="A81" s="126"/>
      <c r="B81" s="113">
        <f t="shared" si="2"/>
        <v>16</v>
      </c>
      <c r="C81" s="113"/>
      <c r="D81" s="114" t="s">
        <v>215</v>
      </c>
      <c r="E81" s="115"/>
      <c r="F81" s="115">
        <v>43883</v>
      </c>
      <c r="G81" s="116" t="s">
        <v>200</v>
      </c>
      <c r="H81" s="116" t="s">
        <v>87</v>
      </c>
      <c r="I81" s="124">
        <v>2770300</v>
      </c>
      <c r="J81" s="113"/>
      <c r="K81" s="1805"/>
    </row>
    <row r="82">
      <c r="B82" s="118"/>
      <c r="C82" s="118"/>
      <c r="D82" s="119"/>
      <c r="E82" s="120"/>
      <c r="F82" s="120"/>
      <c r="G82" s="121"/>
      <c r="H82" s="121"/>
      <c r="I82" s="125"/>
      <c r="J82" s="118"/>
      <c r="K82" s="131"/>
    </row>
    <row r="83" ht="11.25" customHeight="1">
      <c r="B83" s="127">
        <v>1</v>
      </c>
      <c r="C83" s="127"/>
      <c r="D83" s="128" t="s">
        <v>216</v>
      </c>
      <c r="E83" s="129">
        <v>43922</v>
      </c>
      <c r="F83" s="129"/>
      <c r="G83" s="130" t="s">
        <v>139</v>
      </c>
      <c r="H83" s="130" t="s">
        <v>140</v>
      </c>
      <c r="I83" s="132">
        <v>1802000</v>
      </c>
      <c r="J83" s="127"/>
      <c r="K83" s="1806" t="s">
        <v>217</v>
      </c>
    </row>
    <row r="84">
      <c r="B84" s="127">
        <f>+B83+1</f>
        <v>2</v>
      </c>
      <c r="C84" s="127"/>
      <c r="D84" s="128" t="s">
        <v>218</v>
      </c>
      <c r="E84" s="129"/>
      <c r="F84" s="129">
        <v>43921</v>
      </c>
      <c r="G84" s="130" t="s">
        <v>139</v>
      </c>
      <c r="H84" s="130" t="s">
        <v>140</v>
      </c>
      <c r="I84" s="132">
        <v>1802000</v>
      </c>
      <c r="J84" s="127"/>
      <c r="K84" s="1807"/>
    </row>
    <row r="85">
      <c r="B85" s="127">
        <f ref="B85:B147" t="shared" si="3">+B84+1</f>
        <v>3</v>
      </c>
      <c r="C85" s="127"/>
      <c r="D85" s="128" t="s">
        <v>219</v>
      </c>
      <c r="E85" s="129">
        <v>43873</v>
      </c>
      <c r="F85" s="129"/>
      <c r="G85" s="130" t="s">
        <v>193</v>
      </c>
      <c r="H85" s="130" t="s">
        <v>177</v>
      </c>
      <c r="I85" s="132">
        <v>4200479</v>
      </c>
      <c r="J85" s="127"/>
      <c r="K85" s="1807"/>
    </row>
    <row r="86">
      <c r="B86" s="127">
        <f t="shared" si="3"/>
        <v>4</v>
      </c>
      <c r="C86" s="127"/>
      <c r="D86" s="128" t="s">
        <v>220</v>
      </c>
      <c r="E86" s="129">
        <v>43916</v>
      </c>
      <c r="F86" s="129"/>
      <c r="G86" s="130" t="s">
        <v>193</v>
      </c>
      <c r="H86" s="130" t="s">
        <v>177</v>
      </c>
      <c r="I86" s="132">
        <v>4200479</v>
      </c>
      <c r="J86" s="127"/>
      <c r="K86" s="1807"/>
    </row>
    <row r="87">
      <c r="B87" s="127">
        <f t="shared" si="3"/>
        <v>5</v>
      </c>
      <c r="C87" s="127"/>
      <c r="D87" s="128" t="s">
        <v>221</v>
      </c>
      <c r="E87" s="129">
        <v>43916</v>
      </c>
      <c r="F87" s="129"/>
      <c r="G87" s="130" t="s">
        <v>193</v>
      </c>
      <c r="H87" s="130" t="s">
        <v>177</v>
      </c>
      <c r="I87" s="132">
        <v>4200479</v>
      </c>
      <c r="J87" s="127"/>
      <c r="K87" s="1807"/>
    </row>
    <row r="88">
      <c r="B88" s="127">
        <f t="shared" si="3"/>
        <v>6</v>
      </c>
      <c r="C88" s="127"/>
      <c r="D88" s="128" t="s">
        <v>222</v>
      </c>
      <c r="E88" s="129">
        <v>43916</v>
      </c>
      <c r="F88" s="129"/>
      <c r="G88" s="130" t="s">
        <v>193</v>
      </c>
      <c r="H88" s="130" t="s">
        <v>177</v>
      </c>
      <c r="I88" s="132">
        <v>4200479</v>
      </c>
      <c r="J88" s="127"/>
      <c r="K88" s="1807"/>
    </row>
    <row r="89">
      <c r="B89" s="127">
        <f t="shared" si="3"/>
        <v>7</v>
      </c>
      <c r="C89" s="127"/>
      <c r="D89" s="128" t="s">
        <v>219</v>
      </c>
      <c r="E89" s="129">
        <v>43922</v>
      </c>
      <c r="F89" s="129"/>
      <c r="G89" s="130" t="s">
        <v>193</v>
      </c>
      <c r="H89" s="130" t="s">
        <v>177</v>
      </c>
      <c r="I89" s="132">
        <v>4200479</v>
      </c>
      <c r="J89" s="127"/>
      <c r="K89" s="1807"/>
    </row>
    <row r="90">
      <c r="B90" s="127">
        <f t="shared" si="3"/>
        <v>8</v>
      </c>
      <c r="C90" s="127"/>
      <c r="D90" s="128" t="s">
        <v>223</v>
      </c>
      <c r="E90" s="129">
        <v>43926</v>
      </c>
      <c r="F90" s="129"/>
      <c r="G90" s="130" t="s">
        <v>193</v>
      </c>
      <c r="H90" s="130" t="s">
        <v>177</v>
      </c>
      <c r="I90" s="132">
        <v>4200479</v>
      </c>
      <c r="J90" s="127"/>
      <c r="K90" s="1807"/>
    </row>
    <row r="91">
      <c r="B91" s="127">
        <f t="shared" si="3"/>
        <v>9</v>
      </c>
      <c r="C91" s="127"/>
      <c r="D91" s="128" t="s">
        <v>224</v>
      </c>
      <c r="E91" s="129">
        <v>43928</v>
      </c>
      <c r="F91" s="129"/>
      <c r="G91" s="130" t="s">
        <v>193</v>
      </c>
      <c r="H91" s="130" t="s">
        <v>177</v>
      </c>
      <c r="I91" s="132">
        <v>4200479</v>
      </c>
      <c r="J91" s="127"/>
      <c r="K91" s="1807"/>
    </row>
    <row r="92">
      <c r="B92" s="127">
        <f t="shared" si="3"/>
        <v>10</v>
      </c>
      <c r="C92" s="127"/>
      <c r="D92" s="128" t="s">
        <v>225</v>
      </c>
      <c r="E92" s="129">
        <v>43928</v>
      </c>
      <c r="F92" s="129"/>
      <c r="G92" s="130" t="s">
        <v>193</v>
      </c>
      <c r="H92" s="130" t="s">
        <v>177</v>
      </c>
      <c r="I92" s="132">
        <v>4200479</v>
      </c>
      <c r="J92" s="127"/>
      <c r="K92" s="1807"/>
    </row>
    <row r="93">
      <c r="B93" s="127">
        <f t="shared" si="3"/>
        <v>11</v>
      </c>
      <c r="C93" s="127"/>
      <c r="D93" s="128" t="s">
        <v>226</v>
      </c>
      <c r="E93" s="129"/>
      <c r="F93" s="129">
        <v>43925</v>
      </c>
      <c r="G93" s="130" t="s">
        <v>193</v>
      </c>
      <c r="H93" s="130" t="s">
        <v>177</v>
      </c>
      <c r="I93" s="132">
        <v>4200479</v>
      </c>
      <c r="J93" s="127"/>
      <c r="K93" s="1807"/>
    </row>
    <row r="94">
      <c r="B94" s="127">
        <f t="shared" si="3"/>
        <v>12</v>
      </c>
      <c r="C94" s="127"/>
      <c r="D94" s="128" t="s">
        <v>227</v>
      </c>
      <c r="E94" s="129"/>
      <c r="F94" s="129">
        <v>43921</v>
      </c>
      <c r="G94" s="130" t="s">
        <v>47</v>
      </c>
      <c r="H94" s="130" t="s">
        <v>48</v>
      </c>
      <c r="I94" s="132">
        <v>2895502</v>
      </c>
      <c r="J94" s="127"/>
      <c r="K94" s="1807"/>
    </row>
    <row r="95">
      <c r="B95" s="127">
        <f t="shared" si="3"/>
        <v>13</v>
      </c>
      <c r="C95" s="127"/>
      <c r="D95" s="128" t="s">
        <v>72</v>
      </c>
      <c r="E95" s="129">
        <v>43922</v>
      </c>
      <c r="F95" s="129"/>
      <c r="G95" s="130" t="s">
        <v>47</v>
      </c>
      <c r="H95" s="130" t="s">
        <v>48</v>
      </c>
      <c r="I95" s="132">
        <v>2895502</v>
      </c>
      <c r="J95" s="127"/>
      <c r="K95" s="1807"/>
    </row>
    <row r="96">
      <c r="B96" s="127">
        <f t="shared" si="3"/>
        <v>14</v>
      </c>
      <c r="C96" s="127"/>
      <c r="D96" s="128" t="s">
        <v>168</v>
      </c>
      <c r="E96" s="129"/>
      <c r="F96" s="129">
        <v>43925</v>
      </c>
      <c r="G96" s="130" t="s">
        <v>47</v>
      </c>
      <c r="H96" s="130" t="s">
        <v>48</v>
      </c>
      <c r="I96" s="132">
        <v>2895502</v>
      </c>
      <c r="J96" s="127"/>
      <c r="K96" s="1807"/>
    </row>
    <row r="97">
      <c r="B97" s="127">
        <f t="shared" si="3"/>
        <v>15</v>
      </c>
      <c r="C97" s="127"/>
      <c r="D97" s="128" t="s">
        <v>228</v>
      </c>
      <c r="E97" s="129"/>
      <c r="F97" s="129">
        <v>43921</v>
      </c>
      <c r="G97" s="130" t="s">
        <v>47</v>
      </c>
      <c r="H97" s="130" t="s">
        <v>48</v>
      </c>
      <c r="I97" s="132">
        <v>2895502</v>
      </c>
      <c r="J97" s="127"/>
      <c r="K97" s="1807"/>
    </row>
    <row r="98">
      <c r="B98" s="127">
        <f t="shared" si="3"/>
        <v>16</v>
      </c>
      <c r="C98" s="127"/>
      <c r="D98" s="128" t="s">
        <v>229</v>
      </c>
      <c r="E98" s="129"/>
      <c r="F98" s="129">
        <v>43904</v>
      </c>
      <c r="G98" s="130" t="s">
        <v>47</v>
      </c>
      <c r="H98" s="130" t="s">
        <v>48</v>
      </c>
      <c r="I98" s="132">
        <v>2895502</v>
      </c>
      <c r="J98" s="127"/>
      <c r="K98" s="1807"/>
    </row>
    <row r="99">
      <c r="B99" s="127">
        <f t="shared" si="3"/>
        <v>17</v>
      </c>
      <c r="C99" s="127"/>
      <c r="D99" s="128" t="s">
        <v>230</v>
      </c>
      <c r="E99" s="129">
        <v>43904</v>
      </c>
      <c r="F99" s="129">
        <v>43921</v>
      </c>
      <c r="G99" s="130" t="s">
        <v>47</v>
      </c>
      <c r="H99" s="130" t="s">
        <v>48</v>
      </c>
      <c r="I99" s="132">
        <v>2895502</v>
      </c>
      <c r="J99" s="127"/>
      <c r="K99" s="1807"/>
    </row>
    <row r="100">
      <c r="B100" s="127">
        <f t="shared" si="3"/>
        <v>18</v>
      </c>
      <c r="C100" s="127"/>
      <c r="D100" s="128" t="s">
        <v>231</v>
      </c>
      <c r="E100" s="129"/>
      <c r="F100" s="129">
        <v>43934</v>
      </c>
      <c r="G100" s="130" t="s">
        <v>200</v>
      </c>
      <c r="H100" s="130" t="s">
        <v>201</v>
      </c>
      <c r="I100" s="132">
        <v>2770300</v>
      </c>
      <c r="J100" s="127"/>
      <c r="K100" s="1808"/>
    </row>
    <row r="101">
      <c r="B101" s="127">
        <f t="shared" si="3"/>
        <v>19</v>
      </c>
      <c r="C101" s="127"/>
      <c r="D101" s="128" t="s">
        <v>232</v>
      </c>
      <c r="E101" s="129"/>
      <c r="F101" s="129">
        <v>43934</v>
      </c>
      <c r="G101" s="130" t="s">
        <v>200</v>
      </c>
      <c r="H101" s="130" t="s">
        <v>201</v>
      </c>
      <c r="I101" s="132">
        <v>2770300</v>
      </c>
      <c r="J101" s="127"/>
      <c r="K101" s="1808"/>
    </row>
    <row r="102">
      <c r="B102" s="127">
        <f t="shared" si="3"/>
        <v>20</v>
      </c>
      <c r="C102" s="127"/>
      <c r="D102" s="128" t="s">
        <v>233</v>
      </c>
      <c r="E102" s="129"/>
      <c r="F102" s="129">
        <v>43934</v>
      </c>
      <c r="G102" s="130" t="s">
        <v>200</v>
      </c>
      <c r="H102" s="130" t="s">
        <v>201</v>
      </c>
      <c r="I102" s="132">
        <v>2770300</v>
      </c>
      <c r="J102" s="127"/>
      <c r="K102" s="1808"/>
    </row>
    <row r="103">
      <c r="B103" s="127">
        <f t="shared" si="3"/>
        <v>21</v>
      </c>
      <c r="C103" s="127"/>
      <c r="D103" s="128" t="s">
        <v>234</v>
      </c>
      <c r="E103" s="129"/>
      <c r="F103" s="129">
        <v>43934</v>
      </c>
      <c r="G103" s="130" t="s">
        <v>200</v>
      </c>
      <c r="H103" s="130" t="s">
        <v>201</v>
      </c>
      <c r="I103" s="132">
        <v>2770300</v>
      </c>
      <c r="J103" s="127"/>
      <c r="K103" s="1808"/>
    </row>
    <row r="104">
      <c r="B104" s="127">
        <f t="shared" si="3"/>
        <v>22</v>
      </c>
      <c r="C104" s="127"/>
      <c r="D104" s="128" t="s">
        <v>235</v>
      </c>
      <c r="E104" s="129"/>
      <c r="F104" s="129">
        <v>43934</v>
      </c>
      <c r="G104" s="130" t="s">
        <v>200</v>
      </c>
      <c r="H104" s="130" t="s">
        <v>201</v>
      </c>
      <c r="I104" s="132">
        <v>2770300</v>
      </c>
      <c r="J104" s="127"/>
      <c r="K104" s="1808"/>
    </row>
    <row r="105">
      <c r="B105" s="127">
        <f t="shared" si="3"/>
        <v>23</v>
      </c>
      <c r="C105" s="127"/>
      <c r="D105" s="128" t="s">
        <v>236</v>
      </c>
      <c r="E105" s="129"/>
      <c r="F105" s="129">
        <v>43934</v>
      </c>
      <c r="G105" s="130" t="s">
        <v>200</v>
      </c>
      <c r="H105" s="130" t="s">
        <v>201</v>
      </c>
      <c r="I105" s="132">
        <v>2770300</v>
      </c>
      <c r="J105" s="127"/>
      <c r="K105" s="1808"/>
    </row>
    <row r="106">
      <c r="B106" s="127">
        <f t="shared" si="3"/>
        <v>24</v>
      </c>
      <c r="C106" s="127"/>
      <c r="D106" s="128" t="s">
        <v>237</v>
      </c>
      <c r="E106" s="129"/>
      <c r="F106" s="129">
        <v>43934</v>
      </c>
      <c r="G106" s="130" t="s">
        <v>200</v>
      </c>
      <c r="H106" s="130" t="s">
        <v>201</v>
      </c>
      <c r="I106" s="132">
        <v>2770300</v>
      </c>
      <c r="J106" s="127"/>
      <c r="K106" s="1808"/>
    </row>
    <row r="107">
      <c r="B107" s="127">
        <f t="shared" si="3"/>
        <v>25</v>
      </c>
      <c r="C107" s="127"/>
      <c r="D107" s="128" t="s">
        <v>238</v>
      </c>
      <c r="E107" s="129"/>
      <c r="F107" s="129">
        <v>43934</v>
      </c>
      <c r="G107" s="130" t="s">
        <v>200</v>
      </c>
      <c r="H107" s="130" t="s">
        <v>201</v>
      </c>
      <c r="I107" s="132">
        <v>2770300</v>
      </c>
      <c r="J107" s="127"/>
      <c r="K107" s="1808"/>
    </row>
    <row r="108">
      <c r="B108" s="127">
        <f t="shared" si="3"/>
        <v>26</v>
      </c>
      <c r="C108" s="127"/>
      <c r="D108" s="128" t="s">
        <v>199</v>
      </c>
      <c r="E108" s="129"/>
      <c r="F108" s="129">
        <v>43934</v>
      </c>
      <c r="G108" s="130" t="s">
        <v>200</v>
      </c>
      <c r="H108" s="130" t="s">
        <v>201</v>
      </c>
      <c r="I108" s="132">
        <v>2770300</v>
      </c>
      <c r="J108" s="127"/>
      <c r="K108" s="1808"/>
    </row>
    <row r="109">
      <c r="B109" s="127">
        <f t="shared" si="3"/>
        <v>27</v>
      </c>
      <c r="C109" s="127"/>
      <c r="D109" s="128" t="s">
        <v>239</v>
      </c>
      <c r="E109" s="129"/>
      <c r="F109" s="129">
        <v>43921</v>
      </c>
      <c r="G109" s="130" t="s">
        <v>200</v>
      </c>
      <c r="H109" s="130" t="s">
        <v>201</v>
      </c>
      <c r="I109" s="132">
        <v>2770300</v>
      </c>
      <c r="J109" s="127"/>
      <c r="K109" s="1808"/>
    </row>
    <row r="110">
      <c r="B110" s="127">
        <f t="shared" si="3"/>
        <v>28</v>
      </c>
      <c r="C110" s="127"/>
      <c r="D110" s="128" t="s">
        <v>240</v>
      </c>
      <c r="E110" s="129"/>
      <c r="F110" s="129">
        <v>43921</v>
      </c>
      <c r="G110" s="130" t="s">
        <v>200</v>
      </c>
      <c r="H110" s="130" t="s">
        <v>201</v>
      </c>
      <c r="I110" s="132">
        <v>2770300</v>
      </c>
      <c r="J110" s="127"/>
      <c r="K110" s="1808"/>
    </row>
    <row r="111">
      <c r="B111" s="127">
        <f t="shared" si="3"/>
        <v>29</v>
      </c>
      <c r="C111" s="127"/>
      <c r="D111" s="128" t="s">
        <v>241</v>
      </c>
      <c r="E111" s="129"/>
      <c r="F111" s="129">
        <v>43921</v>
      </c>
      <c r="G111" s="130" t="s">
        <v>200</v>
      </c>
      <c r="H111" s="130" t="s">
        <v>201</v>
      </c>
      <c r="I111" s="132">
        <v>2770300</v>
      </c>
      <c r="J111" s="127"/>
      <c r="K111" s="1808"/>
    </row>
    <row r="112">
      <c r="B112" s="127">
        <f t="shared" si="3"/>
        <v>30</v>
      </c>
      <c r="C112" s="127"/>
      <c r="D112" s="128" t="s">
        <v>242</v>
      </c>
      <c r="E112" s="129"/>
      <c r="F112" s="129">
        <v>43921</v>
      </c>
      <c r="G112" s="130" t="s">
        <v>200</v>
      </c>
      <c r="H112" s="130" t="s">
        <v>201</v>
      </c>
      <c r="I112" s="132">
        <v>2770300</v>
      </c>
      <c r="J112" s="127"/>
      <c r="K112" s="1808"/>
    </row>
    <row r="113">
      <c r="B113" s="127">
        <f t="shared" si="3"/>
        <v>31</v>
      </c>
      <c r="C113" s="127"/>
      <c r="D113" s="128" t="s">
        <v>243</v>
      </c>
      <c r="E113" s="129"/>
      <c r="F113" s="129">
        <v>43921</v>
      </c>
      <c r="G113" s="130" t="s">
        <v>200</v>
      </c>
      <c r="H113" s="130" t="s">
        <v>201</v>
      </c>
      <c r="I113" s="132">
        <v>2770300</v>
      </c>
      <c r="J113" s="127"/>
      <c r="K113" s="1808"/>
    </row>
    <row r="114">
      <c r="B114" s="127">
        <f t="shared" si="3"/>
        <v>32</v>
      </c>
      <c r="C114" s="127"/>
      <c r="D114" s="128" t="s">
        <v>244</v>
      </c>
      <c r="E114" s="129"/>
      <c r="F114" s="129">
        <v>43927</v>
      </c>
      <c r="G114" s="130" t="s">
        <v>200</v>
      </c>
      <c r="H114" s="130" t="s">
        <v>201</v>
      </c>
      <c r="I114" s="132">
        <v>2770300</v>
      </c>
      <c r="J114" s="127"/>
      <c r="K114" s="1808"/>
    </row>
    <row r="115">
      <c r="B115" s="127">
        <f t="shared" si="3"/>
        <v>33</v>
      </c>
      <c r="C115" s="127"/>
      <c r="D115" s="128" t="s">
        <v>245</v>
      </c>
      <c r="E115" s="129"/>
      <c r="F115" s="129">
        <v>43927</v>
      </c>
      <c r="G115" s="130" t="s">
        <v>200</v>
      </c>
      <c r="H115" s="130" t="s">
        <v>201</v>
      </c>
      <c r="I115" s="132">
        <v>2770300</v>
      </c>
      <c r="J115" s="127"/>
      <c r="K115" s="1808"/>
    </row>
    <row r="116">
      <c r="B116" s="127">
        <f t="shared" si="3"/>
        <v>34</v>
      </c>
      <c r="C116" s="127"/>
      <c r="D116" s="128" t="s">
        <v>246</v>
      </c>
      <c r="E116" s="129"/>
      <c r="F116" s="129">
        <v>43927</v>
      </c>
      <c r="G116" s="130" t="s">
        <v>200</v>
      </c>
      <c r="H116" s="130" t="s">
        <v>201</v>
      </c>
      <c r="I116" s="132">
        <v>2770300</v>
      </c>
      <c r="J116" s="127"/>
      <c r="K116" s="1808"/>
    </row>
    <row r="117">
      <c r="B117" s="127">
        <f t="shared" si="3"/>
        <v>35</v>
      </c>
      <c r="C117" s="127"/>
      <c r="D117" s="128" t="s">
        <v>247</v>
      </c>
      <c r="E117" s="129"/>
      <c r="F117" s="129">
        <v>43927</v>
      </c>
      <c r="G117" s="130" t="s">
        <v>200</v>
      </c>
      <c r="H117" s="130" t="s">
        <v>201</v>
      </c>
      <c r="I117" s="132">
        <v>2770300</v>
      </c>
      <c r="J117" s="127"/>
      <c r="K117" s="1808"/>
    </row>
    <row r="118">
      <c r="B118" s="127">
        <f t="shared" si="3"/>
        <v>36</v>
      </c>
      <c r="C118" s="127"/>
      <c r="D118" s="128" t="s">
        <v>248</v>
      </c>
      <c r="E118" s="129"/>
      <c r="F118" s="129">
        <v>43927</v>
      </c>
      <c r="G118" s="130" t="s">
        <v>200</v>
      </c>
      <c r="H118" s="130" t="s">
        <v>201</v>
      </c>
      <c r="I118" s="132">
        <v>2770300</v>
      </c>
      <c r="J118" s="127"/>
      <c r="K118" s="1808"/>
    </row>
    <row r="119">
      <c r="B119" s="127">
        <f t="shared" si="3"/>
        <v>37</v>
      </c>
      <c r="C119" s="127"/>
      <c r="D119" s="128" t="s">
        <v>249</v>
      </c>
      <c r="E119" s="129"/>
      <c r="F119" s="129">
        <v>43927</v>
      </c>
      <c r="G119" s="130" t="s">
        <v>200</v>
      </c>
      <c r="H119" s="130" t="s">
        <v>201</v>
      </c>
      <c r="I119" s="132">
        <v>2770300</v>
      </c>
      <c r="J119" s="127"/>
      <c r="K119" s="1808"/>
    </row>
    <row r="120">
      <c r="B120" s="127">
        <f t="shared" si="3"/>
        <v>38</v>
      </c>
      <c r="C120" s="127"/>
      <c r="D120" s="128" t="s">
        <v>250</v>
      </c>
      <c r="E120" s="129"/>
      <c r="F120" s="129">
        <v>43927</v>
      </c>
      <c r="G120" s="130" t="s">
        <v>200</v>
      </c>
      <c r="H120" s="130" t="s">
        <v>201</v>
      </c>
      <c r="I120" s="132">
        <v>2770300</v>
      </c>
      <c r="J120" s="127"/>
      <c r="K120" s="1808"/>
    </row>
    <row r="121">
      <c r="B121" s="127">
        <f t="shared" si="3"/>
        <v>39</v>
      </c>
      <c r="C121" s="127"/>
      <c r="D121" s="128" t="s">
        <v>251</v>
      </c>
      <c r="E121" s="129"/>
      <c r="F121" s="129">
        <v>43927</v>
      </c>
      <c r="G121" s="130" t="s">
        <v>200</v>
      </c>
      <c r="H121" s="130" t="s">
        <v>201</v>
      </c>
      <c r="I121" s="132">
        <v>2770300</v>
      </c>
      <c r="J121" s="127"/>
      <c r="K121" s="1808"/>
    </row>
    <row r="122">
      <c r="B122" s="127">
        <f t="shared" si="3"/>
        <v>40</v>
      </c>
      <c r="C122" s="127"/>
      <c r="D122" s="128" t="s">
        <v>252</v>
      </c>
      <c r="E122" s="129"/>
      <c r="F122" s="129">
        <v>43927</v>
      </c>
      <c r="G122" s="130" t="s">
        <v>200</v>
      </c>
      <c r="H122" s="130" t="s">
        <v>201</v>
      </c>
      <c r="I122" s="132">
        <v>2770300</v>
      </c>
      <c r="J122" s="127"/>
      <c r="K122" s="1808"/>
    </row>
    <row r="123">
      <c r="B123" s="127">
        <f t="shared" si="3"/>
        <v>41</v>
      </c>
      <c r="C123" s="127"/>
      <c r="D123" s="128" t="s">
        <v>253</v>
      </c>
      <c r="E123" s="129"/>
      <c r="F123" s="129">
        <v>43927</v>
      </c>
      <c r="G123" s="130" t="s">
        <v>200</v>
      </c>
      <c r="H123" s="130" t="s">
        <v>201</v>
      </c>
      <c r="I123" s="132">
        <v>2770300</v>
      </c>
      <c r="J123" s="127"/>
      <c r="K123" s="1808"/>
    </row>
    <row r="124">
      <c r="B124" s="127">
        <f t="shared" si="3"/>
        <v>42</v>
      </c>
      <c r="C124" s="127"/>
      <c r="D124" s="128" t="s">
        <v>214</v>
      </c>
      <c r="E124" s="129"/>
      <c r="F124" s="129">
        <v>43921</v>
      </c>
      <c r="G124" s="130" t="s">
        <v>200</v>
      </c>
      <c r="H124" s="130" t="s">
        <v>87</v>
      </c>
      <c r="I124" s="132">
        <v>2770300</v>
      </c>
      <c r="J124" s="127"/>
      <c r="K124" s="1809"/>
    </row>
    <row r="125">
      <c r="B125" s="118"/>
      <c r="C125" s="118"/>
      <c r="D125" s="119"/>
      <c r="E125" s="120"/>
      <c r="F125" s="120"/>
      <c r="G125" s="121"/>
      <c r="H125" s="121"/>
      <c r="I125" s="125"/>
      <c r="J125" s="118"/>
      <c r="K125" s="131"/>
    </row>
    <row r="126" ht="11.25" customHeight="1">
      <c r="B126" s="127">
        <f t="shared" si="3"/>
        <v>1</v>
      </c>
      <c r="C126" s="127"/>
      <c r="D126" s="128" t="s">
        <v>189</v>
      </c>
      <c r="E126" s="129"/>
      <c r="F126" s="129">
        <v>43951</v>
      </c>
      <c r="G126" s="130" t="s">
        <v>139</v>
      </c>
      <c r="H126" s="130" t="s">
        <v>140</v>
      </c>
      <c r="I126" s="132">
        <v>1802000</v>
      </c>
      <c r="J126" s="127"/>
      <c r="K126" s="1793" t="s">
        <v>254</v>
      </c>
    </row>
    <row r="127">
      <c r="B127" s="127">
        <f t="shared" si="3"/>
        <v>2</v>
      </c>
      <c r="C127" s="127"/>
      <c r="D127" s="128" t="s">
        <v>255</v>
      </c>
      <c r="E127" s="129">
        <v>43953</v>
      </c>
      <c r="F127" s="129"/>
      <c r="G127" s="130" t="s">
        <v>193</v>
      </c>
      <c r="H127" s="130" t="s">
        <v>177</v>
      </c>
      <c r="I127" s="132">
        <v>4200479</v>
      </c>
      <c r="J127" s="127"/>
      <c r="K127" s="1794"/>
    </row>
    <row r="128">
      <c r="B128" s="127">
        <f t="shared" si="3"/>
        <v>3</v>
      </c>
      <c r="C128" s="127"/>
      <c r="D128" s="128" t="s">
        <v>256</v>
      </c>
      <c r="E128" s="129"/>
      <c r="F128" s="129">
        <v>43952</v>
      </c>
      <c r="G128" s="130" t="s">
        <v>47</v>
      </c>
      <c r="H128" s="130" t="s">
        <v>48</v>
      </c>
      <c r="I128" s="132">
        <v>2895502</v>
      </c>
      <c r="J128" s="127"/>
      <c r="K128" s="1794"/>
    </row>
    <row r="129">
      <c r="B129" s="127">
        <f t="shared" si="3"/>
        <v>4</v>
      </c>
      <c r="C129" s="127"/>
      <c r="D129" s="128" t="s">
        <v>74</v>
      </c>
      <c r="E129" s="129">
        <v>43939</v>
      </c>
      <c r="F129" s="129"/>
      <c r="G129" s="130" t="s">
        <v>47</v>
      </c>
      <c r="H129" s="130" t="s">
        <v>48</v>
      </c>
      <c r="I129" s="132">
        <v>2895502</v>
      </c>
      <c r="J129" s="127"/>
      <c r="K129" s="1794"/>
    </row>
    <row r="130">
      <c r="B130" s="127">
        <f t="shared" si="3"/>
        <v>5</v>
      </c>
      <c r="C130" s="127"/>
      <c r="D130" s="128" t="s">
        <v>257</v>
      </c>
      <c r="E130" s="129">
        <v>43939</v>
      </c>
      <c r="F130" s="129"/>
      <c r="G130" s="130" t="s">
        <v>47</v>
      </c>
      <c r="H130" s="130" t="s">
        <v>48</v>
      </c>
      <c r="I130" s="132">
        <v>2895502</v>
      </c>
      <c r="J130" s="127"/>
      <c r="K130" s="1794"/>
    </row>
    <row r="131">
      <c r="B131" s="127">
        <f t="shared" si="3"/>
        <v>6</v>
      </c>
      <c r="C131" s="127"/>
      <c r="D131" s="128" t="s">
        <v>258</v>
      </c>
      <c r="E131" s="129"/>
      <c r="F131" s="129">
        <v>43951</v>
      </c>
      <c r="G131" s="130" t="s">
        <v>259</v>
      </c>
      <c r="H131" s="130" t="s">
        <v>171</v>
      </c>
      <c r="I131" s="132">
        <v>1940800</v>
      </c>
      <c r="J131" s="127"/>
      <c r="K131" s="1794"/>
    </row>
    <row r="132">
      <c r="B132" s="127">
        <f t="shared" si="3"/>
        <v>7</v>
      </c>
      <c r="C132" s="127"/>
      <c r="D132" s="128" t="s">
        <v>260</v>
      </c>
      <c r="E132" s="129">
        <v>43948</v>
      </c>
      <c r="F132" s="129"/>
      <c r="G132" s="130" t="s">
        <v>119</v>
      </c>
      <c r="H132" s="130" t="s">
        <v>261</v>
      </c>
      <c r="I132" s="132">
        <v>1900000</v>
      </c>
      <c r="J132" s="127"/>
      <c r="K132" s="1794"/>
    </row>
    <row r="133">
      <c r="B133" s="127">
        <f t="shared" si="3"/>
        <v>8</v>
      </c>
      <c r="C133" s="127"/>
      <c r="D133" s="128" t="s">
        <v>262</v>
      </c>
      <c r="E133" s="129">
        <v>43950</v>
      </c>
      <c r="F133" s="129"/>
      <c r="G133" s="130" t="s">
        <v>170</v>
      </c>
      <c r="H133" s="130" t="s">
        <v>87</v>
      </c>
      <c r="I133" s="132">
        <v>2004000</v>
      </c>
      <c r="J133" s="127"/>
      <c r="K133" s="1794"/>
    </row>
    <row r="134">
      <c r="B134" s="127">
        <f t="shared" si="3"/>
        <v>9</v>
      </c>
      <c r="C134" s="127"/>
      <c r="D134" s="128" t="s">
        <v>263</v>
      </c>
      <c r="E134" s="129">
        <v>43950</v>
      </c>
      <c r="F134" s="129"/>
      <c r="G134" s="130" t="s">
        <v>170</v>
      </c>
      <c r="H134" s="130" t="s">
        <v>87</v>
      </c>
      <c r="I134" s="132">
        <v>2004000</v>
      </c>
      <c r="J134" s="127"/>
      <c r="K134" s="1794"/>
    </row>
    <row r="135">
      <c r="B135" s="127">
        <f t="shared" si="3"/>
        <v>10</v>
      </c>
      <c r="C135" s="127"/>
      <c r="D135" s="128" t="s">
        <v>264</v>
      </c>
      <c r="E135" s="129">
        <v>43950</v>
      </c>
      <c r="F135" s="129"/>
      <c r="G135" s="130" t="s">
        <v>170</v>
      </c>
      <c r="H135" s="130" t="s">
        <v>87</v>
      </c>
      <c r="I135" s="132">
        <v>2004000</v>
      </c>
      <c r="J135" s="127"/>
      <c r="K135" s="1794"/>
    </row>
    <row r="136">
      <c r="B136" s="127">
        <f t="shared" si="3"/>
        <v>11</v>
      </c>
      <c r="C136" s="127"/>
      <c r="D136" s="128" t="s">
        <v>265</v>
      </c>
      <c r="E136" s="129">
        <v>43956</v>
      </c>
      <c r="F136" s="129"/>
      <c r="G136" s="130" t="s">
        <v>170</v>
      </c>
      <c r="H136" s="130" t="s">
        <v>87</v>
      </c>
      <c r="I136" s="132">
        <v>2004000</v>
      </c>
      <c r="J136" s="127"/>
      <c r="K136" s="1794"/>
    </row>
    <row r="137">
      <c r="B137" s="127">
        <f t="shared" si="3"/>
        <v>12</v>
      </c>
      <c r="C137" s="127"/>
      <c r="D137" s="128" t="s">
        <v>266</v>
      </c>
      <c r="E137" s="129">
        <v>43956</v>
      </c>
      <c r="F137" s="129"/>
      <c r="G137" s="130" t="s">
        <v>170</v>
      </c>
      <c r="H137" s="130" t="s">
        <v>87</v>
      </c>
      <c r="I137" s="132">
        <v>2004000</v>
      </c>
      <c r="J137" s="127"/>
      <c r="K137" s="1794"/>
    </row>
    <row r="138">
      <c r="B138" s="127">
        <f t="shared" si="3"/>
        <v>13</v>
      </c>
      <c r="C138" s="127"/>
      <c r="D138" s="128" t="s">
        <v>267</v>
      </c>
      <c r="E138" s="129">
        <v>43950</v>
      </c>
      <c r="F138" s="129"/>
      <c r="G138" s="130" t="s">
        <v>176</v>
      </c>
      <c r="H138" s="130" t="s">
        <v>177</v>
      </c>
      <c r="I138" s="132">
        <v>2715000</v>
      </c>
      <c r="J138" s="127"/>
      <c r="K138" s="1794"/>
    </row>
    <row r="139">
      <c r="B139" s="127">
        <f t="shared" si="3"/>
        <v>14</v>
      </c>
      <c r="C139" s="127"/>
      <c r="D139" s="128" t="s">
        <v>268</v>
      </c>
      <c r="E139" s="129">
        <v>43950</v>
      </c>
      <c r="F139" s="129"/>
      <c r="G139" s="130" t="s">
        <v>176</v>
      </c>
      <c r="H139" s="130" t="s">
        <v>177</v>
      </c>
      <c r="I139" s="132">
        <v>2715000</v>
      </c>
      <c r="J139" s="127"/>
      <c r="K139" s="1794"/>
    </row>
    <row r="140">
      <c r="B140" s="127">
        <f t="shared" si="3"/>
        <v>15</v>
      </c>
      <c r="C140" s="127"/>
      <c r="D140" s="128" t="s">
        <v>269</v>
      </c>
      <c r="E140" s="129">
        <v>43952</v>
      </c>
      <c r="F140" s="129"/>
      <c r="G140" s="130" t="s">
        <v>176</v>
      </c>
      <c r="H140" s="130" t="s">
        <v>177</v>
      </c>
      <c r="I140" s="132">
        <v>2715000</v>
      </c>
      <c r="J140" s="127"/>
      <c r="K140" s="1794"/>
    </row>
    <row r="141">
      <c r="B141" s="127">
        <f t="shared" si="3"/>
        <v>16</v>
      </c>
      <c r="C141" s="127"/>
      <c r="D141" s="128" t="s">
        <v>270</v>
      </c>
      <c r="E141" s="129">
        <v>43953</v>
      </c>
      <c r="F141" s="129"/>
      <c r="G141" s="130" t="s">
        <v>176</v>
      </c>
      <c r="H141" s="130" t="s">
        <v>177</v>
      </c>
      <c r="I141" s="132">
        <v>2715000</v>
      </c>
      <c r="J141" s="127"/>
      <c r="K141" s="1794"/>
    </row>
    <row r="142">
      <c r="B142" s="127">
        <f t="shared" si="3"/>
        <v>17</v>
      </c>
      <c r="C142" s="127"/>
      <c r="D142" s="128" t="s">
        <v>271</v>
      </c>
      <c r="E142" s="129"/>
      <c r="F142" s="129">
        <v>43951</v>
      </c>
      <c r="G142" s="130" t="s">
        <v>200</v>
      </c>
      <c r="H142" s="130" t="s">
        <v>201</v>
      </c>
      <c r="I142" s="132">
        <v>2770300</v>
      </c>
      <c r="J142" s="127"/>
      <c r="K142" s="1794"/>
    </row>
    <row r="143">
      <c r="B143" s="127">
        <f t="shared" si="3"/>
        <v>18</v>
      </c>
      <c r="C143" s="127"/>
      <c r="D143" s="128" t="s">
        <v>272</v>
      </c>
      <c r="E143" s="129"/>
      <c r="F143" s="129">
        <v>43951</v>
      </c>
      <c r="G143" s="130" t="s">
        <v>200</v>
      </c>
      <c r="H143" s="130" t="s">
        <v>201</v>
      </c>
      <c r="I143" s="132">
        <v>2770300</v>
      </c>
      <c r="J143" s="127"/>
      <c r="K143" s="1794"/>
    </row>
    <row r="144">
      <c r="B144" s="127">
        <f t="shared" si="3"/>
        <v>19</v>
      </c>
      <c r="C144" s="127"/>
      <c r="D144" s="128" t="s">
        <v>273</v>
      </c>
      <c r="E144" s="129"/>
      <c r="F144" s="129">
        <v>43982</v>
      </c>
      <c r="G144" s="130" t="s">
        <v>200</v>
      </c>
      <c r="H144" s="130" t="s">
        <v>201</v>
      </c>
      <c r="I144" s="132">
        <v>2770300</v>
      </c>
      <c r="J144" s="127"/>
      <c r="K144" s="1794"/>
    </row>
    <row r="145">
      <c r="B145" s="127">
        <f t="shared" si="3"/>
        <v>20</v>
      </c>
      <c r="C145" s="127"/>
      <c r="D145" s="128" t="s">
        <v>274</v>
      </c>
      <c r="E145" s="129"/>
      <c r="F145" s="129">
        <v>43951</v>
      </c>
      <c r="G145" s="130" t="s">
        <v>200</v>
      </c>
      <c r="H145" s="130" t="s">
        <v>201</v>
      </c>
      <c r="I145" s="132">
        <v>2770300</v>
      </c>
      <c r="J145" s="127"/>
      <c r="K145" s="1794"/>
    </row>
    <row r="146">
      <c r="B146" s="127">
        <f t="shared" si="3"/>
        <v>21</v>
      </c>
      <c r="C146" s="127"/>
      <c r="D146" s="128" t="s">
        <v>275</v>
      </c>
      <c r="E146" s="129"/>
      <c r="F146" s="129">
        <v>43921</v>
      </c>
      <c r="G146" s="130" t="s">
        <v>200</v>
      </c>
      <c r="H146" s="130" t="s">
        <v>201</v>
      </c>
      <c r="I146" s="132">
        <v>2770300</v>
      </c>
      <c r="J146" s="127"/>
      <c r="K146" s="1794"/>
    </row>
    <row r="147">
      <c r="B147" s="127">
        <f t="shared" si="3"/>
        <v>22</v>
      </c>
      <c r="C147" s="127"/>
      <c r="D147" s="128" t="s">
        <v>276</v>
      </c>
      <c r="E147" s="129"/>
      <c r="F147" s="129">
        <v>43951</v>
      </c>
      <c r="G147" s="130" t="s">
        <v>200</v>
      </c>
      <c r="H147" s="130" t="s">
        <v>201</v>
      </c>
      <c r="I147" s="132">
        <v>2770300</v>
      </c>
      <c r="J147" s="127"/>
      <c r="K147" s="1795"/>
    </row>
    <row r="148">
      <c r="B148" s="133"/>
      <c r="C148" s="133"/>
      <c r="D148" s="134"/>
      <c r="E148" s="135"/>
      <c r="F148" s="135"/>
      <c r="G148" s="136"/>
      <c r="H148" s="136"/>
      <c r="I148" s="137"/>
      <c r="J148" s="133"/>
      <c r="K148" s="138"/>
    </row>
    <row r="149" ht="11.25" customHeight="1">
      <c r="B149" s="127"/>
      <c r="C149" s="127"/>
      <c r="D149" s="128"/>
      <c r="E149" s="129"/>
      <c r="F149" s="129"/>
      <c r="G149" s="130"/>
      <c r="H149" s="130"/>
      <c r="I149" s="132"/>
      <c r="J149" s="127"/>
      <c r="K149" s="1793" t="s">
        <v>277</v>
      </c>
    </row>
    <row r="150">
      <c r="B150" s="127"/>
      <c r="C150" s="127"/>
      <c r="D150" s="128" t="s">
        <v>278</v>
      </c>
      <c r="E150" s="129"/>
      <c r="F150" s="129">
        <v>43982</v>
      </c>
      <c r="G150" s="130" t="s">
        <v>139</v>
      </c>
      <c r="H150" s="130" t="s">
        <v>140</v>
      </c>
      <c r="I150" s="132">
        <v>1802000</v>
      </c>
      <c r="J150" s="127"/>
      <c r="K150" s="1794"/>
    </row>
    <row r="151">
      <c r="B151" s="127"/>
      <c r="C151" s="127"/>
      <c r="D151" s="128" t="s">
        <v>279</v>
      </c>
      <c r="E151" s="129"/>
      <c r="F151" s="129">
        <v>43982</v>
      </c>
      <c r="G151" s="130" t="s">
        <v>139</v>
      </c>
      <c r="H151" s="130" t="s">
        <v>140</v>
      </c>
      <c r="I151" s="132">
        <v>1802000</v>
      </c>
      <c r="J151" s="127"/>
      <c r="K151" s="1794"/>
    </row>
    <row r="152">
      <c r="B152" s="127"/>
      <c r="C152" s="127"/>
      <c r="D152" s="128" t="s">
        <v>280</v>
      </c>
      <c r="E152" s="129"/>
      <c r="F152" s="129">
        <v>43982</v>
      </c>
      <c r="G152" s="130" t="s">
        <v>139</v>
      </c>
      <c r="H152" s="130" t="s">
        <v>140</v>
      </c>
      <c r="I152" s="132">
        <v>1802000</v>
      </c>
      <c r="J152" s="127"/>
      <c r="K152" s="1794"/>
    </row>
    <row r="153">
      <c r="B153" s="127"/>
      <c r="C153" s="127"/>
      <c r="D153" s="128" t="s">
        <v>281</v>
      </c>
      <c r="E153" s="129"/>
      <c r="F153" s="129">
        <v>43982</v>
      </c>
      <c r="G153" s="130" t="s">
        <v>139</v>
      </c>
      <c r="H153" s="130" t="s">
        <v>140</v>
      </c>
      <c r="I153" s="132">
        <v>1802000</v>
      </c>
      <c r="J153" s="127"/>
      <c r="K153" s="1794"/>
    </row>
    <row r="154">
      <c r="B154" s="127"/>
      <c r="C154" s="127"/>
      <c r="D154" s="128" t="s">
        <v>282</v>
      </c>
      <c r="E154" s="129"/>
      <c r="F154" s="129">
        <v>43982</v>
      </c>
      <c r="G154" s="130" t="s">
        <v>139</v>
      </c>
      <c r="H154" s="130" t="s">
        <v>140</v>
      </c>
      <c r="I154" s="132">
        <v>1802000</v>
      </c>
      <c r="J154" s="127"/>
      <c r="K154" s="1794"/>
    </row>
    <row r="155">
      <c r="B155" s="127"/>
      <c r="C155" s="127"/>
      <c r="D155" s="128" t="s">
        <v>283</v>
      </c>
      <c r="E155" s="129"/>
      <c r="F155" s="129">
        <v>43982</v>
      </c>
      <c r="G155" s="130" t="s">
        <v>139</v>
      </c>
      <c r="H155" s="130" t="s">
        <v>140</v>
      </c>
      <c r="I155" s="132">
        <v>1802000</v>
      </c>
      <c r="J155" s="127"/>
      <c r="K155" s="1794"/>
    </row>
    <row r="156">
      <c r="B156" s="127"/>
      <c r="C156" s="127"/>
      <c r="D156" s="128" t="s">
        <v>284</v>
      </c>
      <c r="E156" s="129"/>
      <c r="F156" s="129">
        <v>43982</v>
      </c>
      <c r="G156" s="130" t="s">
        <v>139</v>
      </c>
      <c r="H156" s="130" t="s">
        <v>140</v>
      </c>
      <c r="I156" s="132">
        <v>1802000</v>
      </c>
      <c r="J156" s="127"/>
      <c r="K156" s="1794"/>
    </row>
    <row r="157">
      <c r="B157" s="127"/>
      <c r="C157" s="127"/>
      <c r="D157" s="128" t="s">
        <v>285</v>
      </c>
      <c r="E157" s="129"/>
      <c r="F157" s="129">
        <v>43982</v>
      </c>
      <c r="G157" s="130" t="s">
        <v>139</v>
      </c>
      <c r="H157" s="130" t="s">
        <v>140</v>
      </c>
      <c r="I157" s="132">
        <v>1802000</v>
      </c>
      <c r="J157" s="127"/>
      <c r="K157" s="1794"/>
    </row>
    <row r="158">
      <c r="B158" s="127"/>
      <c r="C158" s="127"/>
      <c r="D158" s="128" t="s">
        <v>286</v>
      </c>
      <c r="E158" s="129"/>
      <c r="F158" s="129">
        <v>43982</v>
      </c>
      <c r="G158" s="130" t="s">
        <v>139</v>
      </c>
      <c r="H158" s="130" t="s">
        <v>140</v>
      </c>
      <c r="I158" s="132">
        <v>1802000</v>
      </c>
      <c r="J158" s="127"/>
      <c r="K158" s="1794"/>
    </row>
    <row r="159">
      <c r="B159" s="127"/>
      <c r="C159" s="127"/>
      <c r="D159" s="128" t="s">
        <v>287</v>
      </c>
      <c r="E159" s="129"/>
      <c r="F159" s="129">
        <v>43982</v>
      </c>
      <c r="G159" s="130" t="s">
        <v>139</v>
      </c>
      <c r="H159" s="130" t="s">
        <v>140</v>
      </c>
      <c r="I159" s="132">
        <v>1802000</v>
      </c>
      <c r="J159" s="127"/>
      <c r="K159" s="1794"/>
    </row>
    <row r="160">
      <c r="B160" s="127"/>
      <c r="C160" s="127"/>
      <c r="D160" s="128" t="s">
        <v>185</v>
      </c>
      <c r="E160" s="129"/>
      <c r="F160" s="129">
        <v>43982</v>
      </c>
      <c r="G160" s="130" t="s">
        <v>139</v>
      </c>
      <c r="H160" s="130" t="s">
        <v>140</v>
      </c>
      <c r="I160" s="132">
        <v>1802000</v>
      </c>
      <c r="J160" s="127"/>
      <c r="K160" s="1794"/>
    </row>
    <row r="161">
      <c r="B161" s="127"/>
      <c r="C161" s="127"/>
      <c r="D161" s="128" t="s">
        <v>186</v>
      </c>
      <c r="E161" s="129"/>
      <c r="F161" s="129">
        <v>43982</v>
      </c>
      <c r="G161" s="130" t="s">
        <v>139</v>
      </c>
      <c r="H161" s="130" t="s">
        <v>140</v>
      </c>
      <c r="I161" s="132">
        <v>1802000</v>
      </c>
      <c r="J161" s="127"/>
      <c r="K161" s="1794"/>
    </row>
    <row r="162">
      <c r="B162" s="127"/>
      <c r="C162" s="127"/>
      <c r="D162" s="128" t="s">
        <v>202</v>
      </c>
      <c r="E162" s="129"/>
      <c r="F162" s="129">
        <v>43982</v>
      </c>
      <c r="G162" s="130" t="s">
        <v>139</v>
      </c>
      <c r="H162" s="130" t="s">
        <v>140</v>
      </c>
      <c r="I162" s="132">
        <v>1802000</v>
      </c>
      <c r="J162" s="127"/>
      <c r="K162" s="1794"/>
    </row>
    <row r="163">
      <c r="B163" s="127"/>
      <c r="C163" s="127"/>
      <c r="D163" s="128" t="s">
        <v>288</v>
      </c>
      <c r="E163" s="129"/>
      <c r="F163" s="129">
        <v>43982</v>
      </c>
      <c r="G163" s="130" t="s">
        <v>139</v>
      </c>
      <c r="H163" s="130" t="s">
        <v>140</v>
      </c>
      <c r="I163" s="132">
        <v>1802000</v>
      </c>
      <c r="J163" s="127"/>
      <c r="K163" s="1794"/>
    </row>
    <row r="164">
      <c r="B164" s="127"/>
      <c r="C164" s="127"/>
      <c r="D164" s="128" t="s">
        <v>289</v>
      </c>
      <c r="E164" s="129">
        <v>43963</v>
      </c>
      <c r="F164" s="129"/>
      <c r="G164" s="130" t="s">
        <v>193</v>
      </c>
      <c r="H164" s="130" t="s">
        <v>87</v>
      </c>
      <c r="I164" s="139">
        <v>4200479</v>
      </c>
      <c r="J164" s="127"/>
      <c r="K164" s="1794"/>
    </row>
    <row r="165">
      <c r="B165" s="127"/>
      <c r="C165" s="127"/>
      <c r="D165" s="128" t="s">
        <v>290</v>
      </c>
      <c r="E165" s="129">
        <v>43968</v>
      </c>
      <c r="F165" s="129"/>
      <c r="G165" s="130" t="s">
        <v>193</v>
      </c>
      <c r="H165" s="130" t="s">
        <v>87</v>
      </c>
      <c r="I165" s="139">
        <v>4200479</v>
      </c>
      <c r="J165" s="127"/>
      <c r="K165" s="1794"/>
    </row>
    <row r="166">
      <c r="B166" s="127"/>
      <c r="C166" s="127"/>
      <c r="D166" s="128" t="s">
        <v>291</v>
      </c>
      <c r="E166" s="129">
        <v>43984</v>
      </c>
      <c r="F166" s="129"/>
      <c r="G166" s="130" t="s">
        <v>193</v>
      </c>
      <c r="H166" s="130" t="s">
        <v>87</v>
      </c>
      <c r="I166" s="139">
        <v>4200479</v>
      </c>
      <c r="J166" s="127"/>
      <c r="K166" s="1794"/>
    </row>
    <row r="167">
      <c r="B167" s="127"/>
      <c r="C167" s="127"/>
      <c r="D167" s="128" t="s">
        <v>292</v>
      </c>
      <c r="E167" s="129">
        <v>43985</v>
      </c>
      <c r="F167" s="129"/>
      <c r="G167" s="130" t="s">
        <v>193</v>
      </c>
      <c r="H167" s="130" t="s">
        <v>87</v>
      </c>
      <c r="I167" s="139">
        <v>4200479</v>
      </c>
      <c r="J167" s="127"/>
      <c r="K167" s="1794"/>
    </row>
    <row r="168">
      <c r="B168" s="127"/>
      <c r="C168" s="127"/>
      <c r="D168" s="128" t="s">
        <v>293</v>
      </c>
      <c r="E168" s="129">
        <v>43993</v>
      </c>
      <c r="F168" s="129"/>
      <c r="G168" s="130" t="s">
        <v>193</v>
      </c>
      <c r="H168" s="130" t="s">
        <v>87</v>
      </c>
      <c r="I168" s="139">
        <v>4200479</v>
      </c>
      <c r="J168" s="127"/>
      <c r="K168" s="1794"/>
    </row>
    <row r="169">
      <c r="B169" s="133"/>
      <c r="C169" s="133"/>
      <c r="D169" s="134"/>
      <c r="E169" s="135"/>
      <c r="F169" s="135"/>
      <c r="G169" s="136"/>
      <c r="H169" s="136"/>
      <c r="I169" s="137"/>
      <c r="J169" s="133"/>
      <c r="K169" s="140"/>
    </row>
    <row r="170" ht="11.25" customHeight="1">
      <c r="B170" s="127">
        <v>1</v>
      </c>
      <c r="C170" s="127"/>
      <c r="D170" s="128" t="s">
        <v>294</v>
      </c>
      <c r="E170" s="129">
        <v>44015</v>
      </c>
      <c r="F170" s="129"/>
      <c r="G170" s="130" t="s">
        <v>200</v>
      </c>
      <c r="H170" s="130" t="s">
        <v>201</v>
      </c>
      <c r="I170" s="132">
        <v>2770300</v>
      </c>
      <c r="J170" s="127"/>
      <c r="K170" s="1796" t="s">
        <v>295</v>
      </c>
    </row>
    <row r="171">
      <c r="B171" s="127">
        <f>+B170+1</f>
        <v>2</v>
      </c>
      <c r="C171" s="127"/>
      <c r="D171" s="128" t="s">
        <v>296</v>
      </c>
      <c r="E171" s="129"/>
      <c r="F171" s="129">
        <v>44012</v>
      </c>
      <c r="G171" s="130" t="s">
        <v>200</v>
      </c>
      <c r="H171" s="130" t="s">
        <v>201</v>
      </c>
      <c r="I171" s="132">
        <v>2770300</v>
      </c>
      <c r="J171" s="127"/>
      <c r="K171" s="1797"/>
    </row>
    <row r="172">
      <c r="B172" s="127">
        <f ref="B172:B211" t="shared" si="4">+B171+1</f>
        <v>3</v>
      </c>
      <c r="C172" s="127"/>
      <c r="D172" s="128" t="s">
        <v>297</v>
      </c>
      <c r="E172" s="129"/>
      <c r="F172" s="129">
        <v>44012</v>
      </c>
      <c r="G172" s="130" t="s">
        <v>200</v>
      </c>
      <c r="H172" s="130" t="s">
        <v>201</v>
      </c>
      <c r="I172" s="132">
        <v>2770300</v>
      </c>
      <c r="J172" s="127"/>
      <c r="K172" s="1797"/>
    </row>
    <row r="173">
      <c r="B173" s="127">
        <f t="shared" si="4"/>
        <v>4</v>
      </c>
      <c r="C173" s="127"/>
      <c r="D173" s="128" t="s">
        <v>298</v>
      </c>
      <c r="E173" s="129"/>
      <c r="F173" s="129">
        <v>43982</v>
      </c>
      <c r="G173" s="130" t="s">
        <v>200</v>
      </c>
      <c r="H173" s="130" t="s">
        <v>201</v>
      </c>
      <c r="I173" s="132">
        <v>2770300</v>
      </c>
      <c r="J173" s="127"/>
      <c r="K173" s="1797"/>
    </row>
    <row r="174">
      <c r="B174" s="127">
        <f t="shared" si="4"/>
        <v>5</v>
      </c>
      <c r="C174" s="127"/>
      <c r="D174" s="128" t="s">
        <v>299</v>
      </c>
      <c r="E174" s="129"/>
      <c r="F174" s="129">
        <v>43982</v>
      </c>
      <c r="G174" s="130" t="s">
        <v>200</v>
      </c>
      <c r="H174" s="130" t="s">
        <v>201</v>
      </c>
      <c r="I174" s="132">
        <v>2770300</v>
      </c>
      <c r="J174" s="127"/>
      <c r="K174" s="1797"/>
    </row>
    <row r="175">
      <c r="B175" s="127">
        <f t="shared" si="4"/>
        <v>6</v>
      </c>
      <c r="C175" s="127"/>
      <c r="D175" s="128" t="s">
        <v>300</v>
      </c>
      <c r="E175" s="129"/>
      <c r="F175" s="129">
        <v>43982</v>
      </c>
      <c r="G175" s="130" t="s">
        <v>200</v>
      </c>
      <c r="H175" s="130" t="s">
        <v>201</v>
      </c>
      <c r="I175" s="132">
        <v>2770300</v>
      </c>
      <c r="J175" s="127"/>
      <c r="K175" s="1797"/>
    </row>
    <row r="176">
      <c r="B176" s="127">
        <f t="shared" si="4"/>
        <v>7</v>
      </c>
      <c r="C176" s="127"/>
      <c r="D176" s="128" t="s">
        <v>301</v>
      </c>
      <c r="E176" s="129"/>
      <c r="F176" s="129">
        <v>43982</v>
      </c>
      <c r="G176" s="130" t="s">
        <v>200</v>
      </c>
      <c r="H176" s="130" t="s">
        <v>201</v>
      </c>
      <c r="I176" s="132">
        <v>2770300</v>
      </c>
      <c r="J176" s="127"/>
      <c r="K176" s="1797"/>
    </row>
    <row r="177">
      <c r="B177" s="127">
        <f t="shared" si="4"/>
        <v>8</v>
      </c>
      <c r="C177" s="127"/>
      <c r="D177" s="128" t="s">
        <v>267</v>
      </c>
      <c r="E177" s="129"/>
      <c r="F177" s="129">
        <v>43982</v>
      </c>
      <c r="G177" s="130" t="s">
        <v>176</v>
      </c>
      <c r="H177" s="130" t="s">
        <v>177</v>
      </c>
      <c r="I177" s="132">
        <v>2715000</v>
      </c>
      <c r="J177" s="127"/>
      <c r="K177" s="1797"/>
    </row>
    <row r="178">
      <c r="B178" s="127">
        <f t="shared" si="4"/>
        <v>9</v>
      </c>
      <c r="C178" s="127"/>
      <c r="D178" s="128" t="s">
        <v>302</v>
      </c>
      <c r="E178" s="129"/>
      <c r="F178" s="129">
        <v>44012</v>
      </c>
      <c r="G178" s="130" t="s">
        <v>200</v>
      </c>
      <c r="H178" s="130" t="s">
        <v>201</v>
      </c>
      <c r="I178" s="132">
        <v>2770300</v>
      </c>
      <c r="J178" s="127"/>
      <c r="K178" s="1797"/>
    </row>
    <row r="179">
      <c r="B179" s="127">
        <f t="shared" si="4"/>
        <v>10</v>
      </c>
      <c r="C179" s="127"/>
      <c r="D179" s="128" t="s">
        <v>294</v>
      </c>
      <c r="E179" s="129">
        <v>44015</v>
      </c>
      <c r="F179" s="129"/>
      <c r="G179" s="130" t="s">
        <v>200</v>
      </c>
      <c r="H179" s="130" t="s">
        <v>177</v>
      </c>
      <c r="I179" s="132">
        <v>2770300</v>
      </c>
      <c r="J179" s="127"/>
      <c r="K179" s="1797"/>
    </row>
    <row r="180">
      <c r="B180" s="127">
        <f t="shared" si="4"/>
        <v>11</v>
      </c>
      <c r="C180" s="127"/>
      <c r="D180" s="128" t="s">
        <v>303</v>
      </c>
      <c r="E180" s="129">
        <v>44015</v>
      </c>
      <c r="F180" s="129"/>
      <c r="G180" s="130" t="s">
        <v>200</v>
      </c>
      <c r="H180" s="130" t="s">
        <v>177</v>
      </c>
      <c r="I180" s="132">
        <v>2770300</v>
      </c>
      <c r="J180" s="127"/>
      <c r="K180" s="1797"/>
    </row>
    <row r="181">
      <c r="B181" s="127">
        <f t="shared" si="4"/>
        <v>12</v>
      </c>
      <c r="C181" s="127"/>
      <c r="D181" s="128" t="s">
        <v>275</v>
      </c>
      <c r="E181" s="129">
        <v>44020</v>
      </c>
      <c r="F181" s="129"/>
      <c r="G181" s="130" t="s">
        <v>200</v>
      </c>
      <c r="H181" s="130" t="s">
        <v>177</v>
      </c>
      <c r="I181" s="132">
        <v>2770300</v>
      </c>
      <c r="J181" s="127"/>
      <c r="K181" s="1797"/>
    </row>
    <row r="182">
      <c r="B182" s="127">
        <f t="shared" si="4"/>
        <v>13</v>
      </c>
      <c r="C182" s="127"/>
      <c r="D182" s="128" t="s">
        <v>191</v>
      </c>
      <c r="E182" s="129"/>
      <c r="F182" s="129">
        <v>43997</v>
      </c>
      <c r="G182" s="130" t="s">
        <v>139</v>
      </c>
      <c r="H182" s="130" t="s">
        <v>140</v>
      </c>
      <c r="I182" s="132">
        <v>1802000</v>
      </c>
      <c r="J182" s="127"/>
      <c r="K182" s="1797"/>
    </row>
    <row r="183">
      <c r="B183" s="127">
        <f t="shared" si="4"/>
        <v>14</v>
      </c>
      <c r="C183" s="127"/>
      <c r="D183" s="128" t="s">
        <v>208</v>
      </c>
      <c r="E183" s="129"/>
      <c r="F183" s="129">
        <v>44006</v>
      </c>
      <c r="G183" s="130" t="s">
        <v>139</v>
      </c>
      <c r="H183" s="130" t="s">
        <v>140</v>
      </c>
      <c r="I183" s="132">
        <v>1802000</v>
      </c>
      <c r="J183" s="127"/>
      <c r="K183" s="1797"/>
    </row>
    <row r="184">
      <c r="B184" s="127">
        <f t="shared" si="4"/>
        <v>15</v>
      </c>
      <c r="C184" s="127"/>
      <c r="D184" s="128" t="s">
        <v>304</v>
      </c>
      <c r="E184" s="129"/>
      <c r="F184" s="129">
        <v>44012</v>
      </c>
      <c r="G184" s="130" t="s">
        <v>139</v>
      </c>
      <c r="H184" s="130" t="s">
        <v>140</v>
      </c>
      <c r="I184" s="132">
        <v>1802000</v>
      </c>
      <c r="J184" s="127"/>
      <c r="K184" s="1797"/>
    </row>
    <row r="185">
      <c r="B185" s="127">
        <f t="shared" si="4"/>
        <v>16</v>
      </c>
      <c r="C185" s="127"/>
      <c r="D185" s="128" t="s">
        <v>305</v>
      </c>
      <c r="E185" s="129"/>
      <c r="F185" s="129">
        <v>44012</v>
      </c>
      <c r="G185" s="130" t="s">
        <v>139</v>
      </c>
      <c r="H185" s="130" t="s">
        <v>140</v>
      </c>
      <c r="I185" s="132">
        <v>1802000</v>
      </c>
      <c r="J185" s="127"/>
      <c r="K185" s="1797"/>
    </row>
    <row r="186">
      <c r="B186" s="127">
        <f t="shared" si="4"/>
        <v>17</v>
      </c>
      <c r="C186" s="127"/>
      <c r="D186" s="128" t="s">
        <v>306</v>
      </c>
      <c r="E186" s="129"/>
      <c r="F186" s="129">
        <v>44012</v>
      </c>
      <c r="G186" s="130" t="s">
        <v>139</v>
      </c>
      <c r="H186" s="130" t="s">
        <v>140</v>
      </c>
      <c r="I186" s="132">
        <v>1802000</v>
      </c>
      <c r="J186" s="127"/>
      <c r="K186" s="1797"/>
    </row>
    <row r="187">
      <c r="B187" s="127">
        <f t="shared" si="4"/>
        <v>18</v>
      </c>
      <c r="C187" s="127"/>
      <c r="D187" s="128" t="s">
        <v>307</v>
      </c>
      <c r="E187" s="129"/>
      <c r="F187" s="129">
        <v>44012</v>
      </c>
      <c r="G187" s="130" t="s">
        <v>139</v>
      </c>
      <c r="H187" s="130" t="s">
        <v>140</v>
      </c>
      <c r="I187" s="132">
        <v>1802000</v>
      </c>
      <c r="J187" s="127"/>
      <c r="K187" s="1797"/>
    </row>
    <row r="188">
      <c r="B188" s="127">
        <f t="shared" si="4"/>
        <v>19</v>
      </c>
      <c r="C188" s="127"/>
      <c r="D188" s="128" t="s">
        <v>308</v>
      </c>
      <c r="E188" s="129"/>
      <c r="F188" s="129">
        <v>44012</v>
      </c>
      <c r="G188" s="130" t="s">
        <v>139</v>
      </c>
      <c r="H188" s="130" t="s">
        <v>140</v>
      </c>
      <c r="I188" s="132">
        <v>1802000</v>
      </c>
      <c r="J188" s="127"/>
      <c r="K188" s="1797"/>
    </row>
    <row r="189">
      <c r="B189" s="127">
        <f t="shared" si="4"/>
        <v>20</v>
      </c>
      <c r="C189" s="127"/>
      <c r="D189" s="128" t="s">
        <v>309</v>
      </c>
      <c r="E189" s="129"/>
      <c r="F189" s="129">
        <v>44012</v>
      </c>
      <c r="G189" s="130" t="s">
        <v>139</v>
      </c>
      <c r="H189" s="130" t="s">
        <v>140</v>
      </c>
      <c r="I189" s="132">
        <v>1802000</v>
      </c>
      <c r="J189" s="127"/>
      <c r="K189" s="1797"/>
    </row>
    <row r="190">
      <c r="B190" s="127">
        <f t="shared" si="4"/>
        <v>21</v>
      </c>
      <c r="C190" s="127"/>
      <c r="D190" s="128" t="s">
        <v>310</v>
      </c>
      <c r="E190" s="129">
        <v>44004</v>
      </c>
      <c r="F190" s="129"/>
      <c r="G190" s="130" t="s">
        <v>193</v>
      </c>
      <c r="H190" s="130" t="s">
        <v>177</v>
      </c>
      <c r="I190" s="132">
        <v>4200479</v>
      </c>
      <c r="J190" s="127"/>
      <c r="K190" s="1797"/>
    </row>
    <row r="191">
      <c r="B191" s="127">
        <f t="shared" si="4"/>
        <v>22</v>
      </c>
      <c r="C191" s="127"/>
      <c r="D191" s="128" t="s">
        <v>311</v>
      </c>
      <c r="E191" s="129">
        <v>43999</v>
      </c>
      <c r="F191" s="129"/>
      <c r="G191" s="130" t="s">
        <v>312</v>
      </c>
      <c r="H191" s="130" t="s">
        <v>177</v>
      </c>
      <c r="I191" s="132">
        <v>2654095</v>
      </c>
      <c r="J191" s="127"/>
      <c r="K191" s="1797"/>
    </row>
    <row r="192">
      <c r="B192" s="127">
        <f t="shared" si="4"/>
        <v>23</v>
      </c>
      <c r="C192" s="127"/>
      <c r="D192" s="128" t="s">
        <v>313</v>
      </c>
      <c r="E192" s="129">
        <v>43999</v>
      </c>
      <c r="F192" s="129"/>
      <c r="G192" s="130" t="s">
        <v>314</v>
      </c>
      <c r="H192" s="130" t="s">
        <v>177</v>
      </c>
      <c r="I192" s="132">
        <v>2503265</v>
      </c>
      <c r="J192" s="127"/>
      <c r="K192" s="1797"/>
    </row>
    <row r="193">
      <c r="B193" s="127">
        <f t="shared" si="4"/>
        <v>24</v>
      </c>
      <c r="C193" s="127"/>
      <c r="D193" s="128" t="s">
        <v>315</v>
      </c>
      <c r="E193" s="129">
        <v>43999</v>
      </c>
      <c r="F193" s="129"/>
      <c r="G193" s="130" t="s">
        <v>314</v>
      </c>
      <c r="H193" s="130" t="s">
        <v>177</v>
      </c>
      <c r="I193" s="132">
        <v>2503265</v>
      </c>
      <c r="J193" s="127"/>
      <c r="K193" s="1797"/>
    </row>
    <row r="194">
      <c r="B194" s="127">
        <f t="shared" si="4"/>
        <v>25</v>
      </c>
      <c r="C194" s="127"/>
      <c r="D194" s="128" t="s">
        <v>316</v>
      </c>
      <c r="E194" s="129">
        <v>44001</v>
      </c>
      <c r="F194" s="129"/>
      <c r="G194" s="130" t="s">
        <v>314</v>
      </c>
      <c r="H194" s="130" t="s">
        <v>177</v>
      </c>
      <c r="I194" s="132">
        <v>2503265</v>
      </c>
      <c r="J194" s="127"/>
      <c r="K194" s="1797"/>
    </row>
    <row r="195">
      <c r="B195" s="127">
        <f t="shared" si="4"/>
        <v>26</v>
      </c>
      <c r="C195" s="127"/>
      <c r="D195" s="128" t="s">
        <v>317</v>
      </c>
      <c r="E195" s="129">
        <v>44013</v>
      </c>
      <c r="F195" s="129"/>
      <c r="G195" s="130" t="s">
        <v>314</v>
      </c>
      <c r="H195" s="130" t="s">
        <v>177</v>
      </c>
      <c r="I195" s="132">
        <v>2503265</v>
      </c>
      <c r="J195" s="127"/>
      <c r="K195" s="1797"/>
    </row>
    <row r="196">
      <c r="B196" s="127">
        <f t="shared" si="4"/>
        <v>27</v>
      </c>
      <c r="C196" s="127"/>
      <c r="D196" s="128" t="s">
        <v>318</v>
      </c>
      <c r="E196" s="129"/>
      <c r="F196" s="129">
        <v>44012</v>
      </c>
      <c r="G196" s="130" t="s">
        <v>47</v>
      </c>
      <c r="H196" s="130" t="s">
        <v>48</v>
      </c>
      <c r="I196" s="132">
        <v>2895502</v>
      </c>
      <c r="J196" s="127"/>
      <c r="K196" s="1797"/>
    </row>
    <row r="197">
      <c r="B197" s="127">
        <f t="shared" si="4"/>
        <v>28</v>
      </c>
      <c r="C197" s="127"/>
      <c r="D197" s="128" t="s">
        <v>319</v>
      </c>
      <c r="E197" s="129"/>
      <c r="F197" s="129">
        <v>44012</v>
      </c>
      <c r="G197" s="130" t="s">
        <v>47</v>
      </c>
      <c r="H197" s="130" t="s">
        <v>48</v>
      </c>
      <c r="I197" s="132">
        <v>2895502</v>
      </c>
      <c r="J197" s="127"/>
      <c r="K197" s="1797"/>
    </row>
    <row r="198">
      <c r="B198" s="127">
        <f t="shared" si="4"/>
        <v>29</v>
      </c>
      <c r="C198" s="127"/>
      <c r="D198" s="128" t="s">
        <v>320</v>
      </c>
      <c r="E198" s="129"/>
      <c r="F198" s="129">
        <v>44012</v>
      </c>
      <c r="G198" s="130" t="s">
        <v>47</v>
      </c>
      <c r="H198" s="130" t="s">
        <v>48</v>
      </c>
      <c r="I198" s="132">
        <v>2895502</v>
      </c>
      <c r="J198" s="127"/>
      <c r="K198" s="1797"/>
    </row>
    <row r="199">
      <c r="B199" s="127">
        <f t="shared" si="4"/>
        <v>30</v>
      </c>
      <c r="C199" s="127"/>
      <c r="D199" s="128" t="s">
        <v>321</v>
      </c>
      <c r="E199" s="129"/>
      <c r="F199" s="129">
        <v>44012</v>
      </c>
      <c r="G199" s="130" t="s">
        <v>47</v>
      </c>
      <c r="H199" s="130" t="s">
        <v>48</v>
      </c>
      <c r="I199" s="132">
        <v>2895502</v>
      </c>
      <c r="J199" s="127"/>
      <c r="K199" s="1797"/>
    </row>
    <row r="200">
      <c r="B200" s="127">
        <f t="shared" si="4"/>
        <v>31</v>
      </c>
      <c r="C200" s="127"/>
      <c r="D200" s="128" t="s">
        <v>258</v>
      </c>
      <c r="E200" s="129"/>
      <c r="F200" s="129">
        <v>44012</v>
      </c>
      <c r="G200" s="130" t="s">
        <v>47</v>
      </c>
      <c r="H200" s="130" t="s">
        <v>48</v>
      </c>
      <c r="I200" s="132">
        <v>2895502</v>
      </c>
      <c r="J200" s="127"/>
      <c r="K200" s="1797"/>
    </row>
    <row r="201">
      <c r="B201" s="127">
        <f t="shared" si="4"/>
        <v>32</v>
      </c>
      <c r="C201" s="127"/>
      <c r="D201" s="128" t="s">
        <v>322</v>
      </c>
      <c r="E201" s="129"/>
      <c r="F201" s="129">
        <v>44012</v>
      </c>
      <c r="G201" s="130" t="s">
        <v>47</v>
      </c>
      <c r="H201" s="130" t="s">
        <v>48</v>
      </c>
      <c r="I201" s="132">
        <v>2895502</v>
      </c>
      <c r="J201" s="127"/>
      <c r="K201" s="1797"/>
    </row>
    <row r="202">
      <c r="B202" s="127">
        <f t="shared" si="4"/>
        <v>33</v>
      </c>
      <c r="C202" s="127"/>
      <c r="D202" s="128" t="s">
        <v>76</v>
      </c>
      <c r="E202" s="129"/>
      <c r="F202" s="129">
        <v>44012</v>
      </c>
      <c r="G202" s="130" t="s">
        <v>323</v>
      </c>
      <c r="H202" s="130" t="s">
        <v>48</v>
      </c>
      <c r="I202" s="132">
        <v>2895502</v>
      </c>
      <c r="J202" s="127"/>
      <c r="K202" s="1797"/>
    </row>
    <row r="203">
      <c r="B203" s="127">
        <f t="shared" si="4"/>
        <v>34</v>
      </c>
      <c r="C203" s="127"/>
      <c r="D203" s="128" t="s">
        <v>167</v>
      </c>
      <c r="E203" s="129"/>
      <c r="F203" s="129">
        <v>44012</v>
      </c>
      <c r="G203" s="130" t="s">
        <v>47</v>
      </c>
      <c r="H203" s="130" t="s">
        <v>48</v>
      </c>
      <c r="I203" s="132">
        <v>2895502</v>
      </c>
      <c r="J203" s="127"/>
      <c r="K203" s="1797"/>
    </row>
    <row r="204">
      <c r="B204" s="127">
        <f t="shared" si="4"/>
        <v>35</v>
      </c>
      <c r="C204" s="127"/>
      <c r="D204" s="128" t="s">
        <v>324</v>
      </c>
      <c r="E204" s="129"/>
      <c r="F204" s="129">
        <v>44012</v>
      </c>
      <c r="G204" s="130" t="s">
        <v>47</v>
      </c>
      <c r="H204" s="130" t="s">
        <v>48</v>
      </c>
      <c r="I204" s="132">
        <v>2895502</v>
      </c>
      <c r="J204" s="127"/>
      <c r="K204" s="1797"/>
    </row>
    <row r="205">
      <c r="B205" s="127">
        <f t="shared" si="4"/>
        <v>36</v>
      </c>
      <c r="C205" s="127"/>
      <c r="D205" s="128" t="s">
        <v>72</v>
      </c>
      <c r="E205" s="129"/>
      <c r="F205" s="129">
        <v>44012</v>
      </c>
      <c r="G205" s="130" t="s">
        <v>47</v>
      </c>
      <c r="H205" s="130" t="s">
        <v>48</v>
      </c>
      <c r="I205" s="132">
        <v>2895502</v>
      </c>
      <c r="J205" s="127"/>
      <c r="K205" s="1797"/>
    </row>
    <row r="206">
      <c r="B206" s="127">
        <f t="shared" si="4"/>
        <v>37</v>
      </c>
      <c r="C206" s="127"/>
      <c r="D206" s="128" t="s">
        <v>74</v>
      </c>
      <c r="E206" s="129"/>
      <c r="F206" s="129">
        <v>44012</v>
      </c>
      <c r="G206" s="130" t="s">
        <v>47</v>
      </c>
      <c r="H206" s="130" t="s">
        <v>48</v>
      </c>
      <c r="I206" s="132">
        <v>2895502</v>
      </c>
      <c r="J206" s="127"/>
      <c r="K206" s="1797"/>
    </row>
    <row r="207">
      <c r="B207" s="127">
        <f t="shared" si="4"/>
        <v>38</v>
      </c>
      <c r="C207" s="127"/>
      <c r="D207" s="128" t="s">
        <v>161</v>
      </c>
      <c r="E207" s="129"/>
      <c r="F207" s="129">
        <v>44012</v>
      </c>
      <c r="G207" s="130" t="s">
        <v>47</v>
      </c>
      <c r="H207" s="130" t="s">
        <v>48</v>
      </c>
      <c r="I207" s="132">
        <v>2895502</v>
      </c>
      <c r="J207" s="127"/>
      <c r="K207" s="1797"/>
    </row>
    <row r="208">
      <c r="B208" s="127">
        <f t="shared" si="4"/>
        <v>39</v>
      </c>
      <c r="C208" s="127"/>
      <c r="D208" s="128" t="s">
        <v>325</v>
      </c>
      <c r="E208" s="129"/>
      <c r="F208" s="129">
        <v>44012</v>
      </c>
      <c r="G208" s="130" t="s">
        <v>47</v>
      </c>
      <c r="H208" s="130" t="s">
        <v>48</v>
      </c>
      <c r="I208" s="132">
        <v>2895502</v>
      </c>
      <c r="J208" s="127"/>
      <c r="K208" s="1797"/>
    </row>
    <row r="209">
      <c r="B209" s="127">
        <f t="shared" si="4"/>
        <v>40</v>
      </c>
      <c r="C209" s="127"/>
      <c r="D209" s="128" t="s">
        <v>326</v>
      </c>
      <c r="E209" s="129">
        <v>44011</v>
      </c>
      <c r="F209" s="129"/>
      <c r="G209" s="130" t="s">
        <v>119</v>
      </c>
      <c r="H209" s="130" t="s">
        <v>261</v>
      </c>
      <c r="I209" s="132">
        <v>1900000</v>
      </c>
      <c r="J209" s="127"/>
      <c r="K209" s="1797"/>
    </row>
    <row r="210">
      <c r="B210" s="127">
        <f t="shared" si="4"/>
        <v>41</v>
      </c>
      <c r="C210" s="127"/>
      <c r="D210" s="128" t="s">
        <v>327</v>
      </c>
      <c r="E210" s="129">
        <v>44015</v>
      </c>
      <c r="F210" s="129"/>
      <c r="G210" s="130" t="s">
        <v>328</v>
      </c>
      <c r="H210" s="130" t="s">
        <v>177</v>
      </c>
      <c r="I210" s="132">
        <v>1956200</v>
      </c>
      <c r="J210" s="127"/>
      <c r="K210" s="1797"/>
    </row>
    <row r="211">
      <c r="B211" s="127">
        <f t="shared" si="4"/>
        <v>42</v>
      </c>
      <c r="C211" s="127"/>
      <c r="D211" s="128" t="s">
        <v>329</v>
      </c>
      <c r="E211" s="129">
        <v>44020</v>
      </c>
      <c r="F211" s="129"/>
      <c r="G211" s="130" t="s">
        <v>328</v>
      </c>
      <c r="H211" s="130" t="s">
        <v>177</v>
      </c>
      <c r="I211" s="132">
        <v>1956200</v>
      </c>
      <c r="J211" s="127"/>
      <c r="K211" s="1798"/>
    </row>
    <row r="212">
      <c r="B212" s="141"/>
      <c r="C212" s="141"/>
      <c r="D212" s="141" t="s">
        <v>330</v>
      </c>
      <c r="E212" s="142">
        <v>13</v>
      </c>
      <c r="F212" s="142">
        <v>29</v>
      </c>
      <c r="G212" s="143"/>
      <c r="H212" s="143"/>
      <c r="I212" s="148"/>
      <c r="J212" s="141"/>
      <c r="K212" s="149"/>
    </row>
    <row r="213" ht="11.25" customHeight="1">
      <c r="B213" s="144">
        <v>1</v>
      </c>
      <c r="C213" s="144"/>
      <c r="D213" s="145" t="s">
        <v>331</v>
      </c>
      <c r="E213" s="146">
        <v>44046</v>
      </c>
      <c r="F213" s="146"/>
      <c r="G213" s="147" t="s">
        <v>139</v>
      </c>
      <c r="H213" s="147" t="s">
        <v>139</v>
      </c>
      <c r="I213" s="150">
        <v>1802000</v>
      </c>
      <c r="J213" s="144"/>
      <c r="K213" s="1791" t="s">
        <v>332</v>
      </c>
    </row>
    <row r="214">
      <c r="B214" s="144">
        <f>+B213+1</f>
        <v>2</v>
      </c>
      <c r="C214" s="144"/>
      <c r="D214" s="145" t="s">
        <v>333</v>
      </c>
      <c r="E214" s="146">
        <v>44046</v>
      </c>
      <c r="F214" s="146"/>
      <c r="G214" s="147" t="s">
        <v>139</v>
      </c>
      <c r="H214" s="147" t="s">
        <v>139</v>
      </c>
      <c r="I214" s="150">
        <v>1802000</v>
      </c>
      <c r="J214" s="144"/>
      <c r="K214" s="1791"/>
    </row>
    <row r="215">
      <c r="B215" s="144">
        <f ref="B215:B278" t="shared" si="5">+B214+1</f>
        <v>3</v>
      </c>
      <c r="C215" s="144"/>
      <c r="D215" s="145" t="s">
        <v>202</v>
      </c>
      <c r="E215" s="146">
        <v>44048</v>
      </c>
      <c r="F215" s="146"/>
      <c r="G215" s="147" t="s">
        <v>139</v>
      </c>
      <c r="H215" s="147" t="s">
        <v>139</v>
      </c>
      <c r="I215" s="150">
        <v>1802000</v>
      </c>
      <c r="J215" s="144"/>
      <c r="K215" s="1791"/>
    </row>
    <row r="216">
      <c r="B216" s="144">
        <f t="shared" si="5"/>
        <v>4</v>
      </c>
      <c r="C216" s="144"/>
      <c r="D216" s="145" t="s">
        <v>334</v>
      </c>
      <c r="E216" s="146"/>
      <c r="F216" s="146">
        <v>44043</v>
      </c>
      <c r="G216" s="147" t="s">
        <v>139</v>
      </c>
      <c r="H216" s="147" t="s">
        <v>139</v>
      </c>
      <c r="I216" s="150">
        <v>1802000</v>
      </c>
      <c r="J216" s="144"/>
      <c r="K216" s="1791"/>
    </row>
    <row r="217">
      <c r="B217" s="144">
        <f t="shared" si="5"/>
        <v>5</v>
      </c>
      <c r="C217" s="144"/>
      <c r="D217" s="145" t="s">
        <v>144</v>
      </c>
      <c r="E217" s="146"/>
      <c r="F217" s="146">
        <v>44043</v>
      </c>
      <c r="G217" s="147" t="s">
        <v>139</v>
      </c>
      <c r="H217" s="147" t="s">
        <v>139</v>
      </c>
      <c r="I217" s="150">
        <v>1802000</v>
      </c>
      <c r="J217" s="144"/>
      <c r="K217" s="1791"/>
    </row>
    <row r="218">
      <c r="B218" s="144">
        <f t="shared" si="5"/>
        <v>6</v>
      </c>
      <c r="C218" s="144"/>
      <c r="D218" s="145" t="s">
        <v>335</v>
      </c>
      <c r="E218" s="146">
        <v>44026</v>
      </c>
      <c r="F218" s="146"/>
      <c r="G218" s="147" t="s">
        <v>193</v>
      </c>
      <c r="H218" s="147" t="s">
        <v>87</v>
      </c>
      <c r="I218" s="150">
        <v>4200479</v>
      </c>
      <c r="J218" s="144"/>
      <c r="K218" s="1791"/>
    </row>
    <row r="219">
      <c r="B219" s="144">
        <f t="shared" si="5"/>
        <v>7</v>
      </c>
      <c r="C219" s="144"/>
      <c r="D219" s="145" t="s">
        <v>336</v>
      </c>
      <c r="E219" s="146">
        <v>44027</v>
      </c>
      <c r="F219" s="146"/>
      <c r="G219" s="147" t="s">
        <v>193</v>
      </c>
      <c r="H219" s="147" t="s">
        <v>87</v>
      </c>
      <c r="I219" s="150">
        <v>4200479</v>
      </c>
      <c r="J219" s="144"/>
      <c r="K219" s="1791"/>
    </row>
    <row r="220">
      <c r="B220" s="144">
        <f t="shared" si="5"/>
        <v>8</v>
      </c>
      <c r="C220" s="144"/>
      <c r="D220" s="145" t="s">
        <v>337</v>
      </c>
      <c r="E220" s="146">
        <v>44031</v>
      </c>
      <c r="F220" s="146"/>
      <c r="G220" s="147" t="s">
        <v>193</v>
      </c>
      <c r="H220" s="147" t="s">
        <v>87</v>
      </c>
      <c r="I220" s="150">
        <v>4200479</v>
      </c>
      <c r="J220" s="144"/>
      <c r="K220" s="1791"/>
    </row>
    <row r="221">
      <c r="B221" s="144">
        <f t="shared" si="5"/>
        <v>9</v>
      </c>
      <c r="C221" s="144"/>
      <c r="D221" s="145" t="s">
        <v>338</v>
      </c>
      <c r="E221" s="146">
        <v>44030</v>
      </c>
      <c r="F221" s="146"/>
      <c r="G221" s="147" t="s">
        <v>193</v>
      </c>
      <c r="H221" s="147" t="s">
        <v>87</v>
      </c>
      <c r="I221" s="150">
        <v>4200479</v>
      </c>
      <c r="J221" s="144"/>
      <c r="K221" s="1791"/>
    </row>
    <row r="222">
      <c r="B222" s="144">
        <f t="shared" si="5"/>
        <v>10</v>
      </c>
      <c r="C222" s="144"/>
      <c r="D222" s="145" t="s">
        <v>339</v>
      </c>
      <c r="E222" s="146">
        <v>44032</v>
      </c>
      <c r="F222" s="146"/>
      <c r="G222" s="147" t="s">
        <v>193</v>
      </c>
      <c r="H222" s="147" t="s">
        <v>87</v>
      </c>
      <c r="I222" s="150">
        <v>4200479</v>
      </c>
      <c r="J222" s="144"/>
      <c r="K222" s="1791"/>
    </row>
    <row r="223">
      <c r="B223" s="144">
        <f t="shared" si="5"/>
        <v>11</v>
      </c>
      <c r="C223" s="144"/>
      <c r="D223" s="145" t="s">
        <v>340</v>
      </c>
      <c r="E223" s="146">
        <v>44039</v>
      </c>
      <c r="F223" s="146"/>
      <c r="G223" s="147" t="s">
        <v>193</v>
      </c>
      <c r="H223" s="147" t="s">
        <v>87</v>
      </c>
      <c r="I223" s="150">
        <v>4200479</v>
      </c>
      <c r="J223" s="144"/>
      <c r="K223" s="1791"/>
    </row>
    <row r="224">
      <c r="B224" s="144">
        <f t="shared" si="5"/>
        <v>12</v>
      </c>
      <c r="C224" s="144"/>
      <c r="D224" s="145" t="s">
        <v>341</v>
      </c>
      <c r="E224" s="146">
        <v>44044</v>
      </c>
      <c r="F224" s="146"/>
      <c r="G224" s="147" t="s">
        <v>193</v>
      </c>
      <c r="H224" s="147" t="s">
        <v>87</v>
      </c>
      <c r="I224" s="150">
        <v>4200479</v>
      </c>
      <c r="J224" s="144"/>
      <c r="K224" s="1791"/>
    </row>
    <row r="225">
      <c r="B225" s="144">
        <f t="shared" si="5"/>
        <v>13</v>
      </c>
      <c r="C225" s="144"/>
      <c r="D225" s="145" t="s">
        <v>342</v>
      </c>
      <c r="E225" s="146">
        <v>44045</v>
      </c>
      <c r="F225" s="146"/>
      <c r="G225" s="147" t="s">
        <v>193</v>
      </c>
      <c r="H225" s="147" t="s">
        <v>87</v>
      </c>
      <c r="I225" s="150">
        <v>4200479</v>
      </c>
      <c r="J225" s="144"/>
      <c r="K225" s="1791"/>
    </row>
    <row r="226">
      <c r="B226" s="144">
        <f t="shared" si="5"/>
        <v>14</v>
      </c>
      <c r="C226" s="144"/>
      <c r="D226" s="145" t="s">
        <v>343</v>
      </c>
      <c r="E226" s="146">
        <v>44047</v>
      </c>
      <c r="F226" s="146"/>
      <c r="G226" s="147" t="s">
        <v>193</v>
      </c>
      <c r="H226" s="147" t="s">
        <v>87</v>
      </c>
      <c r="I226" s="150">
        <v>4200479</v>
      </c>
      <c r="J226" s="144"/>
      <c r="K226" s="1791"/>
    </row>
    <row r="227">
      <c r="B227" s="144">
        <f t="shared" si="5"/>
        <v>15</v>
      </c>
      <c r="C227" s="144"/>
      <c r="D227" s="145" t="s">
        <v>344</v>
      </c>
      <c r="E227" s="146">
        <v>44050</v>
      </c>
      <c r="F227" s="146"/>
      <c r="G227" s="147" t="s">
        <v>193</v>
      </c>
      <c r="H227" s="147" t="s">
        <v>87</v>
      </c>
      <c r="I227" s="150">
        <v>4200479</v>
      </c>
      <c r="J227" s="144"/>
      <c r="K227" s="1791"/>
    </row>
    <row r="228">
      <c r="B228" s="144">
        <f t="shared" si="5"/>
        <v>16</v>
      </c>
      <c r="C228" s="144"/>
      <c r="D228" s="145" t="s">
        <v>345</v>
      </c>
      <c r="E228" s="146">
        <v>44050</v>
      </c>
      <c r="F228" s="146"/>
      <c r="G228" s="147" t="s">
        <v>193</v>
      </c>
      <c r="H228" s="147" t="s">
        <v>87</v>
      </c>
      <c r="I228" s="150">
        <v>4200479</v>
      </c>
      <c r="J228" s="144"/>
      <c r="K228" s="1791"/>
    </row>
    <row r="229">
      <c r="B229" s="144">
        <f t="shared" si="5"/>
        <v>17</v>
      </c>
      <c r="C229" s="144"/>
      <c r="D229" s="145" t="s">
        <v>346</v>
      </c>
      <c r="E229" s="146">
        <v>44051</v>
      </c>
      <c r="F229" s="146"/>
      <c r="G229" s="147" t="s">
        <v>193</v>
      </c>
      <c r="H229" s="147" t="s">
        <v>87</v>
      </c>
      <c r="I229" s="150">
        <v>4200479</v>
      </c>
      <c r="J229" s="144"/>
      <c r="K229" s="1791"/>
    </row>
    <row r="230">
      <c r="B230" s="144">
        <f t="shared" si="5"/>
        <v>18</v>
      </c>
      <c r="C230" s="144"/>
      <c r="D230" s="145" t="s">
        <v>347</v>
      </c>
      <c r="E230" s="146">
        <v>44054</v>
      </c>
      <c r="F230" s="146"/>
      <c r="G230" s="147" t="s">
        <v>193</v>
      </c>
      <c r="H230" s="147" t="s">
        <v>87</v>
      </c>
      <c r="I230" s="150">
        <v>4200479</v>
      </c>
      <c r="J230" s="144"/>
      <c r="K230" s="1791"/>
    </row>
    <row r="231">
      <c r="B231" s="144">
        <f t="shared" si="5"/>
        <v>19</v>
      </c>
      <c r="C231" s="144"/>
      <c r="D231" s="145" t="s">
        <v>220</v>
      </c>
      <c r="E231" s="146"/>
      <c r="F231" s="146">
        <v>44013</v>
      </c>
      <c r="G231" s="147" t="s">
        <v>193</v>
      </c>
      <c r="H231" s="147" t="s">
        <v>87</v>
      </c>
      <c r="I231" s="150">
        <v>4200479</v>
      </c>
      <c r="J231" s="144"/>
      <c r="K231" s="1791"/>
    </row>
    <row r="232">
      <c r="B232" s="144">
        <f t="shared" si="5"/>
        <v>20</v>
      </c>
      <c r="C232" s="144"/>
      <c r="D232" s="145" t="s">
        <v>25</v>
      </c>
      <c r="E232" s="146"/>
      <c r="F232" s="146">
        <v>44013</v>
      </c>
      <c r="G232" s="147" t="s">
        <v>193</v>
      </c>
      <c r="H232" s="147" t="s">
        <v>87</v>
      </c>
      <c r="I232" s="150">
        <v>4200479</v>
      </c>
      <c r="J232" s="144"/>
      <c r="K232" s="1791"/>
    </row>
    <row r="233">
      <c r="B233" s="144">
        <f t="shared" si="5"/>
        <v>21</v>
      </c>
      <c r="C233" s="144"/>
      <c r="D233" s="145" t="s">
        <v>292</v>
      </c>
      <c r="E233" s="146"/>
      <c r="F233" s="146">
        <v>43985</v>
      </c>
      <c r="G233" s="147" t="s">
        <v>193</v>
      </c>
      <c r="H233" s="147" t="s">
        <v>87</v>
      </c>
      <c r="I233" s="150">
        <v>4200479</v>
      </c>
      <c r="J233" s="144"/>
      <c r="K233" s="1791"/>
    </row>
    <row r="234">
      <c r="B234" s="144">
        <f t="shared" si="5"/>
        <v>22</v>
      </c>
      <c r="C234" s="144"/>
      <c r="D234" s="145" t="s">
        <v>221</v>
      </c>
      <c r="E234" s="146"/>
      <c r="F234" s="146">
        <v>44013</v>
      </c>
      <c r="G234" s="147" t="s">
        <v>193</v>
      </c>
      <c r="H234" s="147" t="s">
        <v>87</v>
      </c>
      <c r="I234" s="150">
        <v>4200479</v>
      </c>
      <c r="J234" s="144"/>
      <c r="K234" s="1791"/>
    </row>
    <row r="235">
      <c r="B235" s="144">
        <f t="shared" si="5"/>
        <v>23</v>
      </c>
      <c r="C235" s="144"/>
      <c r="D235" s="145" t="s">
        <v>289</v>
      </c>
      <c r="E235" s="146"/>
      <c r="F235" s="146">
        <v>43963</v>
      </c>
      <c r="G235" s="147" t="s">
        <v>193</v>
      </c>
      <c r="H235" s="147" t="s">
        <v>87</v>
      </c>
      <c r="I235" s="150">
        <v>4200479</v>
      </c>
      <c r="J235" s="144"/>
      <c r="K235" s="1791"/>
    </row>
    <row r="236">
      <c r="B236" s="144">
        <f t="shared" si="5"/>
        <v>24</v>
      </c>
      <c r="C236" s="144"/>
      <c r="D236" s="145" t="s">
        <v>348</v>
      </c>
      <c r="E236" s="146"/>
      <c r="F236" s="146">
        <v>44026</v>
      </c>
      <c r="G236" s="147" t="s">
        <v>193</v>
      </c>
      <c r="H236" s="147" t="s">
        <v>87</v>
      </c>
      <c r="I236" s="150">
        <v>4200479</v>
      </c>
      <c r="J236" s="144"/>
      <c r="K236" s="1791"/>
    </row>
    <row r="237">
      <c r="B237" s="144">
        <f t="shared" si="5"/>
        <v>25</v>
      </c>
      <c r="C237" s="144"/>
      <c r="D237" s="145" t="s">
        <v>349</v>
      </c>
      <c r="E237" s="146"/>
      <c r="F237" s="146">
        <v>44028</v>
      </c>
      <c r="G237" s="147" t="s">
        <v>193</v>
      </c>
      <c r="H237" s="147" t="s">
        <v>87</v>
      </c>
      <c r="I237" s="150">
        <v>4200479</v>
      </c>
      <c r="J237" s="144"/>
      <c r="K237" s="1791"/>
    </row>
    <row r="238">
      <c r="B238" s="144">
        <f t="shared" si="5"/>
        <v>26</v>
      </c>
      <c r="C238" s="144"/>
      <c r="D238" s="145" t="s">
        <v>350</v>
      </c>
      <c r="E238" s="146">
        <v>44028</v>
      </c>
      <c r="F238" s="146"/>
      <c r="G238" s="147" t="s">
        <v>312</v>
      </c>
      <c r="H238" s="147" t="s">
        <v>87</v>
      </c>
      <c r="I238" s="150">
        <v>2654095</v>
      </c>
      <c r="J238" s="144"/>
      <c r="K238" s="1791"/>
    </row>
    <row r="239">
      <c r="B239" s="144">
        <f t="shared" si="5"/>
        <v>27</v>
      </c>
      <c r="C239" s="144"/>
      <c r="D239" s="145" t="s">
        <v>351</v>
      </c>
      <c r="E239" s="146">
        <v>44049</v>
      </c>
      <c r="F239" s="146"/>
      <c r="G239" s="147" t="s">
        <v>312</v>
      </c>
      <c r="H239" s="147" t="s">
        <v>87</v>
      </c>
      <c r="I239" s="150">
        <v>2654095</v>
      </c>
      <c r="J239" s="144"/>
      <c r="K239" s="1791"/>
    </row>
    <row r="240">
      <c r="B240" s="144">
        <f t="shared" si="5"/>
        <v>28</v>
      </c>
      <c r="C240" s="144"/>
      <c r="D240" s="145" t="s">
        <v>352</v>
      </c>
      <c r="E240" s="146">
        <v>44051</v>
      </c>
      <c r="F240" s="146"/>
      <c r="G240" s="147" t="s">
        <v>312</v>
      </c>
      <c r="H240" s="147" t="s">
        <v>87</v>
      </c>
      <c r="I240" s="150">
        <v>2654095</v>
      </c>
      <c r="J240" s="144"/>
      <c r="K240" s="1791"/>
    </row>
    <row r="241">
      <c r="B241" s="144">
        <f t="shared" si="5"/>
        <v>29</v>
      </c>
      <c r="C241" s="144"/>
      <c r="D241" s="145" t="s">
        <v>353</v>
      </c>
      <c r="E241" s="146"/>
      <c r="F241" s="146"/>
      <c r="G241" s="147" t="s">
        <v>312</v>
      </c>
      <c r="H241" s="147" t="s">
        <v>87</v>
      </c>
      <c r="I241" s="150">
        <v>2654095</v>
      </c>
      <c r="J241" s="144" t="s">
        <v>354</v>
      </c>
      <c r="K241" s="1791"/>
    </row>
    <row r="242">
      <c r="B242" s="144">
        <f t="shared" si="5"/>
        <v>30</v>
      </c>
      <c r="C242" s="144"/>
      <c r="D242" s="145" t="s">
        <v>355</v>
      </c>
      <c r="E242" s="146">
        <v>44038</v>
      </c>
      <c r="F242" s="146"/>
      <c r="G242" s="147" t="s">
        <v>314</v>
      </c>
      <c r="H242" s="147" t="s">
        <v>87</v>
      </c>
      <c r="I242" s="150">
        <v>2503265</v>
      </c>
      <c r="J242" s="144"/>
      <c r="K242" s="1791"/>
    </row>
    <row r="243">
      <c r="B243" s="144">
        <f t="shared" si="5"/>
        <v>31</v>
      </c>
      <c r="C243" s="144"/>
      <c r="D243" s="145" t="s">
        <v>72</v>
      </c>
      <c r="E243" s="146">
        <v>44023</v>
      </c>
      <c r="F243" s="146"/>
      <c r="G243" s="147" t="s">
        <v>47</v>
      </c>
      <c r="H243" s="147" t="s">
        <v>48</v>
      </c>
      <c r="I243" s="150">
        <v>2895502</v>
      </c>
      <c r="J243" s="144"/>
      <c r="K243" s="1791"/>
    </row>
    <row r="244">
      <c r="B244" s="144">
        <f t="shared" si="5"/>
        <v>32</v>
      </c>
      <c r="C244" s="144"/>
      <c r="D244" s="145" t="s">
        <v>320</v>
      </c>
      <c r="E244" s="146">
        <v>44023</v>
      </c>
      <c r="F244" s="146"/>
      <c r="G244" s="147" t="s">
        <v>47</v>
      </c>
      <c r="H244" s="147" t="s">
        <v>48</v>
      </c>
      <c r="I244" s="150">
        <v>2895502</v>
      </c>
      <c r="J244" s="144"/>
      <c r="K244" s="1791"/>
    </row>
    <row r="245">
      <c r="B245" s="144">
        <f t="shared" si="5"/>
        <v>33</v>
      </c>
      <c r="C245" s="144"/>
      <c r="D245" s="145" t="s">
        <v>74</v>
      </c>
      <c r="E245" s="146">
        <v>44025</v>
      </c>
      <c r="F245" s="146"/>
      <c r="G245" s="147" t="s">
        <v>47</v>
      </c>
      <c r="H245" s="147" t="s">
        <v>48</v>
      </c>
      <c r="I245" s="150">
        <v>2895502</v>
      </c>
      <c r="J245" s="144"/>
      <c r="K245" s="1791"/>
    </row>
    <row r="246">
      <c r="B246" s="144">
        <f t="shared" si="5"/>
        <v>34</v>
      </c>
      <c r="C246" s="144"/>
      <c r="D246" s="145" t="s">
        <v>76</v>
      </c>
      <c r="E246" s="146">
        <v>44025</v>
      </c>
      <c r="F246" s="146"/>
      <c r="G246" s="147" t="s">
        <v>47</v>
      </c>
      <c r="H246" s="147" t="s">
        <v>48</v>
      </c>
      <c r="I246" s="150">
        <v>2895502</v>
      </c>
      <c r="J246" s="144"/>
      <c r="K246" s="1791"/>
    </row>
    <row r="247">
      <c r="B247" s="144">
        <f t="shared" si="5"/>
        <v>35</v>
      </c>
      <c r="C247" s="144"/>
      <c r="D247" s="145" t="s">
        <v>324</v>
      </c>
      <c r="E247" s="146">
        <v>44028</v>
      </c>
      <c r="F247" s="146"/>
      <c r="G247" s="147" t="s">
        <v>47</v>
      </c>
      <c r="H247" s="147" t="s">
        <v>48</v>
      </c>
      <c r="I247" s="150">
        <v>2895502</v>
      </c>
      <c r="J247" s="144"/>
      <c r="K247" s="1791"/>
    </row>
    <row r="248">
      <c r="B248" s="144">
        <f t="shared" si="5"/>
        <v>36</v>
      </c>
      <c r="C248" s="144"/>
      <c r="D248" s="145" t="s">
        <v>167</v>
      </c>
      <c r="E248" s="146">
        <v>44028</v>
      </c>
      <c r="F248" s="146"/>
      <c r="G248" s="147" t="s">
        <v>47</v>
      </c>
      <c r="H248" s="147" t="s">
        <v>48</v>
      </c>
      <c r="I248" s="150">
        <v>2895502</v>
      </c>
      <c r="J248" s="144"/>
      <c r="K248" s="1791"/>
    </row>
    <row r="249">
      <c r="B249" s="144">
        <f t="shared" si="5"/>
        <v>37</v>
      </c>
      <c r="C249" s="144"/>
      <c r="D249" s="145" t="s">
        <v>163</v>
      </c>
      <c r="E249" s="146"/>
      <c r="F249" s="146">
        <v>44044</v>
      </c>
      <c r="G249" s="147" t="s">
        <v>47</v>
      </c>
      <c r="H249" s="147" t="s">
        <v>48</v>
      </c>
      <c r="I249" s="150">
        <v>2895502</v>
      </c>
      <c r="J249" s="144"/>
      <c r="K249" s="1791"/>
    </row>
    <row r="250">
      <c r="B250" s="144">
        <f t="shared" si="5"/>
        <v>38</v>
      </c>
      <c r="C250" s="144"/>
      <c r="D250" s="145" t="s">
        <v>356</v>
      </c>
      <c r="E250" s="146">
        <v>44013</v>
      </c>
      <c r="F250" s="146"/>
      <c r="G250" s="147" t="s">
        <v>47</v>
      </c>
      <c r="H250" s="147" t="s">
        <v>48</v>
      </c>
      <c r="I250" s="150">
        <v>2895502</v>
      </c>
      <c r="J250" s="144"/>
      <c r="K250" s="1791"/>
    </row>
    <row r="251">
      <c r="B251" s="144">
        <f t="shared" si="5"/>
        <v>39</v>
      </c>
      <c r="C251" s="144"/>
      <c r="D251" s="145" t="s">
        <v>357</v>
      </c>
      <c r="E251" s="146">
        <v>44013</v>
      </c>
      <c r="F251" s="146"/>
      <c r="G251" s="147" t="s">
        <v>47</v>
      </c>
      <c r="H251" s="147" t="s">
        <v>48</v>
      </c>
      <c r="I251" s="150">
        <v>2895502</v>
      </c>
      <c r="J251" s="144"/>
      <c r="K251" s="1791"/>
    </row>
    <row r="252">
      <c r="B252" s="144">
        <f t="shared" si="5"/>
        <v>40</v>
      </c>
      <c r="C252" s="144"/>
      <c r="D252" s="145" t="s">
        <v>358</v>
      </c>
      <c r="E252" s="146">
        <v>44013</v>
      </c>
      <c r="F252" s="146"/>
      <c r="G252" s="147" t="s">
        <v>47</v>
      </c>
      <c r="H252" s="147" t="s">
        <v>48</v>
      </c>
      <c r="I252" s="150">
        <v>2895502</v>
      </c>
      <c r="J252" s="144"/>
      <c r="K252" s="1791"/>
    </row>
    <row r="253">
      <c r="B253" s="144">
        <f t="shared" si="5"/>
        <v>41</v>
      </c>
      <c r="C253" s="144"/>
      <c r="D253" s="145" t="s">
        <v>359</v>
      </c>
      <c r="E253" s="146">
        <v>44013</v>
      </c>
      <c r="F253" s="146"/>
      <c r="G253" s="147" t="s">
        <v>47</v>
      </c>
      <c r="H253" s="147" t="s">
        <v>48</v>
      </c>
      <c r="I253" s="150">
        <v>2895502</v>
      </c>
      <c r="J253" s="144"/>
      <c r="K253" s="1791"/>
    </row>
    <row r="254">
      <c r="B254" s="144">
        <f t="shared" si="5"/>
        <v>42</v>
      </c>
      <c r="C254" s="144"/>
      <c r="D254" s="145" t="s">
        <v>360</v>
      </c>
      <c r="E254" s="146">
        <v>44043</v>
      </c>
      <c r="F254" s="146"/>
      <c r="G254" s="147" t="s">
        <v>176</v>
      </c>
      <c r="H254" s="147" t="s">
        <v>140</v>
      </c>
      <c r="I254" s="150">
        <v>2715000</v>
      </c>
      <c r="J254" s="144"/>
      <c r="K254" s="1791"/>
    </row>
    <row r="255">
      <c r="B255" s="144">
        <f t="shared" si="5"/>
        <v>43</v>
      </c>
      <c r="C255" s="144"/>
      <c r="D255" s="145" t="s">
        <v>361</v>
      </c>
      <c r="E255" s="146">
        <v>44044</v>
      </c>
      <c r="F255" s="146"/>
      <c r="G255" s="147" t="s">
        <v>259</v>
      </c>
      <c r="H255" s="147" t="s">
        <v>259</v>
      </c>
      <c r="I255" s="150">
        <v>1940800</v>
      </c>
      <c r="J255" s="144"/>
      <c r="K255" s="1791"/>
    </row>
    <row r="256">
      <c r="B256" s="144">
        <f t="shared" si="5"/>
        <v>44</v>
      </c>
      <c r="C256" s="144"/>
      <c r="D256" s="145" t="s">
        <v>362</v>
      </c>
      <c r="E256" s="146"/>
      <c r="F256" s="146">
        <v>44043</v>
      </c>
      <c r="G256" s="147" t="s">
        <v>259</v>
      </c>
      <c r="H256" s="147" t="s">
        <v>259</v>
      </c>
      <c r="I256" s="150">
        <v>1940800</v>
      </c>
      <c r="J256" s="144"/>
      <c r="K256" s="1791"/>
    </row>
    <row r="257">
      <c r="B257" s="144">
        <f t="shared" si="5"/>
        <v>45</v>
      </c>
      <c r="C257" s="144"/>
      <c r="D257" s="145" t="s">
        <v>363</v>
      </c>
      <c r="E257" s="146">
        <v>44044</v>
      </c>
      <c r="F257" s="146"/>
      <c r="G257" s="147" t="s">
        <v>364</v>
      </c>
      <c r="H257" s="147" t="s">
        <v>364</v>
      </c>
      <c r="I257" s="150">
        <v>2004000</v>
      </c>
      <c r="J257" s="144"/>
      <c r="K257" s="1791"/>
    </row>
    <row r="258">
      <c r="B258" s="144">
        <f t="shared" si="5"/>
        <v>46</v>
      </c>
      <c r="C258" s="144"/>
      <c r="D258" s="145" t="s">
        <v>365</v>
      </c>
      <c r="E258" s="146">
        <v>44051</v>
      </c>
      <c r="F258" s="146"/>
      <c r="G258" s="147" t="s">
        <v>364</v>
      </c>
      <c r="H258" s="147" t="s">
        <v>364</v>
      </c>
      <c r="I258" s="150">
        <v>2004000</v>
      </c>
      <c r="J258" s="144"/>
      <c r="K258" s="1791"/>
    </row>
    <row r="259">
      <c r="B259" s="144">
        <f t="shared" si="5"/>
        <v>47</v>
      </c>
      <c r="C259" s="144"/>
      <c r="D259" s="145" t="s">
        <v>366</v>
      </c>
      <c r="E259" s="146"/>
      <c r="F259" s="146">
        <v>44043</v>
      </c>
      <c r="G259" s="147" t="s">
        <v>364</v>
      </c>
      <c r="H259" s="147" t="s">
        <v>364</v>
      </c>
      <c r="I259" s="150">
        <v>2004000</v>
      </c>
      <c r="J259" s="144"/>
      <c r="K259" s="1791"/>
    </row>
    <row r="260">
      <c r="B260" s="144">
        <f t="shared" si="5"/>
        <v>48</v>
      </c>
      <c r="C260" s="144"/>
      <c r="D260" s="145" t="s">
        <v>357</v>
      </c>
      <c r="E260" s="146"/>
      <c r="F260" s="146">
        <v>44043</v>
      </c>
      <c r="G260" s="147" t="s">
        <v>364</v>
      </c>
      <c r="H260" s="147" t="s">
        <v>364</v>
      </c>
      <c r="I260" s="150">
        <v>2004000</v>
      </c>
      <c r="J260" s="144"/>
      <c r="K260" s="1791"/>
    </row>
    <row r="261">
      <c r="B261" s="144">
        <f t="shared" si="5"/>
        <v>49</v>
      </c>
      <c r="C261" s="144"/>
      <c r="D261" s="145" t="s">
        <v>367</v>
      </c>
      <c r="E261" s="146">
        <v>44045</v>
      </c>
      <c r="F261" s="146">
        <v>44134</v>
      </c>
      <c r="G261" s="147" t="s">
        <v>364</v>
      </c>
      <c r="H261" s="147" t="s">
        <v>87</v>
      </c>
      <c r="I261" s="150">
        <v>2004000</v>
      </c>
      <c r="J261" s="144"/>
      <c r="K261" s="1791"/>
    </row>
    <row r="262">
      <c r="B262" s="144">
        <f t="shared" si="5"/>
        <v>50</v>
      </c>
      <c r="C262" s="144"/>
      <c r="D262" s="145" t="s">
        <v>368</v>
      </c>
      <c r="E262" s="146"/>
      <c r="F262" s="146">
        <v>44043</v>
      </c>
      <c r="G262" s="147" t="s">
        <v>364</v>
      </c>
      <c r="H262" s="147" t="s">
        <v>87</v>
      </c>
      <c r="I262" s="150">
        <v>2004000</v>
      </c>
      <c r="J262" s="144"/>
      <c r="K262" s="1791"/>
    </row>
    <row r="263">
      <c r="B263" s="144">
        <f t="shared" si="5"/>
        <v>51</v>
      </c>
      <c r="C263" s="144"/>
      <c r="D263" s="145" t="s">
        <v>369</v>
      </c>
      <c r="E263" s="146">
        <v>44027</v>
      </c>
      <c r="F263" s="146">
        <v>44104</v>
      </c>
      <c r="G263" s="147" t="s">
        <v>364</v>
      </c>
      <c r="H263" s="147" t="s">
        <v>87</v>
      </c>
      <c r="I263" s="150">
        <v>2004000</v>
      </c>
      <c r="J263" s="144"/>
      <c r="K263" s="1791"/>
    </row>
    <row r="264">
      <c r="B264" s="144">
        <f t="shared" si="5"/>
        <v>52</v>
      </c>
      <c r="C264" s="144"/>
      <c r="D264" s="145" t="s">
        <v>370</v>
      </c>
      <c r="E264" s="146">
        <v>44029</v>
      </c>
      <c r="F264" s="146">
        <v>44134</v>
      </c>
      <c r="G264" s="147" t="s">
        <v>364</v>
      </c>
      <c r="H264" s="147" t="s">
        <v>87</v>
      </c>
      <c r="I264" s="150">
        <v>2004000</v>
      </c>
      <c r="J264" s="144"/>
      <c r="K264" s="1791"/>
    </row>
    <row r="265">
      <c r="B265" s="144">
        <f t="shared" si="5"/>
        <v>53</v>
      </c>
      <c r="C265" s="144"/>
      <c r="D265" s="145" t="s">
        <v>371</v>
      </c>
      <c r="E265" s="146">
        <v>44044</v>
      </c>
      <c r="F265" s="146">
        <v>44134</v>
      </c>
      <c r="G265" s="147" t="s">
        <v>364</v>
      </c>
      <c r="H265" s="147" t="s">
        <v>87</v>
      </c>
      <c r="I265" s="150">
        <v>2004000</v>
      </c>
      <c r="J265" s="144"/>
      <c r="K265" s="1791"/>
    </row>
    <row r="266">
      <c r="B266" s="144">
        <f t="shared" si="5"/>
        <v>54</v>
      </c>
      <c r="C266" s="144"/>
      <c r="D266" s="145" t="s">
        <v>262</v>
      </c>
      <c r="E266" s="146"/>
      <c r="F266" s="146">
        <v>44043</v>
      </c>
      <c r="G266" s="147" t="s">
        <v>364</v>
      </c>
      <c r="H266" s="147" t="s">
        <v>87</v>
      </c>
      <c r="I266" s="150">
        <v>2004000</v>
      </c>
      <c r="J266" s="144"/>
      <c r="K266" s="1791"/>
    </row>
    <row r="267">
      <c r="B267" s="144">
        <f t="shared" si="5"/>
        <v>55</v>
      </c>
      <c r="C267" s="144"/>
      <c r="D267" s="145" t="s">
        <v>372</v>
      </c>
      <c r="E267" s="146">
        <v>44044</v>
      </c>
      <c r="F267" s="146"/>
      <c r="G267" s="147" t="s">
        <v>328</v>
      </c>
      <c r="H267" s="147" t="s">
        <v>87</v>
      </c>
      <c r="I267" s="150">
        <v>1956200</v>
      </c>
      <c r="J267" s="144"/>
      <c r="K267" s="1791"/>
    </row>
    <row r="268">
      <c r="B268" s="144">
        <f t="shared" si="5"/>
        <v>56</v>
      </c>
      <c r="C268" s="144"/>
      <c r="D268" s="145" t="s">
        <v>373</v>
      </c>
      <c r="E268" s="146">
        <v>44051</v>
      </c>
      <c r="F268" s="146"/>
      <c r="G268" s="147" t="s">
        <v>328</v>
      </c>
      <c r="H268" s="147" t="s">
        <v>87</v>
      </c>
      <c r="I268" s="150">
        <v>1956200</v>
      </c>
      <c r="J268" s="144"/>
      <c r="K268" s="1791"/>
    </row>
    <row r="269">
      <c r="B269" s="144">
        <f t="shared" si="5"/>
        <v>57</v>
      </c>
      <c r="C269" s="144"/>
      <c r="D269" s="145" t="s">
        <v>374</v>
      </c>
      <c r="E269" s="146"/>
      <c r="F269" s="146">
        <v>44050</v>
      </c>
      <c r="G269" s="147" t="s">
        <v>328</v>
      </c>
      <c r="H269" s="147" t="s">
        <v>87</v>
      </c>
      <c r="I269" s="150">
        <v>1956200</v>
      </c>
      <c r="J269" s="144"/>
      <c r="K269" s="1791"/>
    </row>
    <row r="270">
      <c r="B270" s="144">
        <f t="shared" si="5"/>
        <v>58</v>
      </c>
      <c r="C270" s="144"/>
      <c r="D270" s="145" t="s">
        <v>375</v>
      </c>
      <c r="E270" s="146">
        <v>44027</v>
      </c>
      <c r="F270" s="146"/>
      <c r="G270" s="147" t="s">
        <v>176</v>
      </c>
      <c r="H270" s="147" t="s">
        <v>87</v>
      </c>
      <c r="I270" s="150">
        <v>2715000</v>
      </c>
      <c r="J270" s="144"/>
      <c r="K270" s="1791"/>
    </row>
    <row r="271">
      <c r="B271" s="144">
        <f t="shared" si="5"/>
        <v>59</v>
      </c>
      <c r="C271" s="144"/>
      <c r="D271" s="145" t="s">
        <v>376</v>
      </c>
      <c r="E271" s="146">
        <v>44032</v>
      </c>
      <c r="F271" s="146"/>
      <c r="G271" s="147" t="s">
        <v>176</v>
      </c>
      <c r="H271" s="147" t="s">
        <v>87</v>
      </c>
      <c r="I271" s="150">
        <v>2715000</v>
      </c>
      <c r="J271" s="144"/>
      <c r="K271" s="1791"/>
    </row>
    <row r="272">
      <c r="B272" s="144">
        <f t="shared" si="5"/>
        <v>60</v>
      </c>
      <c r="C272" s="144"/>
      <c r="D272" s="145" t="s">
        <v>377</v>
      </c>
      <c r="E272" s="146">
        <v>44039</v>
      </c>
      <c r="F272" s="146"/>
      <c r="G272" s="147" t="s">
        <v>176</v>
      </c>
      <c r="H272" s="147" t="s">
        <v>87</v>
      </c>
      <c r="I272" s="150">
        <v>2715000</v>
      </c>
      <c r="J272" s="144"/>
      <c r="K272" s="1791"/>
    </row>
    <row r="273">
      <c r="B273" s="144">
        <f t="shared" si="5"/>
        <v>61</v>
      </c>
      <c r="C273" s="144"/>
      <c r="D273" s="145" t="s">
        <v>378</v>
      </c>
      <c r="E273" s="146">
        <v>44044</v>
      </c>
      <c r="F273" s="146"/>
      <c r="G273" s="147" t="s">
        <v>176</v>
      </c>
      <c r="H273" s="147" t="s">
        <v>87</v>
      </c>
      <c r="I273" s="150">
        <v>2715000</v>
      </c>
      <c r="J273" s="144"/>
      <c r="K273" s="1791"/>
    </row>
    <row r="274">
      <c r="B274" s="144">
        <f t="shared" si="5"/>
        <v>62</v>
      </c>
      <c r="C274" s="144"/>
      <c r="D274" s="145" t="s">
        <v>232</v>
      </c>
      <c r="E274" s="146">
        <v>44027</v>
      </c>
      <c r="F274" s="146"/>
      <c r="G274" s="147" t="s">
        <v>200</v>
      </c>
      <c r="H274" s="147" t="s">
        <v>87</v>
      </c>
      <c r="I274" s="150">
        <v>2770300</v>
      </c>
      <c r="J274" s="144"/>
      <c r="K274" s="1791"/>
    </row>
    <row r="275">
      <c r="B275" s="144">
        <f t="shared" si="5"/>
        <v>63</v>
      </c>
      <c r="C275" s="144"/>
      <c r="D275" s="145" t="s">
        <v>379</v>
      </c>
      <c r="E275" s="146">
        <v>44053</v>
      </c>
      <c r="F275" s="146"/>
      <c r="G275" s="147" t="s">
        <v>200</v>
      </c>
      <c r="H275" s="147" t="s">
        <v>87</v>
      </c>
      <c r="I275" s="150">
        <v>2770300</v>
      </c>
      <c r="J275" s="144"/>
      <c r="K275" s="1791"/>
    </row>
    <row r="276">
      <c r="B276" s="144">
        <f t="shared" si="5"/>
        <v>64</v>
      </c>
      <c r="C276" s="144"/>
      <c r="D276" s="145" t="s">
        <v>380</v>
      </c>
      <c r="E276" s="146">
        <v>44022</v>
      </c>
      <c r="F276" s="146"/>
      <c r="G276" s="147" t="s">
        <v>381</v>
      </c>
      <c r="H276" s="147" t="s">
        <v>87</v>
      </c>
      <c r="I276" s="150">
        <v>2184485</v>
      </c>
      <c r="J276" s="144"/>
      <c r="K276" s="1791"/>
    </row>
    <row r="277">
      <c r="B277" s="144">
        <f t="shared" si="5"/>
        <v>65</v>
      </c>
      <c r="C277" s="144"/>
      <c r="D277" s="145" t="s">
        <v>382</v>
      </c>
      <c r="E277" s="146">
        <v>44033</v>
      </c>
      <c r="F277" s="146"/>
      <c r="G277" s="147" t="s">
        <v>381</v>
      </c>
      <c r="H277" s="147" t="s">
        <v>87</v>
      </c>
      <c r="I277" s="150">
        <v>2184485</v>
      </c>
      <c r="J277" s="144"/>
      <c r="K277" s="1791"/>
    </row>
    <row r="278">
      <c r="B278" s="144">
        <f t="shared" si="5"/>
        <v>66</v>
      </c>
      <c r="C278" s="144"/>
      <c r="D278" s="145" t="s">
        <v>383</v>
      </c>
      <c r="E278" s="146">
        <v>44046</v>
      </c>
      <c r="F278" s="146"/>
      <c r="G278" s="147" t="s">
        <v>381</v>
      </c>
      <c r="H278" s="147" t="s">
        <v>87</v>
      </c>
      <c r="I278" s="150">
        <v>2184485</v>
      </c>
      <c r="J278" s="144"/>
      <c r="K278" s="1791"/>
    </row>
    <row r="279">
      <c r="B279" s="144">
        <f ref="B279:B280" t="shared" si="6">+B278+1</f>
        <v>67</v>
      </c>
      <c r="C279" s="144"/>
      <c r="D279" s="145" t="s">
        <v>118</v>
      </c>
      <c r="E279" s="146">
        <v>44028</v>
      </c>
      <c r="F279" s="146"/>
      <c r="G279" s="147" t="s">
        <v>86</v>
      </c>
      <c r="H279" s="147" t="s">
        <v>87</v>
      </c>
      <c r="I279" s="150">
        <v>1900000</v>
      </c>
      <c r="J279" s="144"/>
      <c r="K279" s="1791"/>
    </row>
    <row r="280">
      <c r="B280" s="144">
        <f t="shared" si="6"/>
        <v>68</v>
      </c>
      <c r="C280" s="144"/>
      <c r="D280" s="145" t="s">
        <v>90</v>
      </c>
      <c r="E280" s="146">
        <v>44038</v>
      </c>
      <c r="F280" s="146"/>
      <c r="G280" s="147" t="s">
        <v>86</v>
      </c>
      <c r="H280" s="147" t="s">
        <v>87</v>
      </c>
      <c r="I280" s="150">
        <v>1900000</v>
      </c>
      <c r="J280" s="144"/>
      <c r="K280" s="1791"/>
    </row>
    <row r="281">
      <c r="B281" s="133"/>
      <c r="C281" s="133"/>
      <c r="D281" s="134"/>
      <c r="E281" s="135"/>
      <c r="F281" s="135"/>
      <c r="G281" s="136"/>
      <c r="H281" s="136"/>
      <c r="I281" s="137"/>
      <c r="J281" s="133"/>
      <c r="K281" s="140"/>
    </row>
    <row r="282" ht="11.25" customHeight="1">
      <c r="B282" s="144">
        <v>1</v>
      </c>
      <c r="C282" s="144"/>
      <c r="D282" s="145" t="s">
        <v>331</v>
      </c>
      <c r="E282" s="146">
        <v>44075</v>
      </c>
      <c r="F282" s="146"/>
      <c r="G282" s="147" t="s">
        <v>139</v>
      </c>
      <c r="H282" s="147" t="s">
        <v>140</v>
      </c>
      <c r="I282" s="150">
        <v>1802000</v>
      </c>
      <c r="J282" s="144"/>
      <c r="K282" s="1791" t="s">
        <v>384</v>
      </c>
    </row>
    <row r="283">
      <c r="B283" s="144">
        <v>2</v>
      </c>
      <c r="C283" s="144"/>
      <c r="D283" s="145" t="s">
        <v>333</v>
      </c>
      <c r="E283" s="146">
        <v>44075</v>
      </c>
      <c r="F283" s="146"/>
      <c r="G283" s="147" t="s">
        <v>139</v>
      </c>
      <c r="H283" s="147" t="s">
        <v>140</v>
      </c>
      <c r="I283" s="150">
        <v>1802000</v>
      </c>
      <c r="J283" s="144"/>
      <c r="K283" s="1791"/>
    </row>
    <row r="284">
      <c r="B284" s="144">
        <v>3</v>
      </c>
      <c r="C284" s="144"/>
      <c r="D284" s="145" t="s">
        <v>202</v>
      </c>
      <c r="E284" s="146">
        <v>44075</v>
      </c>
      <c r="F284" s="146"/>
      <c r="G284" s="147" t="s">
        <v>139</v>
      </c>
      <c r="H284" s="147" t="s">
        <v>140</v>
      </c>
      <c r="I284" s="150">
        <v>1802000</v>
      </c>
      <c r="J284" s="144"/>
      <c r="K284" s="1791"/>
    </row>
    <row r="285">
      <c r="B285" s="144">
        <v>4</v>
      </c>
      <c r="C285" s="144"/>
      <c r="D285" s="145" t="s">
        <v>385</v>
      </c>
      <c r="E285" s="146">
        <v>44058</v>
      </c>
      <c r="F285" s="146"/>
      <c r="G285" s="147" t="s">
        <v>139</v>
      </c>
      <c r="H285" s="147" t="s">
        <v>140</v>
      </c>
      <c r="I285" s="150">
        <v>1802000</v>
      </c>
      <c r="J285" s="144"/>
      <c r="K285" s="1791"/>
    </row>
    <row r="286">
      <c r="B286" s="144">
        <v>5</v>
      </c>
      <c r="C286" s="144"/>
      <c r="D286" s="145" t="s">
        <v>144</v>
      </c>
      <c r="E286" s="146">
        <v>44075</v>
      </c>
      <c r="F286" s="146"/>
      <c r="G286" s="147" t="s">
        <v>139</v>
      </c>
      <c r="H286" s="147" t="s">
        <v>140</v>
      </c>
      <c r="I286" s="150">
        <v>1802000</v>
      </c>
      <c r="J286" s="144"/>
      <c r="K286" s="1791"/>
    </row>
    <row r="287">
      <c r="B287" s="144">
        <v>6</v>
      </c>
      <c r="C287" s="144"/>
      <c r="D287" s="145" t="s">
        <v>386</v>
      </c>
      <c r="E287" s="146">
        <v>44082</v>
      </c>
      <c r="F287" s="146"/>
      <c r="G287" s="147" t="s">
        <v>139</v>
      </c>
      <c r="H287" s="147" t="s">
        <v>140</v>
      </c>
      <c r="I287" s="150">
        <v>1802000</v>
      </c>
      <c r="J287" s="144"/>
      <c r="K287" s="1791"/>
    </row>
    <row r="288">
      <c r="B288" s="144">
        <v>7</v>
      </c>
      <c r="C288" s="144"/>
      <c r="D288" s="145" t="s">
        <v>387</v>
      </c>
      <c r="E288" s="146">
        <v>44082</v>
      </c>
      <c r="F288" s="146"/>
      <c r="G288" s="147" t="s">
        <v>139</v>
      </c>
      <c r="H288" s="147" t="s">
        <v>140</v>
      </c>
      <c r="I288" s="150">
        <v>1802000</v>
      </c>
      <c r="J288" s="144"/>
      <c r="K288" s="1791"/>
    </row>
    <row r="289">
      <c r="B289" s="144">
        <v>8</v>
      </c>
      <c r="C289" s="144"/>
      <c r="D289" s="145" t="s">
        <v>388</v>
      </c>
      <c r="E289" s="146"/>
      <c r="F289" s="146">
        <v>44059</v>
      </c>
      <c r="G289" s="147" t="s">
        <v>139</v>
      </c>
      <c r="H289" s="147" t="s">
        <v>140</v>
      </c>
      <c r="I289" s="150">
        <v>1802000</v>
      </c>
      <c r="J289" s="144"/>
      <c r="K289" s="1791"/>
    </row>
    <row r="290">
      <c r="B290" s="144">
        <v>9</v>
      </c>
      <c r="C290" s="144"/>
      <c r="D290" s="145" t="s">
        <v>389</v>
      </c>
      <c r="E290" s="146"/>
      <c r="F290" s="146">
        <v>44075</v>
      </c>
      <c r="G290" s="147" t="s">
        <v>139</v>
      </c>
      <c r="H290" s="147" t="s">
        <v>140</v>
      </c>
      <c r="I290" s="150">
        <v>1802000</v>
      </c>
      <c r="J290" s="144"/>
      <c r="K290" s="1791"/>
    </row>
    <row r="291">
      <c r="B291" s="144">
        <v>10</v>
      </c>
      <c r="C291" s="144"/>
      <c r="D291" s="145" t="s">
        <v>390</v>
      </c>
      <c r="E291" s="146"/>
      <c r="F291" s="146">
        <v>44075</v>
      </c>
      <c r="G291" s="147" t="s">
        <v>139</v>
      </c>
      <c r="H291" s="147" t="s">
        <v>140</v>
      </c>
      <c r="I291" s="150">
        <v>1802000</v>
      </c>
      <c r="J291" s="144"/>
      <c r="K291" s="1791"/>
    </row>
    <row r="292">
      <c r="B292" s="144">
        <v>11</v>
      </c>
      <c r="C292" s="144"/>
      <c r="D292" s="145" t="s">
        <v>391</v>
      </c>
      <c r="E292" s="146"/>
      <c r="F292" s="146">
        <v>44074</v>
      </c>
      <c r="G292" s="147" t="s">
        <v>139</v>
      </c>
      <c r="H292" s="147" t="s">
        <v>140</v>
      </c>
      <c r="I292" s="150">
        <v>1802000</v>
      </c>
      <c r="J292" s="144"/>
      <c r="K292" s="1791"/>
    </row>
    <row r="293">
      <c r="B293" s="144">
        <v>12</v>
      </c>
      <c r="C293" s="144"/>
      <c r="D293" s="145" t="s">
        <v>392</v>
      </c>
      <c r="E293" s="146"/>
      <c r="F293" s="146">
        <v>44058</v>
      </c>
      <c r="G293" s="147" t="s">
        <v>139</v>
      </c>
      <c r="H293" s="147" t="s">
        <v>140</v>
      </c>
      <c r="I293" s="150">
        <v>1802000</v>
      </c>
      <c r="J293" s="144"/>
      <c r="K293" s="1791"/>
    </row>
    <row r="294">
      <c r="B294" s="144">
        <v>13</v>
      </c>
      <c r="C294" s="144"/>
      <c r="D294" s="145" t="s">
        <v>393</v>
      </c>
      <c r="E294" s="146">
        <v>44075</v>
      </c>
      <c r="F294" s="146"/>
      <c r="G294" s="147" t="s">
        <v>193</v>
      </c>
      <c r="H294" s="147" t="s">
        <v>87</v>
      </c>
      <c r="I294" s="150">
        <v>4200479</v>
      </c>
      <c r="J294" s="144"/>
      <c r="K294" s="1791"/>
    </row>
    <row r="295">
      <c r="B295" s="144">
        <v>14</v>
      </c>
      <c r="C295" s="144"/>
      <c r="D295" s="145" t="s">
        <v>394</v>
      </c>
      <c r="E295" s="146">
        <v>44075</v>
      </c>
      <c r="F295" s="146"/>
      <c r="G295" s="147" t="s">
        <v>193</v>
      </c>
      <c r="H295" s="147" t="s">
        <v>87</v>
      </c>
      <c r="I295" s="150">
        <v>4200479</v>
      </c>
      <c r="J295" s="144"/>
      <c r="K295" s="1791"/>
    </row>
    <row r="296">
      <c r="B296" s="144">
        <v>15</v>
      </c>
      <c r="C296" s="144"/>
      <c r="D296" s="145" t="s">
        <v>395</v>
      </c>
      <c r="E296" s="146">
        <v>44071</v>
      </c>
      <c r="F296" s="146"/>
      <c r="G296" s="147" t="s">
        <v>193</v>
      </c>
      <c r="H296" s="147" t="s">
        <v>87</v>
      </c>
      <c r="I296" s="150">
        <v>4200479</v>
      </c>
      <c r="J296" s="144"/>
      <c r="K296" s="1791"/>
    </row>
    <row r="297">
      <c r="B297" s="144">
        <v>16</v>
      </c>
      <c r="C297" s="144"/>
      <c r="D297" s="145" t="s">
        <v>396</v>
      </c>
      <c r="E297" s="146">
        <v>44071</v>
      </c>
      <c r="F297" s="146"/>
      <c r="G297" s="147" t="s">
        <v>193</v>
      </c>
      <c r="H297" s="147" t="s">
        <v>87</v>
      </c>
      <c r="I297" s="150">
        <v>4200479</v>
      </c>
      <c r="J297" s="144"/>
      <c r="K297" s="1791"/>
    </row>
    <row r="298">
      <c r="B298" s="144">
        <v>17</v>
      </c>
      <c r="C298" s="144"/>
      <c r="D298" s="145" t="s">
        <v>397</v>
      </c>
      <c r="E298" s="146"/>
      <c r="F298" s="146">
        <v>44064</v>
      </c>
      <c r="G298" s="147" t="s">
        <v>193</v>
      </c>
      <c r="H298" s="147" t="s">
        <v>87</v>
      </c>
      <c r="I298" s="150">
        <v>4200479</v>
      </c>
      <c r="J298" s="144"/>
      <c r="K298" s="1791"/>
    </row>
    <row r="299">
      <c r="B299" s="144">
        <v>18</v>
      </c>
      <c r="C299" s="144"/>
      <c r="D299" s="145" t="s">
        <v>398</v>
      </c>
      <c r="E299" s="146"/>
      <c r="F299" s="146">
        <v>44082</v>
      </c>
      <c r="G299" s="147" t="s">
        <v>193</v>
      </c>
      <c r="H299" s="147" t="s">
        <v>87</v>
      </c>
      <c r="I299" s="150">
        <v>4200479</v>
      </c>
      <c r="J299" s="144"/>
      <c r="K299" s="1791"/>
    </row>
    <row r="300">
      <c r="B300" s="144">
        <v>19</v>
      </c>
      <c r="C300" s="144"/>
      <c r="D300" s="145" t="s">
        <v>338</v>
      </c>
      <c r="E300" s="146"/>
      <c r="F300" s="146">
        <v>44069</v>
      </c>
      <c r="G300" s="147" t="s">
        <v>193</v>
      </c>
      <c r="H300" s="147" t="s">
        <v>87</v>
      </c>
      <c r="I300" s="150">
        <v>4200479</v>
      </c>
      <c r="J300" s="144"/>
      <c r="K300" s="1791"/>
    </row>
    <row r="301">
      <c r="B301" s="144">
        <v>20</v>
      </c>
      <c r="C301" s="144"/>
      <c r="D301" s="145" t="s">
        <v>399</v>
      </c>
      <c r="E301" s="146"/>
      <c r="F301" s="146">
        <v>44074</v>
      </c>
      <c r="G301" s="147" t="s">
        <v>193</v>
      </c>
      <c r="H301" s="147" t="s">
        <v>87</v>
      </c>
      <c r="I301" s="150">
        <v>4200479</v>
      </c>
      <c r="J301" s="144"/>
      <c r="K301" s="1791"/>
    </row>
    <row r="302">
      <c r="B302" s="144">
        <v>21</v>
      </c>
      <c r="C302" s="144"/>
      <c r="D302" s="145" t="s">
        <v>400</v>
      </c>
      <c r="E302" s="146"/>
      <c r="F302" s="146">
        <v>44074</v>
      </c>
      <c r="G302" s="147" t="s">
        <v>193</v>
      </c>
      <c r="H302" s="147" t="s">
        <v>87</v>
      </c>
      <c r="I302" s="150">
        <v>4200479</v>
      </c>
      <c r="J302" s="144"/>
      <c r="K302" s="1791"/>
    </row>
    <row r="303">
      <c r="B303" s="144">
        <v>22</v>
      </c>
      <c r="C303" s="144"/>
      <c r="D303" s="145" t="s">
        <v>194</v>
      </c>
      <c r="E303" s="146"/>
      <c r="F303" s="146">
        <v>44074</v>
      </c>
      <c r="G303" s="147" t="s">
        <v>193</v>
      </c>
      <c r="H303" s="147" t="s">
        <v>87</v>
      </c>
      <c r="I303" s="150">
        <v>4200479</v>
      </c>
      <c r="J303" s="144"/>
      <c r="K303" s="1791"/>
    </row>
    <row r="304">
      <c r="B304" s="144">
        <v>23</v>
      </c>
      <c r="C304" s="144"/>
      <c r="D304" s="145" t="s">
        <v>291</v>
      </c>
      <c r="E304" s="146"/>
      <c r="F304" s="146">
        <v>44074</v>
      </c>
      <c r="G304" s="147" t="s">
        <v>193</v>
      </c>
      <c r="H304" s="147" t="s">
        <v>87</v>
      </c>
      <c r="I304" s="150">
        <v>4200479</v>
      </c>
      <c r="J304" s="144"/>
      <c r="K304" s="1791"/>
    </row>
    <row r="305">
      <c r="B305" s="144">
        <v>24</v>
      </c>
      <c r="C305" s="144"/>
      <c r="D305" s="145" t="s">
        <v>344</v>
      </c>
      <c r="E305" s="146"/>
      <c r="F305" s="146">
        <v>44059</v>
      </c>
      <c r="G305" s="147" t="s">
        <v>193</v>
      </c>
      <c r="H305" s="147" t="s">
        <v>87</v>
      </c>
      <c r="I305" s="150">
        <v>4200479</v>
      </c>
      <c r="J305" s="144"/>
      <c r="K305" s="1791"/>
    </row>
    <row r="306">
      <c r="B306" s="144">
        <v>25</v>
      </c>
      <c r="C306" s="144"/>
      <c r="D306" s="145" t="s">
        <v>401</v>
      </c>
      <c r="E306" s="146">
        <v>44072</v>
      </c>
      <c r="F306" s="146"/>
      <c r="G306" s="147" t="s">
        <v>47</v>
      </c>
      <c r="H306" s="147" t="s">
        <v>48</v>
      </c>
      <c r="I306" s="150">
        <v>2895502</v>
      </c>
      <c r="J306" s="144"/>
      <c r="K306" s="1791"/>
    </row>
    <row r="307">
      <c r="B307" s="144">
        <v>26</v>
      </c>
      <c r="C307" s="144"/>
      <c r="D307" s="145" t="s">
        <v>61</v>
      </c>
      <c r="E307" s="146">
        <v>44075</v>
      </c>
      <c r="F307" s="146"/>
      <c r="G307" s="147" t="s">
        <v>47</v>
      </c>
      <c r="H307" s="147" t="s">
        <v>48</v>
      </c>
      <c r="I307" s="150">
        <v>2895502</v>
      </c>
      <c r="J307" s="144"/>
      <c r="K307" s="1791"/>
    </row>
    <row r="308">
      <c r="B308" s="144">
        <v>27</v>
      </c>
      <c r="C308" s="144"/>
      <c r="D308" s="145" t="s">
        <v>402</v>
      </c>
      <c r="E308" s="146"/>
      <c r="F308" s="146">
        <v>44072</v>
      </c>
      <c r="G308" s="147" t="s">
        <v>47</v>
      </c>
      <c r="H308" s="147" t="s">
        <v>48</v>
      </c>
      <c r="I308" s="150">
        <v>2895502</v>
      </c>
      <c r="J308" s="144"/>
      <c r="K308" s="1791"/>
    </row>
    <row r="309">
      <c r="B309" s="144">
        <v>28</v>
      </c>
      <c r="C309" s="144"/>
      <c r="D309" s="145" t="s">
        <v>403</v>
      </c>
      <c r="E309" s="146">
        <v>44075</v>
      </c>
      <c r="F309" s="146"/>
      <c r="G309" s="147" t="s">
        <v>328</v>
      </c>
      <c r="H309" s="147" t="s">
        <v>87</v>
      </c>
      <c r="I309" s="150">
        <v>1956200</v>
      </c>
      <c r="J309" s="144"/>
      <c r="K309" s="1791"/>
    </row>
    <row r="310">
      <c r="B310" s="144">
        <v>29</v>
      </c>
      <c r="C310" s="144"/>
      <c r="D310" s="145" t="s">
        <v>327</v>
      </c>
      <c r="E310" s="146"/>
      <c r="F310" s="146">
        <v>44075</v>
      </c>
      <c r="G310" s="147" t="s">
        <v>328</v>
      </c>
      <c r="H310" s="147" t="s">
        <v>87</v>
      </c>
      <c r="I310" s="150">
        <v>1956200</v>
      </c>
      <c r="J310" s="144"/>
      <c r="K310" s="1791"/>
    </row>
    <row r="311">
      <c r="B311" s="144">
        <v>30</v>
      </c>
      <c r="C311" s="144"/>
      <c r="D311" s="145" t="s">
        <v>374</v>
      </c>
      <c r="E311" s="146"/>
      <c r="F311" s="146">
        <v>44050</v>
      </c>
      <c r="G311" s="147" t="s">
        <v>328</v>
      </c>
      <c r="H311" s="147" t="s">
        <v>87</v>
      </c>
      <c r="I311" s="150">
        <v>1956200</v>
      </c>
      <c r="J311" s="144"/>
      <c r="K311" s="1791"/>
    </row>
    <row r="312">
      <c r="B312" s="133"/>
      <c r="C312" s="133"/>
      <c r="D312" s="134"/>
      <c r="E312" s="135"/>
      <c r="F312" s="135"/>
      <c r="G312" s="136"/>
      <c r="H312" s="136"/>
      <c r="I312" s="137"/>
      <c r="J312" s="133"/>
      <c r="K312" s="140"/>
    </row>
    <row r="313">
      <c r="B313" s="144"/>
      <c r="C313" s="144"/>
      <c r="D313" s="145"/>
      <c r="E313" s="146"/>
      <c r="F313" s="146"/>
      <c r="G313" s="147"/>
      <c r="H313" s="147"/>
      <c r="I313" s="150"/>
      <c r="J313" s="144"/>
      <c r="K313" s="152"/>
    </row>
    <row r="314" ht="11.25" customHeight="1">
      <c r="B314" s="144"/>
      <c r="C314" s="144" t="s">
        <v>404</v>
      </c>
      <c r="D314" s="145" t="s">
        <v>387</v>
      </c>
      <c r="E314" s="146">
        <v>44102</v>
      </c>
      <c r="F314" s="146"/>
      <c r="G314" s="147" t="s">
        <v>139</v>
      </c>
      <c r="H314" s="147" t="s">
        <v>140</v>
      </c>
      <c r="I314" s="150">
        <v>1802000</v>
      </c>
      <c r="J314" s="144"/>
      <c r="K314" s="1791" t="s">
        <v>405</v>
      </c>
    </row>
    <row r="315">
      <c r="B315" s="144"/>
      <c r="C315" s="144"/>
      <c r="D315" s="145" t="s">
        <v>386</v>
      </c>
      <c r="E315" s="146"/>
      <c r="F315" s="146">
        <v>44096</v>
      </c>
      <c r="G315" s="147" t="s">
        <v>139</v>
      </c>
      <c r="H315" s="147" t="s">
        <v>140</v>
      </c>
      <c r="I315" s="150">
        <v>1802000</v>
      </c>
      <c r="J315" s="144"/>
      <c r="K315" s="1791"/>
      <c r="M315" s="153">
        <v>44102</v>
      </c>
      <c r="N315" s="153">
        <v>44196</v>
      </c>
    </row>
    <row r="316">
      <c r="B316" s="144"/>
      <c r="C316" s="144" t="s">
        <v>406</v>
      </c>
      <c r="D316" s="145" t="s">
        <v>407</v>
      </c>
      <c r="E316" s="146"/>
      <c r="F316" s="146">
        <v>44091</v>
      </c>
      <c r="G316" s="147" t="s">
        <v>139</v>
      </c>
      <c r="H316" s="147" t="s">
        <v>140</v>
      </c>
      <c r="I316" s="150">
        <v>1802000</v>
      </c>
      <c r="J316" s="144"/>
      <c r="K316" s="1791"/>
      <c r="M316" s="153">
        <v>44095</v>
      </c>
      <c r="N316" s="153">
        <v>44096</v>
      </c>
    </row>
    <row r="317">
      <c r="B317" s="144"/>
      <c r="C317" s="144" t="s">
        <v>408</v>
      </c>
      <c r="D317" s="145" t="s">
        <v>409</v>
      </c>
      <c r="E317" s="146">
        <v>44086</v>
      </c>
      <c r="F317" s="146"/>
      <c r="G317" s="147" t="s">
        <v>193</v>
      </c>
      <c r="H317" s="147" t="s">
        <v>87</v>
      </c>
      <c r="I317" s="150">
        <v>4200479</v>
      </c>
      <c r="J317" s="144"/>
      <c r="K317" s="1791"/>
      <c r="M317" s="153">
        <v>44013</v>
      </c>
      <c r="N317" s="153">
        <v>44091</v>
      </c>
    </row>
    <row r="318">
      <c r="B318" s="144"/>
      <c r="C318" s="144" t="s">
        <v>410</v>
      </c>
      <c r="D318" s="145" t="s">
        <v>411</v>
      </c>
      <c r="E318" s="146">
        <v>44090</v>
      </c>
      <c r="F318" s="146"/>
      <c r="G318" s="147" t="s">
        <v>193</v>
      </c>
      <c r="H318" s="147" t="s">
        <v>87</v>
      </c>
      <c r="I318" s="150">
        <v>4200479</v>
      </c>
      <c r="J318" s="144"/>
      <c r="K318" s="1791"/>
    </row>
    <row r="319">
      <c r="B319" s="144"/>
      <c r="C319" s="144" t="s">
        <v>412</v>
      </c>
      <c r="D319" s="145" t="s">
        <v>413</v>
      </c>
      <c r="E319" s="146">
        <v>44093</v>
      </c>
      <c r="F319" s="146"/>
      <c r="G319" s="147" t="s">
        <v>193</v>
      </c>
      <c r="H319" s="147" t="s">
        <v>87</v>
      </c>
      <c r="I319" s="150">
        <v>4200479</v>
      </c>
      <c r="J319" s="144"/>
      <c r="K319" s="1791"/>
    </row>
    <row r="320">
      <c r="B320" s="144"/>
      <c r="C320" s="144" t="s">
        <v>414</v>
      </c>
      <c r="D320" s="145" t="s">
        <v>415</v>
      </c>
      <c r="E320" s="146">
        <v>44098</v>
      </c>
      <c r="F320" s="146"/>
      <c r="G320" s="147" t="s">
        <v>193</v>
      </c>
      <c r="H320" s="147" t="s">
        <v>87</v>
      </c>
      <c r="I320" s="150">
        <v>4200479</v>
      </c>
      <c r="J320" s="144"/>
      <c r="K320" s="1791"/>
    </row>
    <row r="321">
      <c r="B321" s="144"/>
      <c r="C321" s="144" t="s">
        <v>416</v>
      </c>
      <c r="D321" s="145" t="s">
        <v>417</v>
      </c>
      <c r="E321" s="146">
        <v>44099</v>
      </c>
      <c r="F321" s="146"/>
      <c r="G321" s="147" t="s">
        <v>193</v>
      </c>
      <c r="H321" s="147" t="s">
        <v>87</v>
      </c>
      <c r="I321" s="150">
        <v>4200479</v>
      </c>
      <c r="J321" s="144"/>
      <c r="K321" s="1791"/>
    </row>
    <row r="322">
      <c r="B322" s="144"/>
      <c r="C322" s="144" t="s">
        <v>418</v>
      </c>
      <c r="D322" s="145" t="s">
        <v>419</v>
      </c>
      <c r="E322" s="146">
        <v>44102</v>
      </c>
      <c r="F322" s="146"/>
      <c r="G322" s="147" t="s">
        <v>193</v>
      </c>
      <c r="H322" s="147" t="s">
        <v>87</v>
      </c>
      <c r="I322" s="150">
        <v>4200479</v>
      </c>
      <c r="J322" s="144"/>
      <c r="K322" s="1791"/>
    </row>
    <row r="323">
      <c r="B323" s="144"/>
      <c r="C323" s="144" t="s">
        <v>420</v>
      </c>
      <c r="D323" s="145" t="s">
        <v>78</v>
      </c>
      <c r="E323" s="146">
        <v>44105</v>
      </c>
      <c r="F323" s="146"/>
      <c r="G323" s="147" t="s">
        <v>193</v>
      </c>
      <c r="H323" s="147" t="s">
        <v>87</v>
      </c>
      <c r="I323" s="150">
        <v>4200479</v>
      </c>
      <c r="J323" s="144"/>
      <c r="K323" s="1791"/>
    </row>
    <row r="324">
      <c r="B324" s="144"/>
      <c r="C324" s="144" t="s">
        <v>421</v>
      </c>
      <c r="D324" s="145" t="s">
        <v>422</v>
      </c>
      <c r="E324" s="146">
        <v>44111</v>
      </c>
      <c r="F324" s="146"/>
      <c r="G324" s="147" t="s">
        <v>193</v>
      </c>
      <c r="H324" s="147" t="s">
        <v>87</v>
      </c>
      <c r="I324" s="150">
        <v>4200479</v>
      </c>
      <c r="J324" s="144"/>
      <c r="K324" s="1791"/>
    </row>
    <row r="325">
      <c r="B325" s="144"/>
      <c r="C325" s="144" t="s">
        <v>423</v>
      </c>
      <c r="D325" s="145" t="s">
        <v>424</v>
      </c>
      <c r="E325" s="146">
        <v>44111</v>
      </c>
      <c r="F325" s="146"/>
      <c r="G325" s="147" t="s">
        <v>193</v>
      </c>
      <c r="H325" s="147" t="s">
        <v>87</v>
      </c>
      <c r="I325" s="150">
        <v>4200479</v>
      </c>
      <c r="J325" s="144"/>
      <c r="K325" s="1791"/>
    </row>
    <row r="326">
      <c r="B326" s="144"/>
      <c r="C326" s="144" t="s">
        <v>425</v>
      </c>
      <c r="D326" s="145" t="s">
        <v>426</v>
      </c>
      <c r="E326" s="146">
        <v>44108</v>
      </c>
      <c r="F326" s="146"/>
      <c r="G326" s="147" t="s">
        <v>193</v>
      </c>
      <c r="H326" s="147" t="s">
        <v>87</v>
      </c>
      <c r="I326" s="150">
        <v>4200479</v>
      </c>
      <c r="J326" s="144"/>
      <c r="K326" s="1791"/>
    </row>
    <row r="327">
      <c r="B327" s="144"/>
      <c r="C327" s="144" t="s">
        <v>427</v>
      </c>
      <c r="D327" s="145" t="s">
        <v>428</v>
      </c>
      <c r="E327" s="146">
        <v>44108</v>
      </c>
      <c r="F327" s="146"/>
      <c r="G327" s="147" t="s">
        <v>193</v>
      </c>
      <c r="H327" s="147" t="s">
        <v>87</v>
      </c>
      <c r="I327" s="150">
        <v>4200479</v>
      </c>
      <c r="J327" s="144"/>
      <c r="K327" s="1791"/>
    </row>
    <row r="328">
      <c r="B328" s="144"/>
      <c r="C328" s="144" t="s">
        <v>429</v>
      </c>
      <c r="D328" s="145" t="s">
        <v>430</v>
      </c>
      <c r="E328" s="146">
        <v>44106</v>
      </c>
      <c r="F328" s="146"/>
      <c r="G328" s="147" t="s">
        <v>193</v>
      </c>
      <c r="H328" s="147" t="s">
        <v>87</v>
      </c>
      <c r="I328" s="150">
        <v>4200479</v>
      </c>
      <c r="J328" s="144"/>
      <c r="K328" s="1791"/>
    </row>
    <row r="329">
      <c r="B329" s="144"/>
      <c r="C329" s="144" t="s">
        <v>431</v>
      </c>
      <c r="D329" s="145" t="s">
        <v>432</v>
      </c>
      <c r="E329" s="146">
        <v>44105</v>
      </c>
      <c r="F329" s="146"/>
      <c r="G329" s="147" t="s">
        <v>193</v>
      </c>
      <c r="H329" s="147" t="s">
        <v>87</v>
      </c>
      <c r="I329" s="150">
        <v>4200479</v>
      </c>
      <c r="J329" s="144"/>
      <c r="K329" s="1791"/>
    </row>
    <row r="330">
      <c r="B330" s="144"/>
      <c r="C330" s="144" t="s">
        <v>433</v>
      </c>
      <c r="D330" s="145" t="s">
        <v>434</v>
      </c>
      <c r="E330" s="146">
        <v>44115</v>
      </c>
      <c r="F330" s="146"/>
      <c r="G330" s="147" t="s">
        <v>193</v>
      </c>
      <c r="H330" s="147" t="s">
        <v>87</v>
      </c>
      <c r="I330" s="150">
        <v>4200479</v>
      </c>
      <c r="J330" s="144"/>
      <c r="K330" s="1791"/>
    </row>
    <row r="331">
      <c r="B331" s="144"/>
      <c r="C331" s="144" t="s">
        <v>435</v>
      </c>
      <c r="D331" s="145" t="s">
        <v>436</v>
      </c>
      <c r="E331" s="146">
        <v>44114</v>
      </c>
      <c r="F331" s="146"/>
      <c r="G331" s="147" t="s">
        <v>193</v>
      </c>
      <c r="H331" s="147" t="s">
        <v>87</v>
      </c>
      <c r="I331" s="150">
        <v>4200479</v>
      </c>
      <c r="J331" s="144"/>
      <c r="K331" s="1791"/>
    </row>
    <row r="332">
      <c r="B332" s="144"/>
      <c r="C332" s="144" t="s">
        <v>437</v>
      </c>
      <c r="D332" s="145" t="s">
        <v>438</v>
      </c>
      <c r="E332" s="146">
        <v>44114</v>
      </c>
      <c r="F332" s="146"/>
      <c r="G332" s="147" t="s">
        <v>193</v>
      </c>
      <c r="H332" s="147" t="s">
        <v>87</v>
      </c>
      <c r="I332" s="150">
        <v>4200479</v>
      </c>
      <c r="J332" s="144"/>
      <c r="K332" s="1791"/>
    </row>
    <row r="333">
      <c r="B333" s="144"/>
      <c r="C333" s="144" t="s">
        <v>439</v>
      </c>
      <c r="D333" s="145" t="s">
        <v>440</v>
      </c>
      <c r="E333" s="146"/>
      <c r="F333" s="146">
        <v>44111</v>
      </c>
      <c r="G333" s="147" t="s">
        <v>193</v>
      </c>
      <c r="H333" s="147" t="s">
        <v>87</v>
      </c>
      <c r="I333" s="150">
        <v>4200479</v>
      </c>
      <c r="J333" s="144"/>
      <c r="K333" s="1791"/>
    </row>
    <row r="334">
      <c r="B334" s="144"/>
      <c r="C334" s="144" t="s">
        <v>441</v>
      </c>
      <c r="D334" s="145" t="s">
        <v>290</v>
      </c>
      <c r="E334" s="146"/>
      <c r="F334" s="146">
        <v>44116</v>
      </c>
      <c r="G334" s="147" t="s">
        <v>193</v>
      </c>
      <c r="H334" s="147" t="s">
        <v>87</v>
      </c>
      <c r="I334" s="150">
        <v>4200479</v>
      </c>
      <c r="J334" s="144"/>
      <c r="K334" s="1791"/>
    </row>
    <row r="335">
      <c r="B335" s="144"/>
      <c r="C335" s="144" t="s">
        <v>442</v>
      </c>
      <c r="D335" s="145" t="s">
        <v>396</v>
      </c>
      <c r="E335" s="146"/>
      <c r="F335" s="146">
        <v>44114</v>
      </c>
      <c r="G335" s="147" t="s">
        <v>193</v>
      </c>
      <c r="H335" s="147" t="s">
        <v>87</v>
      </c>
      <c r="I335" s="150">
        <v>4200479</v>
      </c>
      <c r="J335" s="144"/>
      <c r="K335" s="1791"/>
    </row>
    <row r="336">
      <c r="B336" s="144"/>
      <c r="C336" s="144" t="s">
        <v>443</v>
      </c>
      <c r="D336" s="145" t="s">
        <v>444</v>
      </c>
      <c r="E336" s="146"/>
      <c r="F336" s="146">
        <v>44114</v>
      </c>
      <c r="G336" s="147" t="s">
        <v>193</v>
      </c>
      <c r="H336" s="147" t="s">
        <v>87</v>
      </c>
      <c r="I336" s="150">
        <v>4200479</v>
      </c>
      <c r="J336" s="144"/>
      <c r="K336" s="1791"/>
    </row>
    <row r="337">
      <c r="B337" s="144"/>
      <c r="C337" s="144"/>
      <c r="D337" s="145" t="s">
        <v>445</v>
      </c>
      <c r="E337" s="146"/>
      <c r="F337" s="146">
        <v>44092</v>
      </c>
      <c r="G337" s="147" t="s">
        <v>193</v>
      </c>
      <c r="H337" s="147" t="s">
        <v>87</v>
      </c>
      <c r="I337" s="150">
        <v>4200479</v>
      </c>
      <c r="J337" s="144"/>
      <c r="K337" s="1791"/>
    </row>
    <row r="338">
      <c r="B338" s="144"/>
      <c r="C338" s="144"/>
      <c r="D338" s="145" t="s">
        <v>446</v>
      </c>
      <c r="E338" s="146"/>
      <c r="F338" s="146">
        <v>44091</v>
      </c>
      <c r="G338" s="147" t="s">
        <v>193</v>
      </c>
      <c r="H338" s="147" t="s">
        <v>87</v>
      </c>
      <c r="I338" s="150">
        <v>4200479</v>
      </c>
      <c r="J338" s="144"/>
      <c r="K338" s="1791"/>
    </row>
    <row r="339">
      <c r="B339" s="144"/>
      <c r="C339" s="144"/>
      <c r="D339" s="145" t="s">
        <v>447</v>
      </c>
      <c r="E339" s="146"/>
      <c r="F339" s="146">
        <v>44093</v>
      </c>
      <c r="G339" s="147" t="s">
        <v>193</v>
      </c>
      <c r="H339" s="147" t="s">
        <v>87</v>
      </c>
      <c r="I339" s="150">
        <v>4200479</v>
      </c>
      <c r="J339" s="144"/>
      <c r="K339" s="1791"/>
    </row>
    <row r="340">
      <c r="B340" s="144"/>
      <c r="C340" s="144" t="s">
        <v>448</v>
      </c>
      <c r="D340" s="145" t="s">
        <v>222</v>
      </c>
      <c r="E340" s="146"/>
      <c r="F340" s="146">
        <v>44102</v>
      </c>
      <c r="G340" s="147" t="s">
        <v>193</v>
      </c>
      <c r="H340" s="147" t="s">
        <v>87</v>
      </c>
      <c r="I340" s="150">
        <v>4200479</v>
      </c>
      <c r="J340" s="144"/>
      <c r="K340" s="1791"/>
    </row>
    <row r="341">
      <c r="B341" s="144"/>
      <c r="C341" s="144" t="s">
        <v>449</v>
      </c>
      <c r="D341" s="145" t="s">
        <v>450</v>
      </c>
      <c r="E341" s="146">
        <v>44109</v>
      </c>
      <c r="F341" s="146"/>
      <c r="G341" s="147" t="s">
        <v>312</v>
      </c>
      <c r="H341" s="147" t="s">
        <v>87</v>
      </c>
      <c r="I341" s="150">
        <v>2654095</v>
      </c>
      <c r="J341" s="144"/>
      <c r="K341" s="1791"/>
    </row>
    <row r="342">
      <c r="B342" s="144"/>
      <c r="C342" s="144" t="s">
        <v>451</v>
      </c>
      <c r="D342" s="145" t="s">
        <v>317</v>
      </c>
      <c r="E342" s="146"/>
      <c r="F342" s="146">
        <v>44104</v>
      </c>
      <c r="G342" s="147" t="s">
        <v>47</v>
      </c>
      <c r="H342" s="147" t="s">
        <v>48</v>
      </c>
      <c r="I342" s="150">
        <v>2895502</v>
      </c>
      <c r="J342" s="144"/>
      <c r="K342" s="1791"/>
    </row>
    <row r="343">
      <c r="B343" s="144"/>
      <c r="C343" s="144" t="s">
        <v>452</v>
      </c>
      <c r="D343" s="145" t="s">
        <v>78</v>
      </c>
      <c r="E343" s="146"/>
      <c r="F343" s="146">
        <v>44104</v>
      </c>
      <c r="G343" s="147" t="s">
        <v>47</v>
      </c>
      <c r="H343" s="147" t="s">
        <v>48</v>
      </c>
      <c r="I343" s="150">
        <v>2895502</v>
      </c>
      <c r="J343" s="144" t="s">
        <v>453</v>
      </c>
      <c r="K343" s="1791"/>
    </row>
    <row r="344">
      <c r="B344" s="144"/>
      <c r="C344" s="144" t="s">
        <v>45</v>
      </c>
      <c r="D344" s="145" t="s">
        <v>46</v>
      </c>
      <c r="E344" s="146">
        <v>44105</v>
      </c>
      <c r="F344" s="146"/>
      <c r="G344" s="147" t="s">
        <v>47</v>
      </c>
      <c r="H344" s="147" t="s">
        <v>454</v>
      </c>
      <c r="I344" s="150">
        <v>3018530</v>
      </c>
      <c r="J344" s="144"/>
      <c r="K344" s="1791"/>
    </row>
    <row r="345">
      <c r="B345" s="144"/>
      <c r="C345" s="144" t="s">
        <v>455</v>
      </c>
      <c r="D345" s="145" t="s">
        <v>264</v>
      </c>
      <c r="E345" s="146"/>
      <c r="F345" s="146">
        <v>44125</v>
      </c>
      <c r="G345" s="147" t="s">
        <v>364</v>
      </c>
      <c r="H345" s="147" t="s">
        <v>87</v>
      </c>
      <c r="I345" s="150">
        <v>2004000</v>
      </c>
      <c r="J345" s="144"/>
      <c r="K345" s="1791"/>
    </row>
    <row r="346">
      <c r="B346" s="144"/>
      <c r="C346" s="144"/>
      <c r="D346" s="145" t="s">
        <v>456</v>
      </c>
      <c r="E346" s="146"/>
      <c r="F346" s="146">
        <v>44104</v>
      </c>
      <c r="G346" s="147" t="s">
        <v>364</v>
      </c>
      <c r="H346" s="147" t="s">
        <v>87</v>
      </c>
      <c r="I346" s="150">
        <v>2004000</v>
      </c>
      <c r="J346" s="144"/>
      <c r="K346" s="1791"/>
    </row>
    <row r="347">
      <c r="B347" s="144"/>
      <c r="C347" s="144"/>
      <c r="D347" s="145" t="s">
        <v>457</v>
      </c>
      <c r="E347" s="146"/>
      <c r="F347" s="146">
        <v>44112</v>
      </c>
      <c r="G347" s="147" t="s">
        <v>364</v>
      </c>
      <c r="H347" s="147" t="s">
        <v>87</v>
      </c>
      <c r="I347" s="150">
        <v>2004000</v>
      </c>
      <c r="J347" s="144"/>
      <c r="K347" s="1791"/>
    </row>
    <row r="348">
      <c r="B348" s="144"/>
      <c r="C348" s="144" t="s">
        <v>458</v>
      </c>
      <c r="D348" s="145" t="s">
        <v>459</v>
      </c>
      <c r="E348" s="146">
        <v>44099</v>
      </c>
      <c r="F348" s="146"/>
      <c r="G348" s="147" t="s">
        <v>176</v>
      </c>
      <c r="H348" s="147" t="s">
        <v>87</v>
      </c>
      <c r="I348" s="150">
        <v>2715000</v>
      </c>
      <c r="J348" s="144"/>
      <c r="K348" s="1791"/>
    </row>
    <row r="349">
      <c r="B349" s="144"/>
      <c r="C349" s="144" t="s">
        <v>460</v>
      </c>
      <c r="D349" s="145" t="s">
        <v>461</v>
      </c>
      <c r="E349" s="146">
        <v>44105</v>
      </c>
      <c r="F349" s="146"/>
      <c r="G349" s="147" t="s">
        <v>176</v>
      </c>
      <c r="H349" s="147" t="s">
        <v>87</v>
      </c>
      <c r="I349" s="150">
        <v>2715000</v>
      </c>
      <c r="J349" s="144"/>
      <c r="K349" s="1791"/>
    </row>
    <row r="350">
      <c r="B350" s="144"/>
      <c r="C350" s="144" t="s">
        <v>462</v>
      </c>
      <c r="D350" s="145" t="s">
        <v>463</v>
      </c>
      <c r="E350" s="146">
        <v>44105</v>
      </c>
      <c r="F350" s="146"/>
      <c r="G350" s="147" t="s">
        <v>176</v>
      </c>
      <c r="H350" s="147" t="s">
        <v>87</v>
      </c>
      <c r="I350" s="150">
        <v>2715000</v>
      </c>
      <c r="J350" s="144"/>
      <c r="K350" s="1791"/>
    </row>
    <row r="351">
      <c r="B351" s="144"/>
      <c r="C351" s="144"/>
      <c r="D351" s="145" t="s">
        <v>464</v>
      </c>
      <c r="E351" s="146"/>
      <c r="F351" s="146">
        <v>44102</v>
      </c>
      <c r="G351" s="147" t="s">
        <v>176</v>
      </c>
      <c r="H351" s="147" t="s">
        <v>87</v>
      </c>
      <c r="I351" s="150">
        <v>2715000</v>
      </c>
      <c r="J351" s="144"/>
      <c r="K351" s="1791"/>
    </row>
    <row r="352">
      <c r="B352" s="144"/>
      <c r="C352" s="144" t="s">
        <v>465</v>
      </c>
      <c r="D352" s="145" t="s">
        <v>375</v>
      </c>
      <c r="E352" s="146"/>
      <c r="F352" s="146">
        <v>44104</v>
      </c>
      <c r="G352" s="147" t="s">
        <v>176</v>
      </c>
      <c r="H352" s="147" t="s">
        <v>87</v>
      </c>
      <c r="I352" s="150">
        <v>2715000</v>
      </c>
      <c r="J352" s="144"/>
      <c r="K352" s="1791"/>
    </row>
    <row r="353">
      <c r="B353" s="144"/>
      <c r="C353" s="144" t="s">
        <v>466</v>
      </c>
      <c r="D353" s="145" t="s">
        <v>270</v>
      </c>
      <c r="E353" s="146"/>
      <c r="F353" s="146">
        <v>44088</v>
      </c>
      <c r="G353" s="147" t="s">
        <v>176</v>
      </c>
      <c r="H353" s="147" t="s">
        <v>87</v>
      </c>
      <c r="I353" s="150">
        <v>2715000</v>
      </c>
      <c r="J353" s="144"/>
      <c r="K353" s="1791"/>
    </row>
    <row r="354">
      <c r="B354" s="144"/>
      <c r="C354" s="144" t="s">
        <v>467</v>
      </c>
      <c r="D354" s="145" t="s">
        <v>235</v>
      </c>
      <c r="E354" s="146">
        <v>44114</v>
      </c>
      <c r="F354" s="146"/>
      <c r="G354" s="147" t="s">
        <v>200</v>
      </c>
      <c r="H354" s="147" t="s">
        <v>201</v>
      </c>
      <c r="I354" s="150">
        <v>2770300</v>
      </c>
      <c r="J354" s="144"/>
      <c r="K354" s="1791"/>
    </row>
    <row r="355">
      <c r="B355" s="144"/>
      <c r="C355" s="144" t="s">
        <v>468</v>
      </c>
      <c r="D355" s="145" t="s">
        <v>469</v>
      </c>
      <c r="E355" s="146">
        <v>44109</v>
      </c>
      <c r="F355" s="146"/>
      <c r="G355" s="147" t="s">
        <v>27</v>
      </c>
      <c r="H355" s="147" t="s">
        <v>87</v>
      </c>
      <c r="I355" s="150">
        <v>2335662</v>
      </c>
      <c r="J355" s="144"/>
      <c r="K355" s="1791"/>
    </row>
    <row r="356">
      <c r="B356" s="144"/>
      <c r="C356" s="144" t="s">
        <v>470</v>
      </c>
      <c r="D356" s="145" t="s">
        <v>471</v>
      </c>
      <c r="E356" s="146">
        <v>44109</v>
      </c>
      <c r="F356" s="146"/>
      <c r="G356" s="147" t="s">
        <v>27</v>
      </c>
      <c r="H356" s="147" t="s">
        <v>87</v>
      </c>
      <c r="I356" s="150">
        <v>2335662</v>
      </c>
      <c r="J356" s="144"/>
      <c r="K356" s="1791"/>
    </row>
    <row r="357">
      <c r="B357" s="133"/>
      <c r="C357" s="133"/>
      <c r="D357" s="134"/>
      <c r="E357" s="135"/>
      <c r="F357" s="135"/>
      <c r="G357" s="136"/>
      <c r="H357" s="136"/>
      <c r="I357" s="137"/>
      <c r="J357" s="133"/>
      <c r="K357" s="140"/>
    </row>
    <row r="358" ht="11.25" customHeight="1">
      <c r="B358" s="144">
        <f ref="B358:B383" t="shared" si="7">+B357+1</f>
        <v>1</v>
      </c>
      <c r="C358" s="144"/>
      <c r="D358" s="145" t="s">
        <v>224</v>
      </c>
      <c r="E358" s="146"/>
      <c r="F358" s="146">
        <v>44135</v>
      </c>
      <c r="G358" s="147" t="s">
        <v>193</v>
      </c>
      <c r="H358" s="147" t="s">
        <v>177</v>
      </c>
      <c r="I358" s="150">
        <v>4200479</v>
      </c>
      <c r="J358" s="144"/>
      <c r="K358" s="1791" t="s">
        <v>472</v>
      </c>
    </row>
    <row r="359">
      <c r="B359" s="144">
        <f t="shared" si="7"/>
        <v>2</v>
      </c>
      <c r="C359" s="144"/>
      <c r="D359" s="145" t="s">
        <v>225</v>
      </c>
      <c r="E359" s="146"/>
      <c r="F359" s="146">
        <v>44135</v>
      </c>
      <c r="G359" s="147" t="s">
        <v>193</v>
      </c>
      <c r="H359" s="147" t="s">
        <v>177</v>
      </c>
      <c r="I359" s="150">
        <v>4200479</v>
      </c>
      <c r="J359" s="144"/>
      <c r="K359" s="1791"/>
    </row>
    <row r="360">
      <c r="B360" s="144">
        <f t="shared" si="7"/>
        <v>3</v>
      </c>
      <c r="C360" s="144"/>
      <c r="D360" s="145" t="s">
        <v>473</v>
      </c>
      <c r="E360" s="146"/>
      <c r="F360" s="146">
        <v>44135</v>
      </c>
      <c r="G360" s="147" t="s">
        <v>193</v>
      </c>
      <c r="H360" s="147" t="s">
        <v>177</v>
      </c>
      <c r="I360" s="150">
        <v>4200479</v>
      </c>
      <c r="J360" s="144"/>
      <c r="K360" s="1791"/>
    </row>
    <row r="361">
      <c r="B361" s="144">
        <f t="shared" si="7"/>
        <v>4</v>
      </c>
      <c r="C361" s="144"/>
      <c r="D361" s="145" t="s">
        <v>255</v>
      </c>
      <c r="E361" s="146"/>
      <c r="F361" s="146">
        <v>44135</v>
      </c>
      <c r="G361" s="147" t="s">
        <v>193</v>
      </c>
      <c r="H361" s="147" t="s">
        <v>177</v>
      </c>
      <c r="I361" s="150">
        <v>4200479</v>
      </c>
      <c r="J361" s="144"/>
      <c r="K361" s="1791"/>
    </row>
    <row r="362">
      <c r="B362" s="144">
        <f t="shared" si="7"/>
        <v>5</v>
      </c>
      <c r="C362" s="144"/>
      <c r="D362" s="145" t="s">
        <v>432</v>
      </c>
      <c r="E362" s="146"/>
      <c r="F362" s="146">
        <v>44112</v>
      </c>
      <c r="G362" s="147" t="s">
        <v>193</v>
      </c>
      <c r="H362" s="147" t="s">
        <v>177</v>
      </c>
      <c r="I362" s="150">
        <v>4200479</v>
      </c>
      <c r="J362" s="144"/>
      <c r="K362" s="1791"/>
    </row>
    <row r="363">
      <c r="B363" s="144">
        <f t="shared" si="7"/>
        <v>6</v>
      </c>
      <c r="C363" s="144"/>
      <c r="D363" s="145" t="s">
        <v>474</v>
      </c>
      <c r="E363" s="146">
        <v>44112</v>
      </c>
      <c r="F363" s="146"/>
      <c r="G363" s="147" t="s">
        <v>193</v>
      </c>
      <c r="H363" s="147" t="s">
        <v>177</v>
      </c>
      <c r="I363" s="150">
        <v>4200479</v>
      </c>
      <c r="J363" s="144"/>
      <c r="K363" s="1791"/>
    </row>
    <row r="364">
      <c r="B364" s="144">
        <f t="shared" si="7"/>
        <v>7</v>
      </c>
      <c r="C364" s="144"/>
      <c r="D364" s="145" t="s">
        <v>475</v>
      </c>
      <c r="E364" s="146">
        <v>44120</v>
      </c>
      <c r="F364" s="146"/>
      <c r="G364" s="147" t="s">
        <v>193</v>
      </c>
      <c r="H364" s="147" t="s">
        <v>177</v>
      </c>
      <c r="I364" s="150">
        <v>4200479</v>
      </c>
      <c r="J364" s="144"/>
      <c r="K364" s="1791"/>
    </row>
    <row r="365">
      <c r="B365" s="144">
        <f t="shared" si="7"/>
        <v>8</v>
      </c>
      <c r="C365" s="144"/>
      <c r="D365" s="145" t="s">
        <v>476</v>
      </c>
      <c r="E365" s="146">
        <v>44130</v>
      </c>
      <c r="F365" s="146"/>
      <c r="G365" s="147" t="s">
        <v>193</v>
      </c>
      <c r="H365" s="147" t="s">
        <v>177</v>
      </c>
      <c r="I365" s="150">
        <v>4200479</v>
      </c>
      <c r="J365" s="144"/>
      <c r="K365" s="1791"/>
    </row>
    <row r="366">
      <c r="B366" s="144">
        <f t="shared" si="7"/>
        <v>9</v>
      </c>
      <c r="C366" s="144"/>
      <c r="D366" s="145" t="s">
        <v>477</v>
      </c>
      <c r="E366" s="146">
        <v>44130</v>
      </c>
      <c r="F366" s="146"/>
      <c r="G366" s="147" t="s">
        <v>193</v>
      </c>
      <c r="H366" s="147" t="s">
        <v>177</v>
      </c>
      <c r="I366" s="150">
        <v>4200479</v>
      </c>
      <c r="J366" s="144"/>
      <c r="K366" s="1791"/>
    </row>
    <row r="367">
      <c r="B367" s="144">
        <f t="shared" si="7"/>
        <v>10</v>
      </c>
      <c r="C367" s="144"/>
      <c r="D367" s="145" t="s">
        <v>478</v>
      </c>
      <c r="E367" s="146">
        <v>44136</v>
      </c>
      <c r="F367" s="146"/>
      <c r="G367" s="147" t="s">
        <v>193</v>
      </c>
      <c r="H367" s="147" t="s">
        <v>177</v>
      </c>
      <c r="I367" s="150">
        <v>4200479</v>
      </c>
      <c r="J367" s="144"/>
      <c r="K367" s="1791"/>
    </row>
    <row r="368">
      <c r="B368" s="144">
        <f t="shared" si="7"/>
        <v>11</v>
      </c>
      <c r="C368" s="144"/>
      <c r="D368" s="145" t="s">
        <v>479</v>
      </c>
      <c r="E368" s="146">
        <v>44136</v>
      </c>
      <c r="F368" s="146"/>
      <c r="G368" s="147" t="s">
        <v>193</v>
      </c>
      <c r="H368" s="147" t="s">
        <v>177</v>
      </c>
      <c r="I368" s="150">
        <v>4200479</v>
      </c>
      <c r="J368" s="144"/>
      <c r="K368" s="1791"/>
    </row>
    <row r="369">
      <c r="B369" s="144">
        <f t="shared" si="7"/>
        <v>12</v>
      </c>
      <c r="C369" s="144"/>
      <c r="D369" s="145" t="s">
        <v>480</v>
      </c>
      <c r="E369" s="146">
        <v>44136</v>
      </c>
      <c r="F369" s="146"/>
      <c r="G369" s="147" t="s">
        <v>193</v>
      </c>
      <c r="H369" s="147" t="s">
        <v>177</v>
      </c>
      <c r="I369" s="150">
        <v>4200479</v>
      </c>
      <c r="J369" s="144"/>
      <c r="K369" s="1791"/>
    </row>
    <row r="370">
      <c r="B370" s="144">
        <f t="shared" si="7"/>
        <v>13</v>
      </c>
      <c r="C370" s="144"/>
      <c r="D370" s="145" t="s">
        <v>481</v>
      </c>
      <c r="E370" s="146">
        <v>44136</v>
      </c>
      <c r="F370" s="146"/>
      <c r="G370" s="147" t="s">
        <v>193</v>
      </c>
      <c r="H370" s="147" t="s">
        <v>177</v>
      </c>
      <c r="I370" s="150">
        <v>4200479</v>
      </c>
      <c r="J370" s="144"/>
      <c r="K370" s="1791"/>
    </row>
    <row r="371">
      <c r="B371" s="144">
        <f t="shared" si="7"/>
        <v>14</v>
      </c>
      <c r="C371" s="144"/>
      <c r="D371" s="145" t="s">
        <v>482</v>
      </c>
      <c r="E371" s="146">
        <v>44136</v>
      </c>
      <c r="F371" s="146"/>
      <c r="G371" s="147" t="s">
        <v>193</v>
      </c>
      <c r="H371" s="147" t="s">
        <v>177</v>
      </c>
      <c r="I371" s="150">
        <v>4200479</v>
      </c>
      <c r="J371" s="144"/>
      <c r="K371" s="1791"/>
    </row>
    <row r="372">
      <c r="B372" s="144">
        <f t="shared" si="7"/>
        <v>15</v>
      </c>
      <c r="C372" s="144"/>
      <c r="D372" s="145" t="s">
        <v>483</v>
      </c>
      <c r="E372" s="146">
        <v>44138</v>
      </c>
      <c r="F372" s="146"/>
      <c r="G372" s="147" t="s">
        <v>193</v>
      </c>
      <c r="H372" s="147" t="s">
        <v>177</v>
      </c>
      <c r="I372" s="150">
        <v>4200479</v>
      </c>
      <c r="J372" s="144"/>
      <c r="K372" s="1791"/>
    </row>
    <row r="373">
      <c r="B373" s="144">
        <f t="shared" si="7"/>
        <v>16</v>
      </c>
      <c r="C373" s="144"/>
      <c r="D373" s="145" t="s">
        <v>484</v>
      </c>
      <c r="E373" s="146">
        <v>44138</v>
      </c>
      <c r="F373" s="146"/>
      <c r="G373" s="147" t="s">
        <v>193</v>
      </c>
      <c r="H373" s="147" t="s">
        <v>177</v>
      </c>
      <c r="I373" s="150">
        <v>4200479</v>
      </c>
      <c r="J373" s="144"/>
      <c r="K373" s="1791"/>
    </row>
    <row r="374">
      <c r="B374" s="144">
        <f t="shared" si="7"/>
        <v>17</v>
      </c>
      <c r="C374" s="144"/>
      <c r="D374" s="145" t="s">
        <v>485</v>
      </c>
      <c r="E374" s="146">
        <v>44121</v>
      </c>
      <c r="F374" s="146"/>
      <c r="G374" s="147" t="s">
        <v>193</v>
      </c>
      <c r="H374" s="147" t="s">
        <v>177</v>
      </c>
      <c r="I374" s="150">
        <v>4200479</v>
      </c>
      <c r="J374" s="144"/>
      <c r="K374" s="1791"/>
    </row>
    <row r="375">
      <c r="B375" s="144">
        <f t="shared" si="7"/>
        <v>18</v>
      </c>
      <c r="C375" s="144"/>
      <c r="D375" s="145" t="s">
        <v>415</v>
      </c>
      <c r="E375" s="146">
        <v>44135</v>
      </c>
      <c r="F375" s="146"/>
      <c r="G375" s="147" t="s">
        <v>47</v>
      </c>
      <c r="H375" s="147" t="s">
        <v>48</v>
      </c>
      <c r="I375" s="150">
        <v>2895502</v>
      </c>
      <c r="J375" s="144" t="s">
        <v>486</v>
      </c>
      <c r="K375" s="1791"/>
    </row>
    <row r="376">
      <c r="B376" s="144">
        <f t="shared" si="7"/>
        <v>19</v>
      </c>
      <c r="C376" s="144"/>
      <c r="D376" s="145" t="s">
        <v>487</v>
      </c>
      <c r="E376" s="146"/>
      <c r="F376" s="146"/>
      <c r="G376" s="147" t="s">
        <v>47</v>
      </c>
      <c r="H376" s="147" t="s">
        <v>177</v>
      </c>
      <c r="I376" s="150">
        <v>2895502</v>
      </c>
      <c r="J376" s="144"/>
      <c r="K376" s="1791"/>
    </row>
    <row r="377">
      <c r="B377" s="144">
        <f t="shared" si="7"/>
        <v>20</v>
      </c>
      <c r="C377" s="144"/>
      <c r="D377" s="145" t="s">
        <v>370</v>
      </c>
      <c r="E377" s="146"/>
      <c r="F377" s="146">
        <v>44120</v>
      </c>
      <c r="G377" s="147" t="s">
        <v>364</v>
      </c>
      <c r="H377" s="147" t="s">
        <v>87</v>
      </c>
      <c r="I377" s="150">
        <v>2004000</v>
      </c>
      <c r="J377" s="144"/>
      <c r="K377" s="1791"/>
    </row>
    <row r="378">
      <c r="B378" s="144">
        <f t="shared" si="7"/>
        <v>21</v>
      </c>
      <c r="C378" s="144"/>
      <c r="D378" s="145" t="s">
        <v>371</v>
      </c>
      <c r="E378" s="146"/>
      <c r="F378" s="146">
        <v>44119</v>
      </c>
      <c r="G378" s="147" t="s">
        <v>364</v>
      </c>
      <c r="H378" s="147" t="s">
        <v>87</v>
      </c>
      <c r="I378" s="150">
        <v>2004000</v>
      </c>
      <c r="J378" s="144"/>
      <c r="K378" s="1791"/>
    </row>
    <row r="379">
      <c r="B379" s="144">
        <f t="shared" si="7"/>
        <v>22</v>
      </c>
      <c r="C379" s="144"/>
      <c r="D379" s="145" t="s">
        <v>373</v>
      </c>
      <c r="E379" s="146"/>
      <c r="F379" s="146">
        <v>44134</v>
      </c>
      <c r="G379" s="147" t="s">
        <v>328</v>
      </c>
      <c r="H379" s="147" t="s">
        <v>87</v>
      </c>
      <c r="I379" s="150">
        <v>1956200</v>
      </c>
      <c r="J379" s="144"/>
      <c r="K379" s="1791"/>
    </row>
    <row r="380">
      <c r="B380" s="144">
        <f t="shared" si="7"/>
        <v>23</v>
      </c>
      <c r="C380" s="144"/>
      <c r="D380" s="145" t="s">
        <v>488</v>
      </c>
      <c r="E380" s="146">
        <v>44135</v>
      </c>
      <c r="F380" s="146"/>
      <c r="G380" s="147" t="s">
        <v>328</v>
      </c>
      <c r="H380" s="147" t="s">
        <v>87</v>
      </c>
      <c r="I380" s="150">
        <v>1956200</v>
      </c>
      <c r="J380" s="144"/>
      <c r="K380" s="1791"/>
    </row>
    <row r="381">
      <c r="B381" s="144">
        <f t="shared" si="7"/>
        <v>24</v>
      </c>
      <c r="C381" s="144"/>
      <c r="D381" s="145" t="s">
        <v>489</v>
      </c>
      <c r="E381" s="146">
        <v>44136</v>
      </c>
      <c r="F381" s="146"/>
      <c r="G381" s="147" t="s">
        <v>176</v>
      </c>
      <c r="H381" s="147" t="s">
        <v>177</v>
      </c>
      <c r="I381" s="150">
        <v>2715000</v>
      </c>
      <c r="J381" s="144"/>
      <c r="K381" s="1791"/>
    </row>
    <row r="382">
      <c r="B382" s="144">
        <f t="shared" si="7"/>
        <v>25</v>
      </c>
      <c r="C382" s="144"/>
      <c r="D382" s="145" t="s">
        <v>490</v>
      </c>
      <c r="E382" s="146">
        <v>44138</v>
      </c>
      <c r="F382" s="146"/>
      <c r="G382" s="147" t="s">
        <v>312</v>
      </c>
      <c r="H382" s="147" t="s">
        <v>87</v>
      </c>
      <c r="I382" s="150">
        <v>2654095</v>
      </c>
      <c r="J382" s="144"/>
      <c r="K382" s="1791"/>
    </row>
    <row r="383">
      <c r="B383" s="144">
        <f t="shared" si="7"/>
        <v>26</v>
      </c>
      <c r="C383" s="144"/>
      <c r="D383" s="145" t="s">
        <v>491</v>
      </c>
      <c r="E383" s="146">
        <v>44138</v>
      </c>
      <c r="F383" s="146"/>
      <c r="G383" s="147" t="s">
        <v>381</v>
      </c>
      <c r="H383" s="147" t="s">
        <v>87</v>
      </c>
      <c r="I383" s="150">
        <v>2335662</v>
      </c>
      <c r="J383" s="144"/>
      <c r="K383" s="1791"/>
    </row>
    <row r="384">
      <c r="B384" s="133"/>
      <c r="C384" s="133"/>
      <c r="D384" s="134"/>
      <c r="E384" s="135"/>
      <c r="F384" s="135"/>
      <c r="G384" s="136"/>
      <c r="H384" s="136"/>
      <c r="I384" s="137"/>
      <c r="J384" s="133"/>
      <c r="K384" s="140"/>
    </row>
    <row r="385" ht="11.25" customHeight="1">
      <c r="B385" s="144"/>
      <c r="C385" s="144"/>
      <c r="D385" s="145" t="s">
        <v>192</v>
      </c>
      <c r="E385" s="146">
        <v>44157</v>
      </c>
      <c r="F385" s="146"/>
      <c r="G385" s="147" t="s">
        <v>193</v>
      </c>
      <c r="H385" s="147" t="s">
        <v>177</v>
      </c>
      <c r="I385" s="150">
        <v>4200479</v>
      </c>
      <c r="J385" s="144"/>
      <c r="K385" s="1791" t="s">
        <v>492</v>
      </c>
    </row>
    <row r="386">
      <c r="B386" s="144"/>
      <c r="C386" s="144"/>
      <c r="D386" s="145" t="s">
        <v>493</v>
      </c>
      <c r="E386" s="146">
        <v>44165</v>
      </c>
      <c r="F386" s="146"/>
      <c r="G386" s="147" t="s">
        <v>193</v>
      </c>
      <c r="H386" s="147" t="s">
        <v>177</v>
      </c>
      <c r="I386" s="150">
        <v>4200479</v>
      </c>
      <c r="J386" s="144"/>
      <c r="K386" s="1791"/>
    </row>
    <row r="387">
      <c r="B387" s="144"/>
      <c r="C387" s="144"/>
      <c r="D387" s="145" t="s">
        <v>494</v>
      </c>
      <c r="E387" s="146">
        <v>44166</v>
      </c>
      <c r="F387" s="146"/>
      <c r="G387" s="147" t="s">
        <v>193</v>
      </c>
      <c r="H387" s="147" t="s">
        <v>177</v>
      </c>
      <c r="I387" s="150">
        <v>4200479</v>
      </c>
      <c r="J387" s="144"/>
      <c r="K387" s="1791"/>
    </row>
    <row r="388">
      <c r="B388" s="144"/>
      <c r="C388" s="144"/>
      <c r="D388" s="145" t="s">
        <v>495</v>
      </c>
      <c r="E388" s="146">
        <v>44166</v>
      </c>
      <c r="F388" s="146"/>
      <c r="G388" s="147" t="s">
        <v>193</v>
      </c>
      <c r="H388" s="147" t="s">
        <v>177</v>
      </c>
      <c r="I388" s="150">
        <v>4200479</v>
      </c>
      <c r="J388" s="144"/>
      <c r="K388" s="1791"/>
    </row>
    <row r="389">
      <c r="B389" s="144"/>
      <c r="C389" s="144"/>
      <c r="D389" s="145" t="s">
        <v>496</v>
      </c>
      <c r="E389" s="146">
        <v>44170</v>
      </c>
      <c r="F389" s="146"/>
      <c r="G389" s="147" t="s">
        <v>193</v>
      </c>
      <c r="H389" s="147" t="s">
        <v>177</v>
      </c>
      <c r="I389" s="150">
        <v>4200479</v>
      </c>
      <c r="J389" s="144"/>
      <c r="K389" s="1791"/>
    </row>
    <row r="390">
      <c r="B390" s="144"/>
      <c r="C390" s="144"/>
      <c r="D390" s="145" t="s">
        <v>497</v>
      </c>
      <c r="E390" s="146">
        <v>44170</v>
      </c>
      <c r="F390" s="146"/>
      <c r="G390" s="147" t="s">
        <v>193</v>
      </c>
      <c r="H390" s="147" t="s">
        <v>177</v>
      </c>
      <c r="I390" s="150">
        <v>4200479</v>
      </c>
      <c r="J390" s="144"/>
      <c r="K390" s="1791"/>
    </row>
    <row r="391">
      <c r="B391" s="144"/>
      <c r="C391" s="144"/>
      <c r="D391" s="145" t="s">
        <v>498</v>
      </c>
      <c r="E391" s="146">
        <v>44170</v>
      </c>
      <c r="F391" s="146"/>
      <c r="G391" s="147" t="s">
        <v>193</v>
      </c>
      <c r="H391" s="147" t="s">
        <v>177</v>
      </c>
      <c r="I391" s="150">
        <v>4200479</v>
      </c>
      <c r="J391" s="144"/>
      <c r="K391" s="1791"/>
    </row>
    <row r="392">
      <c r="B392" s="144"/>
      <c r="C392" s="144"/>
      <c r="D392" s="145" t="s">
        <v>499</v>
      </c>
      <c r="E392" s="146">
        <v>44170</v>
      </c>
      <c r="F392" s="146"/>
      <c r="G392" s="147" t="s">
        <v>193</v>
      </c>
      <c r="H392" s="147" t="s">
        <v>177</v>
      </c>
      <c r="I392" s="150">
        <v>4200479</v>
      </c>
      <c r="J392" s="144"/>
      <c r="K392" s="1791"/>
    </row>
    <row r="393">
      <c r="B393" s="144"/>
      <c r="C393" s="144"/>
      <c r="D393" s="145" t="s">
        <v>484</v>
      </c>
      <c r="E393" s="146"/>
      <c r="F393" s="146">
        <v>44145</v>
      </c>
      <c r="G393" s="147" t="s">
        <v>193</v>
      </c>
      <c r="H393" s="147" t="s">
        <v>177</v>
      </c>
      <c r="I393" s="150">
        <v>4200479</v>
      </c>
      <c r="J393" s="144"/>
      <c r="K393" s="1791"/>
    </row>
    <row r="394">
      <c r="B394" s="144"/>
      <c r="C394" s="144"/>
      <c r="D394" s="145" t="s">
        <v>195</v>
      </c>
      <c r="E394" s="146"/>
      <c r="F394" s="146">
        <v>44156</v>
      </c>
      <c r="G394" s="147" t="s">
        <v>193</v>
      </c>
      <c r="H394" s="147" t="s">
        <v>177</v>
      </c>
      <c r="I394" s="150">
        <v>4200479</v>
      </c>
      <c r="J394" s="144"/>
      <c r="K394" s="1791"/>
    </row>
    <row r="395">
      <c r="B395" s="144"/>
      <c r="C395" s="144"/>
      <c r="D395" s="145" t="s">
        <v>500</v>
      </c>
      <c r="E395" s="146"/>
      <c r="F395" s="146">
        <v>44161</v>
      </c>
      <c r="G395" s="147" t="s">
        <v>193</v>
      </c>
      <c r="H395" s="147" t="s">
        <v>177</v>
      </c>
      <c r="I395" s="150">
        <v>4200479</v>
      </c>
      <c r="J395" s="144"/>
      <c r="K395" s="1791"/>
    </row>
    <row r="396">
      <c r="B396" s="144"/>
      <c r="C396" s="144"/>
      <c r="D396" s="145" t="s">
        <v>223</v>
      </c>
      <c r="E396" s="146"/>
      <c r="F396" s="146">
        <v>44161</v>
      </c>
      <c r="G396" s="147" t="s">
        <v>193</v>
      </c>
      <c r="H396" s="147" t="s">
        <v>177</v>
      </c>
      <c r="I396" s="150">
        <v>4200479</v>
      </c>
      <c r="J396" s="144"/>
      <c r="K396" s="1791"/>
    </row>
    <row r="397">
      <c r="B397" s="144"/>
      <c r="C397" s="144"/>
      <c r="D397" s="145" t="s">
        <v>501</v>
      </c>
      <c r="E397" s="146"/>
      <c r="F397" s="146">
        <v>44161</v>
      </c>
      <c r="G397" s="147" t="s">
        <v>193</v>
      </c>
      <c r="H397" s="147" t="s">
        <v>177</v>
      </c>
      <c r="I397" s="150">
        <v>4200479</v>
      </c>
      <c r="J397" s="144"/>
      <c r="K397" s="1791"/>
    </row>
    <row r="398">
      <c r="B398" s="144"/>
      <c r="C398" s="144"/>
      <c r="D398" s="145" t="s">
        <v>502</v>
      </c>
      <c r="E398" s="146">
        <v>44153</v>
      </c>
      <c r="F398" s="146"/>
      <c r="G398" s="147" t="s">
        <v>176</v>
      </c>
      <c r="H398" s="147" t="s">
        <v>177</v>
      </c>
      <c r="I398" s="150">
        <v>2715000</v>
      </c>
      <c r="J398" s="144"/>
      <c r="K398" s="1791"/>
    </row>
    <row r="399">
      <c r="B399" s="144"/>
      <c r="C399" s="144"/>
      <c r="D399" s="145" t="s">
        <v>503</v>
      </c>
      <c r="E399" s="146">
        <v>44152</v>
      </c>
      <c r="F399" s="146"/>
      <c r="G399" s="147" t="s">
        <v>504</v>
      </c>
      <c r="H399" s="147" t="s">
        <v>177</v>
      </c>
      <c r="I399" s="150">
        <v>2004000</v>
      </c>
      <c r="J399" s="144"/>
      <c r="K399" s="1791"/>
    </row>
    <row r="400">
      <c r="B400" s="144"/>
      <c r="C400" s="144"/>
      <c r="D400" s="145" t="s">
        <v>505</v>
      </c>
      <c r="E400" s="146">
        <v>44158</v>
      </c>
      <c r="F400" s="146"/>
      <c r="G400" s="147" t="s">
        <v>504</v>
      </c>
      <c r="H400" s="147" t="s">
        <v>177</v>
      </c>
      <c r="I400" s="150">
        <v>2004000</v>
      </c>
      <c r="J400" s="144"/>
      <c r="K400" s="1791"/>
    </row>
    <row r="401">
      <c r="B401" s="144"/>
      <c r="C401" s="144"/>
      <c r="D401" s="145" t="s">
        <v>506</v>
      </c>
      <c r="E401" s="146"/>
      <c r="F401" s="146">
        <v>44149</v>
      </c>
      <c r="G401" s="147" t="s">
        <v>504</v>
      </c>
      <c r="H401" s="147" t="s">
        <v>177</v>
      </c>
      <c r="I401" s="150">
        <v>2004000</v>
      </c>
      <c r="J401" s="144"/>
      <c r="K401" s="1791"/>
    </row>
    <row r="402">
      <c r="B402" s="144"/>
      <c r="C402" s="144"/>
      <c r="D402" s="145" t="s">
        <v>507</v>
      </c>
      <c r="E402" s="146">
        <v>44166</v>
      </c>
      <c r="F402" s="146">
        <v>44169</v>
      </c>
      <c r="G402" s="147" t="s">
        <v>328</v>
      </c>
      <c r="H402" s="147" t="s">
        <v>177</v>
      </c>
      <c r="I402" s="150">
        <v>1956200</v>
      </c>
      <c r="J402" s="144"/>
      <c r="K402" s="1791"/>
    </row>
    <row r="403">
      <c r="B403" s="144"/>
      <c r="C403" s="144"/>
      <c r="D403" s="145" t="s">
        <v>329</v>
      </c>
      <c r="E403" s="146"/>
      <c r="F403" s="146">
        <v>44165</v>
      </c>
      <c r="G403" s="147" t="s">
        <v>328</v>
      </c>
      <c r="H403" s="147" t="s">
        <v>177</v>
      </c>
      <c r="I403" s="150">
        <v>1956200</v>
      </c>
      <c r="J403" s="144"/>
      <c r="K403" s="1791"/>
    </row>
    <row r="404">
      <c r="B404" s="144"/>
      <c r="C404" s="144"/>
      <c r="D404" s="145" t="s">
        <v>372</v>
      </c>
      <c r="E404" s="146"/>
      <c r="F404" s="146">
        <v>44165</v>
      </c>
      <c r="G404" s="147" t="s">
        <v>328</v>
      </c>
      <c r="H404" s="147" t="s">
        <v>177</v>
      </c>
      <c r="I404" s="150">
        <v>1956200</v>
      </c>
      <c r="J404" s="144"/>
      <c r="K404" s="1791"/>
    </row>
    <row r="405">
      <c r="B405" s="144"/>
      <c r="C405" s="144"/>
      <c r="D405" s="145" t="s">
        <v>403</v>
      </c>
      <c r="E405" s="146"/>
      <c r="F405" s="146">
        <v>44165</v>
      </c>
      <c r="G405" s="147" t="s">
        <v>328</v>
      </c>
      <c r="H405" s="147" t="s">
        <v>177</v>
      </c>
      <c r="I405" s="150">
        <v>1956200</v>
      </c>
      <c r="J405" s="144"/>
      <c r="K405" s="1791"/>
    </row>
    <row r="406">
      <c r="B406" s="144"/>
      <c r="C406" s="144"/>
      <c r="D406" s="145" t="s">
        <v>508</v>
      </c>
      <c r="E406" s="146"/>
      <c r="F406" s="146">
        <v>44141</v>
      </c>
      <c r="G406" s="147" t="s">
        <v>509</v>
      </c>
      <c r="H406" s="147" t="s">
        <v>177</v>
      </c>
      <c r="I406" s="150">
        <v>2503265</v>
      </c>
      <c r="J406" s="144"/>
      <c r="K406" s="1791"/>
    </row>
    <row r="407">
      <c r="B407" s="144"/>
      <c r="C407" s="144"/>
      <c r="D407" s="145" t="s">
        <v>510</v>
      </c>
      <c r="E407" s="146">
        <v>44157</v>
      </c>
      <c r="F407" s="146"/>
      <c r="G407" s="147" t="s">
        <v>47</v>
      </c>
      <c r="H407" s="147" t="s">
        <v>177</v>
      </c>
      <c r="I407" s="150">
        <v>2895502</v>
      </c>
      <c r="J407" s="144"/>
      <c r="K407" s="1791"/>
    </row>
    <row r="408">
      <c r="B408" s="144"/>
      <c r="C408" s="144"/>
      <c r="D408" s="145" t="s">
        <v>511</v>
      </c>
      <c r="E408" s="146">
        <v>44160</v>
      </c>
      <c r="F408" s="146"/>
      <c r="G408" s="147" t="s">
        <v>47</v>
      </c>
      <c r="H408" s="147" t="s">
        <v>177</v>
      </c>
      <c r="I408" s="150">
        <v>2895502</v>
      </c>
      <c r="J408" s="144"/>
      <c r="K408" s="1791"/>
    </row>
    <row r="409">
      <c r="B409" s="144"/>
      <c r="C409" s="144"/>
      <c r="D409" s="145" t="s">
        <v>469</v>
      </c>
      <c r="E409" s="146"/>
      <c r="F409" s="146">
        <v>44146</v>
      </c>
      <c r="G409" s="147" t="s">
        <v>27</v>
      </c>
      <c r="H409" s="147" t="s">
        <v>87</v>
      </c>
      <c r="I409" s="150">
        <v>2335662</v>
      </c>
      <c r="J409" s="144"/>
      <c r="K409" s="1791"/>
    </row>
    <row r="410">
      <c r="B410" s="144">
        <v>27</v>
      </c>
      <c r="C410" s="144"/>
      <c r="D410" s="145" t="s">
        <v>166</v>
      </c>
      <c r="E410" s="146"/>
      <c r="F410" s="146">
        <v>44146</v>
      </c>
      <c r="G410" s="147" t="s">
        <v>47</v>
      </c>
      <c r="H410" s="147" t="s">
        <v>48</v>
      </c>
      <c r="I410" s="150">
        <v>2895502</v>
      </c>
      <c r="J410" s="144"/>
      <c r="K410" s="1791"/>
    </row>
    <row r="411">
      <c r="B411" s="144"/>
      <c r="C411" s="144"/>
      <c r="D411" s="145" t="s">
        <v>512</v>
      </c>
      <c r="E411" s="146"/>
      <c r="F411" s="146">
        <v>37560</v>
      </c>
      <c r="G411" s="147" t="s">
        <v>47</v>
      </c>
      <c r="H411" s="147" t="s">
        <v>48</v>
      </c>
      <c r="I411" s="150">
        <v>2895502</v>
      </c>
      <c r="J411" s="144"/>
      <c r="K411" s="1791"/>
    </row>
    <row r="412">
      <c r="B412" s="144"/>
      <c r="C412" s="144"/>
      <c r="D412" s="145" t="s">
        <v>174</v>
      </c>
      <c r="E412" s="146"/>
      <c r="F412" s="146">
        <v>44142</v>
      </c>
      <c r="G412" s="147" t="s">
        <v>364</v>
      </c>
      <c r="H412" s="147" t="s">
        <v>177</v>
      </c>
      <c r="I412" s="150">
        <v>2004000</v>
      </c>
      <c r="J412" s="144"/>
      <c r="K412" s="1791"/>
    </row>
    <row r="413">
      <c r="B413" s="144"/>
      <c r="C413" s="144"/>
      <c r="D413" s="145" t="s">
        <v>503</v>
      </c>
      <c r="E413" s="146">
        <v>44152</v>
      </c>
      <c r="F413" s="146"/>
      <c r="G413" s="147" t="s">
        <v>364</v>
      </c>
      <c r="H413" s="147" t="s">
        <v>177</v>
      </c>
      <c r="I413" s="150">
        <v>2004000</v>
      </c>
      <c r="J413" s="144"/>
      <c r="K413" s="1791"/>
    </row>
    <row r="414">
      <c r="B414" s="144"/>
      <c r="C414" s="144"/>
      <c r="D414" s="145" t="s">
        <v>505</v>
      </c>
      <c r="E414" s="146">
        <v>44158</v>
      </c>
      <c r="F414" s="146"/>
      <c r="G414" s="147" t="s">
        <v>364</v>
      </c>
      <c r="H414" s="147" t="s">
        <v>177</v>
      </c>
      <c r="I414" s="150">
        <v>2004000</v>
      </c>
      <c r="J414" s="144"/>
      <c r="K414" s="1791"/>
    </row>
    <row r="415">
      <c r="B415" s="144"/>
      <c r="C415" s="144"/>
      <c r="D415" s="145" t="s">
        <v>513</v>
      </c>
      <c r="E415" s="146">
        <v>44166</v>
      </c>
      <c r="F415" s="146"/>
      <c r="G415" s="147" t="s">
        <v>514</v>
      </c>
      <c r="H415" s="147" t="s">
        <v>177</v>
      </c>
      <c r="I415" s="154">
        <v>2158327</v>
      </c>
      <c r="J415" s="144"/>
      <c r="K415" s="1791"/>
    </row>
    <row r="416">
      <c r="B416" s="144"/>
      <c r="C416" s="144"/>
      <c r="D416" s="145" t="s">
        <v>515</v>
      </c>
      <c r="E416" s="146">
        <v>44166</v>
      </c>
      <c r="F416" s="146"/>
      <c r="G416" s="147" t="s">
        <v>514</v>
      </c>
      <c r="H416" s="147" t="s">
        <v>177</v>
      </c>
      <c r="I416" s="154">
        <v>2158327</v>
      </c>
      <c r="J416" s="144"/>
      <c r="K416" s="1791"/>
    </row>
    <row r="417">
      <c r="B417" s="144"/>
      <c r="C417" s="144"/>
      <c r="D417" s="145" t="s">
        <v>516</v>
      </c>
      <c r="E417" s="146">
        <v>44166</v>
      </c>
      <c r="F417" s="146"/>
      <c r="G417" s="147" t="s">
        <v>517</v>
      </c>
      <c r="H417" s="147" t="s">
        <v>177</v>
      </c>
      <c r="I417" s="150">
        <v>2218451.95</v>
      </c>
      <c r="J417" s="144"/>
      <c r="K417" s="1791"/>
    </row>
    <row r="418">
      <c r="B418" s="144"/>
      <c r="C418" s="144"/>
      <c r="D418" s="145" t="s">
        <v>518</v>
      </c>
      <c r="E418" s="146">
        <v>44166</v>
      </c>
      <c r="F418" s="146"/>
      <c r="G418" s="147" t="s">
        <v>517</v>
      </c>
      <c r="H418" s="147" t="s">
        <v>177</v>
      </c>
      <c r="I418" s="150">
        <v>2218451.95</v>
      </c>
      <c r="J418" s="144"/>
      <c r="K418" s="1791"/>
    </row>
    <row r="419">
      <c r="B419" s="144"/>
      <c r="C419" s="144"/>
      <c r="D419" s="145" t="s">
        <v>519</v>
      </c>
      <c r="E419" s="146">
        <v>44161</v>
      </c>
      <c r="F419" s="146"/>
      <c r="G419" s="147" t="s">
        <v>328</v>
      </c>
      <c r="H419" s="147" t="s">
        <v>177</v>
      </c>
      <c r="I419" s="150">
        <v>1956200</v>
      </c>
      <c r="J419" s="144"/>
      <c r="K419" s="1791"/>
    </row>
    <row r="420">
      <c r="B420" s="144"/>
      <c r="C420" s="144"/>
      <c r="D420" s="145" t="s">
        <v>520</v>
      </c>
      <c r="E420" s="146">
        <v>44166</v>
      </c>
      <c r="F420" s="146"/>
      <c r="G420" s="147" t="s">
        <v>328</v>
      </c>
      <c r="H420" s="147" t="s">
        <v>177</v>
      </c>
      <c r="I420" s="150">
        <v>1956200</v>
      </c>
      <c r="J420" s="144"/>
      <c r="K420" s="1791"/>
    </row>
    <row r="421">
      <c r="B421" s="144"/>
      <c r="C421" s="144"/>
      <c r="D421" s="145" t="s">
        <v>521</v>
      </c>
      <c r="E421" s="146">
        <v>44170</v>
      </c>
      <c r="F421" s="146"/>
      <c r="G421" s="147" t="s">
        <v>328</v>
      </c>
      <c r="H421" s="147" t="s">
        <v>177</v>
      </c>
      <c r="I421" s="150">
        <v>1956200</v>
      </c>
      <c r="J421" s="144"/>
      <c r="K421" s="1791"/>
    </row>
    <row r="422">
      <c r="B422" s="144"/>
      <c r="C422" s="144"/>
      <c r="D422" s="145" t="s">
        <v>507</v>
      </c>
      <c r="E422" s="146">
        <v>44166</v>
      </c>
      <c r="F422" s="146">
        <v>44169</v>
      </c>
      <c r="G422" s="147" t="s">
        <v>328</v>
      </c>
      <c r="H422" s="147" t="s">
        <v>177</v>
      </c>
      <c r="I422" s="150">
        <v>1956200</v>
      </c>
      <c r="J422" s="144"/>
      <c r="K422" s="1791"/>
    </row>
    <row r="423">
      <c r="B423" s="144"/>
      <c r="C423" s="144"/>
      <c r="D423" s="145" t="s">
        <v>329</v>
      </c>
      <c r="E423" s="146"/>
      <c r="F423" s="146">
        <v>44165</v>
      </c>
      <c r="G423" s="147" t="s">
        <v>328</v>
      </c>
      <c r="H423" s="147" t="s">
        <v>177</v>
      </c>
      <c r="I423" s="150">
        <v>1956200</v>
      </c>
      <c r="J423" s="144"/>
      <c r="K423" s="1791"/>
    </row>
    <row r="424">
      <c r="B424" s="144"/>
      <c r="C424" s="144"/>
      <c r="D424" s="145" t="s">
        <v>372</v>
      </c>
      <c r="E424" s="146"/>
      <c r="F424" s="146">
        <v>44165</v>
      </c>
      <c r="G424" s="147" t="s">
        <v>328</v>
      </c>
      <c r="H424" s="147" t="s">
        <v>177</v>
      </c>
      <c r="I424" s="150">
        <v>1956200</v>
      </c>
      <c r="J424" s="144"/>
      <c r="K424" s="1791"/>
    </row>
    <row r="425">
      <c r="B425" s="144"/>
      <c r="C425" s="144"/>
      <c r="D425" s="145" t="s">
        <v>403</v>
      </c>
      <c r="E425" s="146"/>
      <c r="F425" s="146">
        <v>44165</v>
      </c>
      <c r="G425" s="147" t="s">
        <v>328</v>
      </c>
      <c r="H425" s="147" t="s">
        <v>177</v>
      </c>
      <c r="I425" s="150">
        <v>1956200</v>
      </c>
      <c r="J425" s="144"/>
      <c r="K425" s="1791"/>
    </row>
    <row r="426">
      <c r="B426" s="144"/>
      <c r="C426" s="144"/>
      <c r="D426" s="145" t="s">
        <v>249</v>
      </c>
      <c r="E426" s="146">
        <v>44158</v>
      </c>
      <c r="F426" s="146"/>
      <c r="G426" s="147" t="s">
        <v>200</v>
      </c>
      <c r="H426" s="147" t="s">
        <v>522</v>
      </c>
      <c r="I426" s="150">
        <v>2770300</v>
      </c>
      <c r="J426" s="144"/>
      <c r="K426" s="1791"/>
    </row>
    <row r="427">
      <c r="B427" s="133"/>
      <c r="C427" s="133"/>
      <c r="D427" s="134"/>
      <c r="E427" s="135"/>
      <c r="F427" s="135"/>
      <c r="G427" s="136"/>
      <c r="H427" s="136"/>
      <c r="I427" s="137"/>
      <c r="J427" s="133"/>
      <c r="K427" s="140"/>
    </row>
    <row r="428" ht="11.25" customHeight="1">
      <c r="B428" s="144"/>
      <c r="C428" s="144" t="s">
        <v>404</v>
      </c>
      <c r="D428" s="145" t="s">
        <v>387</v>
      </c>
      <c r="E428" s="146">
        <v>44102</v>
      </c>
      <c r="F428" s="146"/>
      <c r="G428" s="147" t="s">
        <v>139</v>
      </c>
      <c r="H428" s="147" t="s">
        <v>140</v>
      </c>
      <c r="I428" s="150">
        <v>1802000</v>
      </c>
      <c r="J428" s="144"/>
      <c r="K428" s="1792" t="s">
        <v>492</v>
      </c>
    </row>
    <row r="429">
      <c r="B429" s="144"/>
      <c r="C429" s="144" t="s">
        <v>523</v>
      </c>
      <c r="D429" s="145" t="s">
        <v>280</v>
      </c>
      <c r="E429" s="146">
        <v>44196</v>
      </c>
      <c r="F429" s="146"/>
      <c r="G429" s="147" t="s">
        <v>139</v>
      </c>
      <c r="H429" s="147" t="s">
        <v>140</v>
      </c>
      <c r="I429" s="150">
        <v>1802000</v>
      </c>
      <c r="J429" s="144"/>
      <c r="K429" s="1792"/>
    </row>
    <row r="430">
      <c r="B430" s="144"/>
      <c r="C430" s="144" t="s">
        <v>524</v>
      </c>
      <c r="D430" s="145" t="s">
        <v>525</v>
      </c>
      <c r="E430" s="146">
        <v>44196</v>
      </c>
      <c r="F430" s="146"/>
      <c r="G430" s="147" t="s">
        <v>139</v>
      </c>
      <c r="H430" s="147" t="s">
        <v>140</v>
      </c>
      <c r="I430" s="150">
        <v>1802000</v>
      </c>
      <c r="J430" s="144"/>
      <c r="K430" s="1792"/>
    </row>
    <row r="431">
      <c r="B431" s="144"/>
      <c r="C431" s="144" t="s">
        <v>526</v>
      </c>
      <c r="D431" s="145" t="s">
        <v>527</v>
      </c>
      <c r="E431" s="146">
        <v>44197</v>
      </c>
      <c r="F431" s="146"/>
      <c r="G431" s="147" t="s">
        <v>139</v>
      </c>
      <c r="H431" s="147" t="s">
        <v>140</v>
      </c>
      <c r="I431" s="150">
        <v>1802000</v>
      </c>
      <c r="J431" s="144"/>
      <c r="K431" s="1792"/>
    </row>
    <row r="432">
      <c r="B432" s="144"/>
      <c r="C432" s="144" t="s">
        <v>528</v>
      </c>
      <c r="D432" s="145" t="s">
        <v>529</v>
      </c>
      <c r="E432" s="146">
        <v>44197</v>
      </c>
      <c r="F432" s="146"/>
      <c r="G432" s="147" t="s">
        <v>139</v>
      </c>
      <c r="H432" s="147" t="s">
        <v>140</v>
      </c>
      <c r="I432" s="150">
        <v>1802000</v>
      </c>
      <c r="J432" s="144"/>
      <c r="K432" s="1792"/>
    </row>
    <row r="433">
      <c r="B433" s="144"/>
      <c r="C433" s="144" t="s">
        <v>530</v>
      </c>
      <c r="D433" s="145" t="s">
        <v>114</v>
      </c>
      <c r="E433" s="146">
        <v>44197</v>
      </c>
      <c r="F433" s="146"/>
      <c r="G433" s="147" t="s">
        <v>139</v>
      </c>
      <c r="H433" s="147" t="s">
        <v>140</v>
      </c>
      <c r="I433" s="150">
        <v>1802000</v>
      </c>
      <c r="J433" s="144"/>
      <c r="K433" s="1792"/>
    </row>
    <row r="434">
      <c r="B434" s="144"/>
      <c r="C434" s="144" t="s">
        <v>531</v>
      </c>
      <c r="D434" s="145" t="s">
        <v>532</v>
      </c>
      <c r="E434" s="146">
        <v>44197</v>
      </c>
      <c r="F434" s="146"/>
      <c r="G434" s="147" t="s">
        <v>139</v>
      </c>
      <c r="H434" s="147" t="s">
        <v>140</v>
      </c>
      <c r="I434" s="150">
        <v>1802000</v>
      </c>
      <c r="J434" s="144"/>
      <c r="K434" s="1792"/>
    </row>
    <row r="435">
      <c r="B435" s="144"/>
      <c r="C435" s="144" t="s">
        <v>533</v>
      </c>
      <c r="D435" s="145" t="s">
        <v>534</v>
      </c>
      <c r="E435" s="146">
        <v>44197</v>
      </c>
      <c r="F435" s="146"/>
      <c r="G435" s="147" t="s">
        <v>139</v>
      </c>
      <c r="H435" s="147" t="s">
        <v>140</v>
      </c>
      <c r="I435" s="150">
        <v>1802000</v>
      </c>
      <c r="J435" s="144"/>
      <c r="K435" s="1792"/>
    </row>
    <row r="436">
      <c r="B436" s="144"/>
      <c r="C436" s="144" t="s">
        <v>535</v>
      </c>
      <c r="D436" s="145" t="s">
        <v>536</v>
      </c>
      <c r="E436" s="146">
        <v>44197</v>
      </c>
      <c r="F436" s="146"/>
      <c r="G436" s="147" t="s">
        <v>139</v>
      </c>
      <c r="H436" s="147" t="s">
        <v>140</v>
      </c>
      <c r="I436" s="150">
        <v>1802000</v>
      </c>
      <c r="J436" s="144"/>
      <c r="K436" s="1792"/>
    </row>
    <row r="437">
      <c r="B437" s="144"/>
      <c r="C437" s="144" t="s">
        <v>537</v>
      </c>
      <c r="D437" s="145" t="s">
        <v>538</v>
      </c>
      <c r="E437" s="146">
        <v>44197</v>
      </c>
      <c r="F437" s="146"/>
      <c r="G437" s="147" t="s">
        <v>139</v>
      </c>
      <c r="H437" s="147" t="s">
        <v>140</v>
      </c>
      <c r="I437" s="150">
        <v>1802000</v>
      </c>
      <c r="J437" s="144"/>
      <c r="K437" s="1792"/>
    </row>
    <row r="438">
      <c r="B438" s="144"/>
      <c r="C438" s="144" t="s">
        <v>539</v>
      </c>
      <c r="D438" s="145" t="s">
        <v>540</v>
      </c>
      <c r="E438" s="146">
        <v>44197</v>
      </c>
      <c r="F438" s="146"/>
      <c r="G438" s="147" t="s">
        <v>139</v>
      </c>
      <c r="H438" s="147" t="s">
        <v>140</v>
      </c>
      <c r="I438" s="150">
        <v>1802000</v>
      </c>
      <c r="J438" s="144"/>
      <c r="K438" s="1792"/>
    </row>
    <row r="439">
      <c r="B439" s="144"/>
      <c r="C439" s="144" t="s">
        <v>541</v>
      </c>
      <c r="D439" s="145" t="s">
        <v>542</v>
      </c>
      <c r="E439" s="146">
        <v>44197</v>
      </c>
      <c r="F439" s="146"/>
      <c r="G439" s="147" t="s">
        <v>139</v>
      </c>
      <c r="H439" s="147" t="s">
        <v>140</v>
      </c>
      <c r="I439" s="150">
        <v>1802000</v>
      </c>
      <c r="J439" s="144"/>
      <c r="K439" s="1792"/>
    </row>
    <row r="440">
      <c r="B440" s="144"/>
      <c r="C440" s="144" t="s">
        <v>543</v>
      </c>
      <c r="D440" s="145" t="s">
        <v>544</v>
      </c>
      <c r="E440" s="146">
        <v>44197</v>
      </c>
      <c r="F440" s="146"/>
      <c r="G440" s="147" t="s">
        <v>139</v>
      </c>
      <c r="H440" s="147" t="s">
        <v>140</v>
      </c>
      <c r="I440" s="150">
        <v>1802000</v>
      </c>
      <c r="J440" s="144"/>
      <c r="K440" s="1792"/>
    </row>
    <row r="441">
      <c r="B441" s="144"/>
      <c r="C441" s="144" t="s">
        <v>545</v>
      </c>
      <c r="D441" s="145" t="s">
        <v>546</v>
      </c>
      <c r="E441" s="146">
        <v>44197</v>
      </c>
      <c r="F441" s="146"/>
      <c r="G441" s="147" t="s">
        <v>139</v>
      </c>
      <c r="H441" s="147" t="s">
        <v>140</v>
      </c>
      <c r="I441" s="150">
        <v>1802000</v>
      </c>
      <c r="J441" s="144"/>
      <c r="K441" s="1792"/>
    </row>
    <row r="442">
      <c r="B442" s="144"/>
      <c r="C442" s="144" t="s">
        <v>547</v>
      </c>
      <c r="D442" s="145" t="s">
        <v>548</v>
      </c>
      <c r="E442" s="146">
        <v>44197</v>
      </c>
      <c r="F442" s="146"/>
      <c r="G442" s="147" t="s">
        <v>139</v>
      </c>
      <c r="H442" s="147" t="s">
        <v>140</v>
      </c>
      <c r="I442" s="150">
        <v>1802000</v>
      </c>
      <c r="J442" s="144"/>
      <c r="K442" s="1792"/>
    </row>
    <row r="443">
      <c r="B443" s="144"/>
      <c r="C443" s="144" t="s">
        <v>549</v>
      </c>
      <c r="D443" s="145" t="s">
        <v>550</v>
      </c>
      <c r="E443" s="146">
        <v>44200</v>
      </c>
      <c r="F443" s="146"/>
      <c r="G443" s="147" t="s">
        <v>139</v>
      </c>
      <c r="H443" s="147" t="s">
        <v>140</v>
      </c>
      <c r="I443" s="150">
        <v>1802000</v>
      </c>
      <c r="J443" s="144"/>
      <c r="K443" s="1792"/>
    </row>
    <row r="444">
      <c r="B444" s="144"/>
      <c r="C444" s="144" t="s">
        <v>551</v>
      </c>
      <c r="D444" s="145" t="s">
        <v>552</v>
      </c>
      <c r="E444" s="146"/>
      <c r="F444" s="146">
        <v>44561</v>
      </c>
      <c r="G444" s="147" t="s">
        <v>139</v>
      </c>
      <c r="H444" s="147" t="s">
        <v>140</v>
      </c>
      <c r="I444" s="150">
        <v>1802000</v>
      </c>
      <c r="J444" s="144"/>
      <c r="K444" s="1792"/>
    </row>
    <row r="445">
      <c r="B445" s="144"/>
      <c r="C445" s="144" t="s">
        <v>553</v>
      </c>
      <c r="D445" s="145" t="s">
        <v>216</v>
      </c>
      <c r="E445" s="146"/>
      <c r="F445" s="146">
        <v>44195</v>
      </c>
      <c r="G445" s="147" t="s">
        <v>139</v>
      </c>
      <c r="H445" s="147" t="s">
        <v>140</v>
      </c>
      <c r="I445" s="150">
        <v>1802000</v>
      </c>
      <c r="J445" s="144"/>
      <c r="K445" s="1792"/>
    </row>
    <row r="446">
      <c r="B446" s="144"/>
      <c r="C446" s="144" t="s">
        <v>554</v>
      </c>
      <c r="D446" s="145" t="s">
        <v>288</v>
      </c>
      <c r="E446" s="146"/>
      <c r="F446" s="146">
        <v>44196</v>
      </c>
      <c r="G446" s="147" t="s">
        <v>139</v>
      </c>
      <c r="H446" s="147" t="s">
        <v>140</v>
      </c>
      <c r="I446" s="150">
        <v>1802000</v>
      </c>
      <c r="J446" s="144"/>
      <c r="K446" s="1792"/>
    </row>
    <row r="447">
      <c r="B447" s="144"/>
      <c r="C447" s="144" t="s">
        <v>555</v>
      </c>
      <c r="D447" s="145" t="s">
        <v>556</v>
      </c>
      <c r="E447" s="146"/>
      <c r="F447" s="146">
        <v>44196</v>
      </c>
      <c r="G447" s="147" t="s">
        <v>139</v>
      </c>
      <c r="H447" s="147" t="s">
        <v>140</v>
      </c>
      <c r="I447" s="150">
        <v>1802000</v>
      </c>
      <c r="J447" s="144"/>
      <c r="K447" s="1792"/>
    </row>
    <row r="448">
      <c r="B448" s="144"/>
      <c r="C448" s="144" t="s">
        <v>557</v>
      </c>
      <c r="D448" s="145" t="s">
        <v>558</v>
      </c>
      <c r="E448" s="146">
        <v>44195</v>
      </c>
      <c r="F448" s="146"/>
      <c r="G448" s="147" t="s">
        <v>193</v>
      </c>
      <c r="H448" s="147" t="s">
        <v>177</v>
      </c>
      <c r="I448" s="150">
        <v>4200479</v>
      </c>
      <c r="J448" s="144"/>
      <c r="K448" s="1792"/>
    </row>
    <row r="449">
      <c r="B449" s="144"/>
      <c r="C449" s="144" t="s">
        <v>559</v>
      </c>
      <c r="D449" s="145" t="s">
        <v>560</v>
      </c>
      <c r="E449" s="146">
        <v>44181</v>
      </c>
      <c r="F449" s="146"/>
      <c r="G449" s="147" t="s">
        <v>193</v>
      </c>
      <c r="H449" s="147" t="s">
        <v>177</v>
      </c>
      <c r="I449" s="150">
        <v>4200479</v>
      </c>
      <c r="J449" s="144"/>
      <c r="K449" s="1792"/>
    </row>
    <row r="450">
      <c r="B450" s="144"/>
      <c r="C450" s="144" t="s">
        <v>561</v>
      </c>
      <c r="D450" s="145" t="s">
        <v>562</v>
      </c>
      <c r="E450" s="146">
        <v>44181</v>
      </c>
      <c r="F450" s="146"/>
      <c r="G450" s="147" t="s">
        <v>193</v>
      </c>
      <c r="H450" s="147" t="s">
        <v>177</v>
      </c>
      <c r="I450" s="150">
        <v>4200479</v>
      </c>
      <c r="J450" s="144"/>
      <c r="K450" s="1792"/>
    </row>
    <row r="451">
      <c r="B451" s="144"/>
      <c r="C451" s="144" t="s">
        <v>563</v>
      </c>
      <c r="D451" s="145" t="s">
        <v>564</v>
      </c>
      <c r="E451" s="146">
        <v>44181</v>
      </c>
      <c r="F451" s="146"/>
      <c r="G451" s="147" t="s">
        <v>193</v>
      </c>
      <c r="H451" s="147" t="s">
        <v>177</v>
      </c>
      <c r="I451" s="150">
        <v>4200479</v>
      </c>
      <c r="J451" s="144"/>
      <c r="K451" s="1792"/>
    </row>
    <row r="452">
      <c r="B452" s="144"/>
      <c r="C452" s="144" t="s">
        <v>565</v>
      </c>
      <c r="D452" s="145" t="s">
        <v>566</v>
      </c>
      <c r="E452" s="146">
        <v>44181</v>
      </c>
      <c r="F452" s="146"/>
      <c r="G452" s="147" t="s">
        <v>193</v>
      </c>
      <c r="H452" s="147" t="s">
        <v>177</v>
      </c>
      <c r="I452" s="150">
        <v>4200479</v>
      </c>
      <c r="J452" s="144"/>
      <c r="K452" s="1792"/>
    </row>
    <row r="453">
      <c r="B453" s="144"/>
      <c r="C453" s="144" t="s">
        <v>567</v>
      </c>
      <c r="D453" s="145" t="s">
        <v>568</v>
      </c>
      <c r="E453" s="146">
        <v>44181</v>
      </c>
      <c r="F453" s="146"/>
      <c r="G453" s="147" t="s">
        <v>193</v>
      </c>
      <c r="H453" s="147" t="s">
        <v>177</v>
      </c>
      <c r="I453" s="150">
        <v>4200479</v>
      </c>
      <c r="J453" s="144"/>
      <c r="K453" s="1792"/>
    </row>
    <row r="454">
      <c r="B454" s="144"/>
      <c r="C454" s="144" t="s">
        <v>569</v>
      </c>
      <c r="D454" s="145" t="s">
        <v>570</v>
      </c>
      <c r="E454" s="146">
        <v>44181</v>
      </c>
      <c r="F454" s="146"/>
      <c r="G454" s="147" t="s">
        <v>193</v>
      </c>
      <c r="H454" s="147" t="s">
        <v>177</v>
      </c>
      <c r="I454" s="150">
        <v>4200479</v>
      </c>
      <c r="J454" s="144"/>
      <c r="K454" s="1792"/>
    </row>
    <row r="455">
      <c r="B455" s="144"/>
      <c r="C455" s="144" t="s">
        <v>571</v>
      </c>
      <c r="D455" s="145" t="s">
        <v>572</v>
      </c>
      <c r="E455" s="146">
        <v>44181</v>
      </c>
      <c r="F455" s="146"/>
      <c r="G455" s="147" t="s">
        <v>193</v>
      </c>
      <c r="H455" s="147" t="s">
        <v>177</v>
      </c>
      <c r="I455" s="150">
        <v>4200479</v>
      </c>
      <c r="J455" s="144"/>
      <c r="K455" s="1792"/>
    </row>
    <row r="456">
      <c r="B456" s="144"/>
      <c r="C456" s="144" t="s">
        <v>573</v>
      </c>
      <c r="D456" s="145" t="s">
        <v>574</v>
      </c>
      <c r="E456" s="146">
        <v>44181</v>
      </c>
      <c r="F456" s="146"/>
      <c r="G456" s="147" t="s">
        <v>193</v>
      </c>
      <c r="H456" s="147" t="s">
        <v>177</v>
      </c>
      <c r="I456" s="150">
        <v>4200479</v>
      </c>
      <c r="J456" s="144"/>
      <c r="K456" s="1792"/>
    </row>
    <row r="457">
      <c r="B457" s="144"/>
      <c r="C457" s="144" t="s">
        <v>575</v>
      </c>
      <c r="D457" s="145" t="s">
        <v>576</v>
      </c>
      <c r="E457" s="146">
        <v>44181</v>
      </c>
      <c r="F457" s="146"/>
      <c r="G457" s="147" t="s">
        <v>193</v>
      </c>
      <c r="H457" s="147" t="s">
        <v>177</v>
      </c>
      <c r="I457" s="150">
        <v>4200479</v>
      </c>
      <c r="J457" s="144"/>
      <c r="K457" s="1792"/>
    </row>
    <row r="458">
      <c r="B458" s="144"/>
      <c r="C458" s="144" t="s">
        <v>577</v>
      </c>
      <c r="D458" s="145" t="s">
        <v>578</v>
      </c>
      <c r="E458" s="146">
        <v>44181</v>
      </c>
      <c r="F458" s="146"/>
      <c r="G458" s="147" t="s">
        <v>193</v>
      </c>
      <c r="H458" s="147" t="s">
        <v>177</v>
      </c>
      <c r="I458" s="150">
        <v>4200479</v>
      </c>
      <c r="J458" s="144"/>
      <c r="K458" s="1792"/>
    </row>
    <row r="459">
      <c r="B459" s="144"/>
      <c r="C459" s="144" t="s">
        <v>579</v>
      </c>
      <c r="D459" s="145" t="s">
        <v>580</v>
      </c>
      <c r="E459" s="146">
        <v>44181</v>
      </c>
      <c r="F459" s="146"/>
      <c r="G459" s="147" t="s">
        <v>193</v>
      </c>
      <c r="H459" s="147" t="s">
        <v>177</v>
      </c>
      <c r="I459" s="150">
        <v>4200479</v>
      </c>
      <c r="J459" s="144"/>
      <c r="K459" s="1792"/>
    </row>
    <row r="460">
      <c r="B460" s="144"/>
      <c r="C460" s="144" t="s">
        <v>581</v>
      </c>
      <c r="D460" s="145" t="s">
        <v>582</v>
      </c>
      <c r="E460" s="146">
        <v>44181</v>
      </c>
      <c r="F460" s="146"/>
      <c r="G460" s="147" t="s">
        <v>193</v>
      </c>
      <c r="H460" s="147" t="s">
        <v>177</v>
      </c>
      <c r="I460" s="150">
        <v>4200479</v>
      </c>
      <c r="J460" s="144"/>
      <c r="K460" s="1792"/>
    </row>
    <row r="461">
      <c r="B461" s="144"/>
      <c r="C461" s="144" t="s">
        <v>583</v>
      </c>
      <c r="D461" s="145" t="s">
        <v>584</v>
      </c>
      <c r="E461" s="146">
        <v>44181</v>
      </c>
      <c r="F461" s="146"/>
      <c r="G461" s="147" t="s">
        <v>193</v>
      </c>
      <c r="H461" s="147" t="s">
        <v>177</v>
      </c>
      <c r="I461" s="150">
        <v>4200479</v>
      </c>
      <c r="J461" s="144"/>
      <c r="K461" s="1792"/>
    </row>
    <row r="462">
      <c r="B462" s="144"/>
      <c r="C462" s="144" t="s">
        <v>585</v>
      </c>
      <c r="D462" s="145" t="s">
        <v>586</v>
      </c>
      <c r="E462" s="146">
        <v>44181</v>
      </c>
      <c r="F462" s="146"/>
      <c r="G462" s="147" t="s">
        <v>193</v>
      </c>
      <c r="H462" s="147" t="s">
        <v>177</v>
      </c>
      <c r="I462" s="150">
        <v>4200479</v>
      </c>
      <c r="J462" s="144"/>
      <c r="K462" s="1792"/>
    </row>
    <row r="463">
      <c r="B463" s="144"/>
      <c r="C463" s="144" t="s">
        <v>587</v>
      </c>
      <c r="D463" s="145" t="s">
        <v>588</v>
      </c>
      <c r="E463" s="146">
        <v>44181</v>
      </c>
      <c r="F463" s="146"/>
      <c r="G463" s="147" t="s">
        <v>193</v>
      </c>
      <c r="H463" s="147" t="s">
        <v>177</v>
      </c>
      <c r="I463" s="150">
        <v>4200479</v>
      </c>
      <c r="J463" s="144"/>
      <c r="K463" s="1792"/>
    </row>
    <row r="464">
      <c r="B464" s="144"/>
      <c r="C464" s="144" t="s">
        <v>589</v>
      </c>
      <c r="D464" s="145" t="s">
        <v>590</v>
      </c>
      <c r="E464" s="146">
        <v>44181</v>
      </c>
      <c r="F464" s="146"/>
      <c r="G464" s="147" t="s">
        <v>193</v>
      </c>
      <c r="H464" s="147" t="s">
        <v>177</v>
      </c>
      <c r="I464" s="150">
        <v>4200479</v>
      </c>
      <c r="J464" s="144"/>
      <c r="K464" s="1792"/>
    </row>
    <row r="465">
      <c r="B465" s="144"/>
      <c r="C465" s="144" t="s">
        <v>591</v>
      </c>
      <c r="D465" s="145" t="s">
        <v>592</v>
      </c>
      <c r="E465" s="146">
        <v>44181</v>
      </c>
      <c r="F465" s="146"/>
      <c r="G465" s="147" t="s">
        <v>193</v>
      </c>
      <c r="H465" s="147" t="s">
        <v>177</v>
      </c>
      <c r="I465" s="150">
        <v>4200479</v>
      </c>
      <c r="J465" s="144"/>
      <c r="K465" s="1792"/>
    </row>
    <row r="466">
      <c r="B466" s="144"/>
      <c r="C466" s="144" t="s">
        <v>593</v>
      </c>
      <c r="D466" s="145" t="s">
        <v>594</v>
      </c>
      <c r="E466" s="146">
        <v>44181</v>
      </c>
      <c r="F466" s="146"/>
      <c r="G466" s="147" t="s">
        <v>193</v>
      </c>
      <c r="H466" s="147" t="s">
        <v>177</v>
      </c>
      <c r="I466" s="150">
        <v>4200479</v>
      </c>
      <c r="J466" s="144"/>
      <c r="K466" s="1792"/>
    </row>
    <row r="467">
      <c r="B467" s="144"/>
      <c r="C467" s="144" t="s">
        <v>595</v>
      </c>
      <c r="D467" s="145" t="s">
        <v>596</v>
      </c>
      <c r="E467" s="146">
        <v>44181</v>
      </c>
      <c r="F467" s="146"/>
      <c r="G467" s="147" t="s">
        <v>193</v>
      </c>
      <c r="H467" s="147" t="s">
        <v>177</v>
      </c>
      <c r="I467" s="150">
        <v>4200479</v>
      </c>
      <c r="J467" s="144"/>
      <c r="K467" s="1792"/>
    </row>
    <row r="468">
      <c r="B468" s="144"/>
      <c r="C468" s="144" t="s">
        <v>597</v>
      </c>
      <c r="D468" s="145" t="s">
        <v>598</v>
      </c>
      <c r="E468" s="146">
        <v>44182</v>
      </c>
      <c r="F468" s="146"/>
      <c r="G468" s="147" t="s">
        <v>193</v>
      </c>
      <c r="H468" s="147" t="s">
        <v>177</v>
      </c>
      <c r="I468" s="150">
        <v>4200479</v>
      </c>
      <c r="J468" s="144"/>
      <c r="K468" s="1792"/>
    </row>
    <row r="469">
      <c r="B469" s="144"/>
      <c r="C469" s="144" t="s">
        <v>599</v>
      </c>
      <c r="D469" s="145" t="s">
        <v>600</v>
      </c>
      <c r="E469" s="146">
        <v>44184</v>
      </c>
      <c r="F469" s="146"/>
      <c r="G469" s="147" t="s">
        <v>193</v>
      </c>
      <c r="H469" s="147" t="s">
        <v>177</v>
      </c>
      <c r="I469" s="150">
        <v>4200479</v>
      </c>
      <c r="J469" s="144"/>
      <c r="K469" s="1792"/>
    </row>
    <row r="470">
      <c r="B470" s="144"/>
      <c r="C470" s="144" t="s">
        <v>601</v>
      </c>
      <c r="D470" s="145" t="s">
        <v>602</v>
      </c>
      <c r="E470" s="146">
        <v>44185</v>
      </c>
      <c r="F470" s="146"/>
      <c r="G470" s="147" t="s">
        <v>193</v>
      </c>
      <c r="H470" s="147" t="s">
        <v>177</v>
      </c>
      <c r="I470" s="150">
        <v>4200479</v>
      </c>
      <c r="J470" s="144"/>
      <c r="K470" s="1792"/>
    </row>
    <row r="471">
      <c r="B471" s="144"/>
      <c r="C471" s="144" t="s">
        <v>603</v>
      </c>
      <c r="D471" s="145" t="s">
        <v>604</v>
      </c>
      <c r="E471" s="146">
        <v>44200</v>
      </c>
      <c r="F471" s="146"/>
      <c r="G471" s="147" t="s">
        <v>193</v>
      </c>
      <c r="H471" s="147" t="s">
        <v>177</v>
      </c>
      <c r="I471" s="150">
        <v>4200479</v>
      </c>
      <c r="J471" s="144"/>
      <c r="K471" s="1792"/>
    </row>
    <row r="472">
      <c r="B472" s="144"/>
      <c r="C472" s="144" t="s">
        <v>605</v>
      </c>
      <c r="D472" s="145" t="s">
        <v>606</v>
      </c>
      <c r="E472" s="146">
        <v>44200</v>
      </c>
      <c r="F472" s="146"/>
      <c r="G472" s="147" t="s">
        <v>193</v>
      </c>
      <c r="H472" s="147" t="s">
        <v>177</v>
      </c>
      <c r="I472" s="150">
        <v>4200479</v>
      </c>
      <c r="J472" s="144"/>
      <c r="K472" s="1792"/>
    </row>
    <row r="473">
      <c r="B473" s="144"/>
      <c r="C473" s="144" t="s">
        <v>607</v>
      </c>
      <c r="D473" s="145" t="s">
        <v>608</v>
      </c>
      <c r="E473" s="146">
        <v>44202</v>
      </c>
      <c r="F473" s="146"/>
      <c r="G473" s="147" t="s">
        <v>193</v>
      </c>
      <c r="H473" s="147" t="s">
        <v>177</v>
      </c>
      <c r="I473" s="150">
        <v>4200479</v>
      </c>
      <c r="J473" s="144"/>
      <c r="K473" s="1792"/>
    </row>
    <row r="474">
      <c r="B474" s="144"/>
      <c r="C474" s="144" t="s">
        <v>609</v>
      </c>
      <c r="D474" s="145" t="s">
        <v>610</v>
      </c>
      <c r="E474" s="146">
        <v>44203</v>
      </c>
      <c r="F474" s="146"/>
      <c r="G474" s="147" t="s">
        <v>193</v>
      </c>
      <c r="H474" s="147" t="s">
        <v>177</v>
      </c>
      <c r="I474" s="150">
        <v>4200479</v>
      </c>
      <c r="J474" s="144"/>
      <c r="K474" s="1792"/>
    </row>
    <row r="475">
      <c r="B475" s="144"/>
      <c r="C475" s="144" t="s">
        <v>611</v>
      </c>
      <c r="D475" s="145" t="s">
        <v>612</v>
      </c>
      <c r="E475" s="146">
        <v>44183</v>
      </c>
      <c r="F475" s="146"/>
      <c r="G475" s="147" t="s">
        <v>193</v>
      </c>
      <c r="H475" s="147" t="s">
        <v>177</v>
      </c>
      <c r="I475" s="150">
        <v>4200479</v>
      </c>
      <c r="J475" s="144"/>
      <c r="K475" s="1792"/>
    </row>
    <row r="476">
      <c r="B476" s="144"/>
      <c r="C476" s="144" t="s">
        <v>613</v>
      </c>
      <c r="D476" s="145" t="s">
        <v>614</v>
      </c>
      <c r="E476" s="146">
        <v>44189</v>
      </c>
      <c r="F476" s="146"/>
      <c r="G476" s="147" t="s">
        <v>193</v>
      </c>
      <c r="H476" s="147" t="s">
        <v>177</v>
      </c>
      <c r="I476" s="150">
        <v>4200479</v>
      </c>
      <c r="J476" s="144"/>
      <c r="K476" s="1792"/>
    </row>
    <row r="477">
      <c r="B477" s="144"/>
      <c r="C477" s="144" t="s">
        <v>615</v>
      </c>
      <c r="D477" s="145" t="s">
        <v>616</v>
      </c>
      <c r="E477" s="146">
        <v>44206</v>
      </c>
      <c r="F477" s="146"/>
      <c r="G477" s="147" t="s">
        <v>193</v>
      </c>
      <c r="H477" s="147" t="s">
        <v>177</v>
      </c>
      <c r="I477" s="150">
        <v>4200479</v>
      </c>
      <c r="J477" s="144"/>
      <c r="K477" s="1792"/>
    </row>
    <row r="478">
      <c r="B478" s="144"/>
      <c r="C478" s="144" t="s">
        <v>617</v>
      </c>
      <c r="D478" s="145" t="s">
        <v>618</v>
      </c>
      <c r="E478" s="146">
        <v>44206</v>
      </c>
      <c r="F478" s="146"/>
      <c r="G478" s="147" t="s">
        <v>193</v>
      </c>
      <c r="H478" s="147" t="s">
        <v>177</v>
      </c>
      <c r="I478" s="150">
        <v>4200479</v>
      </c>
      <c r="J478" s="144"/>
      <c r="K478" s="1792"/>
    </row>
    <row r="479">
      <c r="B479" s="144"/>
      <c r="C479" s="144" t="s">
        <v>619</v>
      </c>
      <c r="D479" s="145" t="s">
        <v>620</v>
      </c>
      <c r="E479" s="146">
        <v>44206</v>
      </c>
      <c r="F479" s="146"/>
      <c r="G479" s="147" t="s">
        <v>193</v>
      </c>
      <c r="H479" s="147" t="s">
        <v>177</v>
      </c>
      <c r="I479" s="150">
        <v>4200479</v>
      </c>
      <c r="J479" s="144"/>
      <c r="K479" s="1792"/>
    </row>
    <row r="480">
      <c r="B480" s="144"/>
      <c r="C480" s="144" t="s">
        <v>621</v>
      </c>
      <c r="D480" s="145" t="s">
        <v>622</v>
      </c>
      <c r="E480" s="146">
        <v>44206</v>
      </c>
      <c r="F480" s="146"/>
      <c r="G480" s="147" t="s">
        <v>193</v>
      </c>
      <c r="H480" s="147" t="s">
        <v>177</v>
      </c>
      <c r="I480" s="150">
        <v>4200479</v>
      </c>
      <c r="J480" s="144"/>
      <c r="K480" s="1792"/>
    </row>
    <row r="481">
      <c r="B481" s="144"/>
      <c r="C481" s="144" t="s">
        <v>623</v>
      </c>
      <c r="D481" s="145" t="s">
        <v>624</v>
      </c>
      <c r="E481" s="146">
        <v>44206</v>
      </c>
      <c r="F481" s="146"/>
      <c r="G481" s="147" t="s">
        <v>193</v>
      </c>
      <c r="H481" s="147" t="s">
        <v>177</v>
      </c>
      <c r="I481" s="150">
        <v>4200479</v>
      </c>
      <c r="J481" s="144"/>
      <c r="K481" s="1792"/>
    </row>
    <row r="482">
      <c r="B482" s="144"/>
      <c r="C482" s="144" t="s">
        <v>625</v>
      </c>
      <c r="D482" s="145" t="s">
        <v>626</v>
      </c>
      <c r="E482" s="146">
        <v>44206</v>
      </c>
      <c r="F482" s="146"/>
      <c r="G482" s="147" t="s">
        <v>193</v>
      </c>
      <c r="H482" s="147" t="s">
        <v>177</v>
      </c>
      <c r="I482" s="150">
        <v>4200479</v>
      </c>
      <c r="J482" s="144"/>
      <c r="K482" s="1792"/>
    </row>
    <row r="483">
      <c r="B483" s="144"/>
      <c r="C483" s="144" t="s">
        <v>627</v>
      </c>
      <c r="D483" s="145" t="s">
        <v>628</v>
      </c>
      <c r="E483" s="146">
        <v>44206</v>
      </c>
      <c r="F483" s="146"/>
      <c r="G483" s="147" t="s">
        <v>193</v>
      </c>
      <c r="H483" s="147" t="s">
        <v>177</v>
      </c>
      <c r="I483" s="150">
        <v>4200479</v>
      </c>
      <c r="J483" s="144"/>
      <c r="K483" s="1792"/>
    </row>
    <row r="484">
      <c r="B484" s="144"/>
      <c r="C484" s="144" t="s">
        <v>629</v>
      </c>
      <c r="D484" s="145" t="s">
        <v>630</v>
      </c>
      <c r="E484" s="146">
        <v>44206</v>
      </c>
      <c r="F484" s="146"/>
      <c r="G484" s="147" t="s">
        <v>193</v>
      </c>
      <c r="H484" s="147" t="s">
        <v>177</v>
      </c>
      <c r="I484" s="150">
        <v>4200479</v>
      </c>
      <c r="J484" s="144"/>
      <c r="K484" s="1792"/>
    </row>
    <row r="485">
      <c r="B485" s="144"/>
      <c r="C485" s="144" t="s">
        <v>631</v>
      </c>
      <c r="D485" s="145" t="s">
        <v>632</v>
      </c>
      <c r="E485" s="146">
        <v>44206</v>
      </c>
      <c r="F485" s="146"/>
      <c r="G485" s="147" t="s">
        <v>193</v>
      </c>
      <c r="H485" s="147" t="s">
        <v>177</v>
      </c>
      <c r="I485" s="150">
        <v>4200479</v>
      </c>
      <c r="J485" s="144"/>
      <c r="K485" s="1792"/>
    </row>
    <row r="486">
      <c r="B486" s="144"/>
      <c r="C486" s="144"/>
      <c r="D486" s="145" t="s">
        <v>633</v>
      </c>
      <c r="E486" s="146"/>
      <c r="F486" s="146">
        <v>44197</v>
      </c>
      <c r="G486" s="147" t="s">
        <v>193</v>
      </c>
      <c r="H486" s="147" t="s">
        <v>177</v>
      </c>
      <c r="I486" s="150">
        <v>4200479</v>
      </c>
      <c r="J486" s="144"/>
      <c r="K486" s="1792"/>
    </row>
    <row r="487">
      <c r="B487" s="144"/>
      <c r="C487" s="144"/>
      <c r="D487" s="145" t="s">
        <v>340</v>
      </c>
      <c r="E487" s="146"/>
      <c r="F487" s="146">
        <v>44556</v>
      </c>
      <c r="G487" s="147" t="s">
        <v>193</v>
      </c>
      <c r="H487" s="147" t="s">
        <v>177</v>
      </c>
      <c r="I487" s="150">
        <v>4200479</v>
      </c>
      <c r="J487" s="144"/>
      <c r="K487" s="1792"/>
    </row>
    <row r="488">
      <c r="B488" s="144"/>
      <c r="C488" s="144"/>
      <c r="D488" s="145" t="s">
        <v>634</v>
      </c>
      <c r="E488" s="146"/>
      <c r="F488" s="146">
        <v>44197</v>
      </c>
      <c r="G488" s="147" t="s">
        <v>193</v>
      </c>
      <c r="H488" s="147" t="s">
        <v>177</v>
      </c>
      <c r="I488" s="150">
        <v>4200479</v>
      </c>
      <c r="J488" s="144"/>
      <c r="K488" s="1792"/>
    </row>
    <row r="489">
      <c r="B489" s="144"/>
      <c r="C489" s="144"/>
      <c r="D489" s="145" t="s">
        <v>411</v>
      </c>
      <c r="E489" s="146"/>
      <c r="F489" s="146">
        <v>44197</v>
      </c>
      <c r="G489" s="147" t="s">
        <v>193</v>
      </c>
      <c r="H489" s="147" t="s">
        <v>177</v>
      </c>
      <c r="I489" s="150">
        <v>4200479</v>
      </c>
      <c r="J489" s="144"/>
      <c r="K489" s="1792"/>
    </row>
    <row r="490">
      <c r="B490" s="144"/>
      <c r="C490" s="144"/>
      <c r="D490" s="145" t="s">
        <v>635</v>
      </c>
      <c r="E490" s="146"/>
      <c r="F490" s="146">
        <v>44197</v>
      </c>
      <c r="G490" s="147" t="s">
        <v>193</v>
      </c>
      <c r="H490" s="147" t="s">
        <v>177</v>
      </c>
      <c r="I490" s="150">
        <v>4200479</v>
      </c>
      <c r="J490" s="144"/>
      <c r="K490" s="1792"/>
    </row>
    <row r="491">
      <c r="B491" s="144"/>
      <c r="C491" s="144"/>
      <c r="D491" s="145" t="s">
        <v>430</v>
      </c>
      <c r="E491" s="146"/>
      <c r="F491" s="146">
        <v>44197</v>
      </c>
      <c r="G491" s="147" t="s">
        <v>193</v>
      </c>
      <c r="H491" s="147" t="s">
        <v>177</v>
      </c>
      <c r="I491" s="150">
        <v>4200479</v>
      </c>
      <c r="J491" s="144"/>
      <c r="K491" s="1792"/>
    </row>
    <row r="492">
      <c r="B492" s="144"/>
      <c r="C492" s="144"/>
      <c r="D492" s="145" t="s">
        <v>498</v>
      </c>
      <c r="E492" s="146"/>
      <c r="F492" s="146">
        <v>44183</v>
      </c>
      <c r="G492" s="147" t="s">
        <v>193</v>
      </c>
      <c r="H492" s="147" t="s">
        <v>177</v>
      </c>
      <c r="I492" s="150">
        <v>4200479</v>
      </c>
      <c r="J492" s="144"/>
      <c r="K492" s="1792"/>
    </row>
    <row r="493">
      <c r="B493" s="144"/>
      <c r="C493" s="144"/>
      <c r="D493" s="145" t="s">
        <v>636</v>
      </c>
      <c r="E493" s="146"/>
      <c r="F493" s="146">
        <v>44186</v>
      </c>
      <c r="G493" s="147" t="s">
        <v>193</v>
      </c>
      <c r="H493" s="147" t="s">
        <v>177</v>
      </c>
      <c r="I493" s="150">
        <v>4200479</v>
      </c>
      <c r="J493" s="144"/>
      <c r="K493" s="1792"/>
    </row>
    <row r="494">
      <c r="B494" s="144"/>
      <c r="C494" s="144"/>
      <c r="D494" s="145" t="s">
        <v>637</v>
      </c>
      <c r="E494" s="146"/>
      <c r="F494" s="146">
        <v>44182</v>
      </c>
      <c r="G494" s="147" t="s">
        <v>193</v>
      </c>
      <c r="H494" s="147" t="s">
        <v>177</v>
      </c>
      <c r="I494" s="150">
        <v>4200479</v>
      </c>
      <c r="J494" s="144"/>
      <c r="K494" s="1792"/>
    </row>
    <row r="495">
      <c r="B495" s="144"/>
      <c r="C495" s="144"/>
      <c r="D495" s="145" t="s">
        <v>638</v>
      </c>
      <c r="E495" s="146"/>
      <c r="F495" s="146">
        <v>44182</v>
      </c>
      <c r="G495" s="147" t="s">
        <v>193</v>
      </c>
      <c r="H495" s="147" t="s">
        <v>177</v>
      </c>
      <c r="I495" s="150">
        <v>4200479</v>
      </c>
      <c r="J495" s="144"/>
      <c r="K495" s="1792"/>
    </row>
    <row r="496">
      <c r="B496" s="144"/>
      <c r="C496" s="144"/>
      <c r="D496" s="145" t="s">
        <v>639</v>
      </c>
      <c r="E496" s="146"/>
      <c r="F496" s="146">
        <v>44177</v>
      </c>
      <c r="G496" s="147" t="s">
        <v>193</v>
      </c>
      <c r="H496" s="147" t="s">
        <v>177</v>
      </c>
      <c r="I496" s="150">
        <v>4200479</v>
      </c>
      <c r="J496" s="144"/>
      <c r="K496" s="1792"/>
    </row>
    <row r="497">
      <c r="B497" s="144"/>
      <c r="C497" s="144"/>
      <c r="D497" s="145" t="s">
        <v>640</v>
      </c>
      <c r="E497" s="146"/>
      <c r="F497" s="146">
        <v>44182</v>
      </c>
      <c r="G497" s="147" t="s">
        <v>193</v>
      </c>
      <c r="H497" s="147" t="s">
        <v>177</v>
      </c>
      <c r="I497" s="150">
        <v>4200479</v>
      </c>
      <c r="J497" s="144"/>
      <c r="K497" s="1792"/>
    </row>
    <row r="498">
      <c r="B498" s="144"/>
      <c r="C498" s="144"/>
      <c r="D498" s="145" t="s">
        <v>641</v>
      </c>
      <c r="E498" s="146"/>
      <c r="F498" s="146">
        <v>44180</v>
      </c>
      <c r="G498" s="147" t="s">
        <v>193</v>
      </c>
      <c r="H498" s="147" t="s">
        <v>177</v>
      </c>
      <c r="I498" s="150">
        <v>4200479</v>
      </c>
      <c r="J498" s="144"/>
      <c r="K498" s="1792"/>
    </row>
    <row r="499">
      <c r="B499" s="144"/>
      <c r="C499" s="144"/>
      <c r="D499" s="145" t="s">
        <v>642</v>
      </c>
      <c r="E499" s="146"/>
      <c r="F499" s="146">
        <v>44181</v>
      </c>
      <c r="G499" s="147" t="s">
        <v>193</v>
      </c>
      <c r="H499" s="147" t="s">
        <v>177</v>
      </c>
      <c r="I499" s="150">
        <v>4200479</v>
      </c>
      <c r="J499" s="144"/>
      <c r="K499" s="1792"/>
    </row>
    <row r="500">
      <c r="B500" s="144"/>
      <c r="C500" s="144"/>
      <c r="D500" s="145" t="s">
        <v>643</v>
      </c>
      <c r="E500" s="146"/>
      <c r="F500" s="146">
        <v>44176</v>
      </c>
      <c r="G500" s="147" t="s">
        <v>193</v>
      </c>
      <c r="H500" s="147" t="s">
        <v>177</v>
      </c>
      <c r="I500" s="150">
        <v>4200479</v>
      </c>
      <c r="J500" s="144"/>
      <c r="K500" s="1792"/>
    </row>
    <row r="501">
      <c r="B501" s="144"/>
      <c r="C501" s="144"/>
      <c r="D501" s="145" t="s">
        <v>293</v>
      </c>
      <c r="E501" s="146"/>
      <c r="F501" s="146">
        <v>44176</v>
      </c>
      <c r="G501" s="147" t="s">
        <v>193</v>
      </c>
      <c r="H501" s="147" t="s">
        <v>177</v>
      </c>
      <c r="I501" s="150">
        <v>4200479</v>
      </c>
      <c r="J501" s="144"/>
      <c r="K501" s="1792"/>
    </row>
    <row r="502">
      <c r="B502" s="144"/>
      <c r="C502" s="144"/>
      <c r="D502" s="145" t="s">
        <v>644</v>
      </c>
      <c r="E502" s="146">
        <v>44181</v>
      </c>
      <c r="F502" s="146"/>
      <c r="G502" s="147" t="s">
        <v>193</v>
      </c>
      <c r="H502" s="147" t="s">
        <v>177</v>
      </c>
      <c r="I502" s="150">
        <v>4200479</v>
      </c>
      <c r="J502" s="144" t="s">
        <v>645</v>
      </c>
      <c r="K502" s="1792"/>
    </row>
    <row r="503">
      <c r="B503" s="144"/>
      <c r="C503" s="144"/>
      <c r="D503" s="145" t="s">
        <v>646</v>
      </c>
      <c r="E503" s="146">
        <v>44181</v>
      </c>
      <c r="F503" s="146"/>
      <c r="G503" s="147" t="s">
        <v>193</v>
      </c>
      <c r="H503" s="147" t="s">
        <v>177</v>
      </c>
      <c r="I503" s="150">
        <v>4200479</v>
      </c>
      <c r="J503" s="144" t="s">
        <v>645</v>
      </c>
      <c r="K503" s="1792"/>
    </row>
    <row r="504">
      <c r="B504" s="144"/>
      <c r="C504" s="144"/>
      <c r="D504" s="145" t="s">
        <v>647</v>
      </c>
      <c r="E504" s="146">
        <v>44181</v>
      </c>
      <c r="F504" s="146"/>
      <c r="G504" s="147" t="s">
        <v>193</v>
      </c>
      <c r="H504" s="147" t="s">
        <v>177</v>
      </c>
      <c r="I504" s="150">
        <v>4200479</v>
      </c>
      <c r="J504" s="144" t="s">
        <v>645</v>
      </c>
      <c r="K504" s="1792"/>
    </row>
    <row r="505">
      <c r="B505" s="144"/>
      <c r="C505" s="144"/>
      <c r="D505" s="145" t="s">
        <v>648</v>
      </c>
      <c r="E505" s="146">
        <v>44181</v>
      </c>
      <c r="F505" s="146"/>
      <c r="G505" s="147" t="s">
        <v>193</v>
      </c>
      <c r="H505" s="147" t="s">
        <v>177</v>
      </c>
      <c r="I505" s="150">
        <v>4200479</v>
      </c>
      <c r="J505" s="144" t="s">
        <v>645</v>
      </c>
      <c r="K505" s="1792"/>
    </row>
    <row r="506">
      <c r="B506" s="144"/>
      <c r="C506" s="144"/>
      <c r="D506" s="145" t="s">
        <v>649</v>
      </c>
      <c r="E506" s="146">
        <v>44181</v>
      </c>
      <c r="F506" s="146"/>
      <c r="G506" s="147" t="s">
        <v>193</v>
      </c>
      <c r="H506" s="147" t="s">
        <v>177</v>
      </c>
      <c r="I506" s="150">
        <v>4200479</v>
      </c>
      <c r="J506" s="144" t="s">
        <v>645</v>
      </c>
      <c r="K506" s="1792"/>
    </row>
    <row r="507">
      <c r="B507" s="144"/>
      <c r="C507" s="144"/>
      <c r="D507" s="145" t="s">
        <v>650</v>
      </c>
      <c r="E507" s="146">
        <v>44181</v>
      </c>
      <c r="F507" s="146"/>
      <c r="G507" s="147" t="s">
        <v>193</v>
      </c>
      <c r="H507" s="147" t="s">
        <v>177</v>
      </c>
      <c r="I507" s="150">
        <v>4200479</v>
      </c>
      <c r="J507" s="144" t="s">
        <v>645</v>
      </c>
      <c r="K507" s="1792"/>
    </row>
    <row r="508">
      <c r="B508" s="144"/>
      <c r="C508" s="144"/>
      <c r="D508" s="145" t="s">
        <v>651</v>
      </c>
      <c r="E508" s="146">
        <v>44181</v>
      </c>
      <c r="F508" s="146"/>
      <c r="G508" s="147" t="s">
        <v>193</v>
      </c>
      <c r="H508" s="147" t="s">
        <v>177</v>
      </c>
      <c r="I508" s="150">
        <v>4200479</v>
      </c>
      <c r="J508" s="144" t="s">
        <v>645</v>
      </c>
      <c r="K508" s="1792"/>
    </row>
    <row r="509">
      <c r="B509" s="144"/>
      <c r="C509" s="144"/>
      <c r="D509" s="145" t="s">
        <v>652</v>
      </c>
      <c r="E509" s="146">
        <v>44181</v>
      </c>
      <c r="F509" s="146"/>
      <c r="G509" s="147" t="s">
        <v>193</v>
      </c>
      <c r="H509" s="147" t="s">
        <v>177</v>
      </c>
      <c r="I509" s="150">
        <v>4200479</v>
      </c>
      <c r="J509" s="144" t="s">
        <v>645</v>
      </c>
      <c r="K509" s="1792"/>
    </row>
    <row r="510">
      <c r="B510" s="144"/>
      <c r="C510" s="144"/>
      <c r="D510" s="145" t="s">
        <v>653</v>
      </c>
      <c r="E510" s="146">
        <v>44181</v>
      </c>
      <c r="F510" s="146"/>
      <c r="G510" s="147" t="s">
        <v>193</v>
      </c>
      <c r="H510" s="147" t="s">
        <v>177</v>
      </c>
      <c r="I510" s="150">
        <v>4200479</v>
      </c>
      <c r="J510" s="144" t="s">
        <v>645</v>
      </c>
      <c r="K510" s="1792"/>
    </row>
    <row r="511">
      <c r="B511" s="144"/>
      <c r="C511" s="144"/>
      <c r="D511" s="145" t="s">
        <v>654</v>
      </c>
      <c r="E511" s="146">
        <v>44181</v>
      </c>
      <c r="F511" s="146"/>
      <c r="G511" s="147" t="s">
        <v>193</v>
      </c>
      <c r="H511" s="147" t="s">
        <v>177</v>
      </c>
      <c r="I511" s="150">
        <v>4200479</v>
      </c>
      <c r="J511" s="144" t="s">
        <v>645</v>
      </c>
      <c r="K511" s="1792"/>
    </row>
    <row r="512">
      <c r="B512" s="144"/>
      <c r="C512" s="144" t="s">
        <v>655</v>
      </c>
      <c r="D512" s="145" t="s">
        <v>656</v>
      </c>
      <c r="E512" s="146">
        <v>44179</v>
      </c>
      <c r="F512" s="146"/>
      <c r="G512" s="147" t="s">
        <v>312</v>
      </c>
      <c r="H512" s="147" t="s">
        <v>177</v>
      </c>
      <c r="I512" s="150">
        <v>2654095</v>
      </c>
      <c r="J512" s="144"/>
      <c r="K512" s="1792"/>
    </row>
    <row r="513">
      <c r="B513" s="144"/>
      <c r="C513" s="144" t="s">
        <v>657</v>
      </c>
      <c r="D513" s="145" t="s">
        <v>658</v>
      </c>
      <c r="E513" s="146">
        <v>44179</v>
      </c>
      <c r="F513" s="146"/>
      <c r="G513" s="147" t="s">
        <v>312</v>
      </c>
      <c r="H513" s="147" t="s">
        <v>177</v>
      </c>
      <c r="I513" s="150">
        <v>2654095</v>
      </c>
      <c r="J513" s="144"/>
      <c r="K513" s="1792"/>
    </row>
    <row r="514">
      <c r="B514" s="144"/>
      <c r="C514" s="144" t="s">
        <v>659</v>
      </c>
      <c r="D514" s="145" t="s">
        <v>660</v>
      </c>
      <c r="E514" s="146">
        <v>44177</v>
      </c>
      <c r="F514" s="146"/>
      <c r="G514" s="147" t="s">
        <v>312</v>
      </c>
      <c r="H514" s="147" t="s">
        <v>177</v>
      </c>
      <c r="I514" s="150">
        <v>2654095</v>
      </c>
      <c r="J514" s="144"/>
      <c r="K514" s="1792"/>
    </row>
    <row r="515">
      <c r="B515" s="144"/>
      <c r="C515" s="144" t="s">
        <v>661</v>
      </c>
      <c r="D515" s="145" t="s">
        <v>662</v>
      </c>
      <c r="E515" s="146">
        <v>44177</v>
      </c>
      <c r="F515" s="146"/>
      <c r="G515" s="147" t="s">
        <v>312</v>
      </c>
      <c r="H515" s="147" t="s">
        <v>177</v>
      </c>
      <c r="I515" s="150">
        <v>2654095</v>
      </c>
      <c r="J515" s="144"/>
      <c r="K515" s="1792"/>
    </row>
    <row r="516">
      <c r="B516" s="144"/>
      <c r="C516" s="144" t="s">
        <v>663</v>
      </c>
      <c r="D516" s="145" t="s">
        <v>636</v>
      </c>
      <c r="E516" s="146">
        <v>44206</v>
      </c>
      <c r="F516" s="146"/>
      <c r="G516" s="147" t="s">
        <v>312</v>
      </c>
      <c r="H516" s="147" t="s">
        <v>177</v>
      </c>
      <c r="I516" s="150">
        <v>2654095</v>
      </c>
      <c r="J516" s="144"/>
      <c r="K516" s="1792"/>
    </row>
    <row r="517">
      <c r="B517" s="144"/>
      <c r="C517" s="144" t="s">
        <v>664</v>
      </c>
      <c r="D517" s="145" t="s">
        <v>665</v>
      </c>
      <c r="E517" s="146">
        <v>44206</v>
      </c>
      <c r="F517" s="146"/>
      <c r="G517" s="147" t="s">
        <v>312</v>
      </c>
      <c r="H517" s="147" t="s">
        <v>177</v>
      </c>
      <c r="I517" s="150">
        <v>2654095</v>
      </c>
      <c r="J517" s="144"/>
      <c r="K517" s="1792"/>
    </row>
    <row r="518">
      <c r="B518" s="144"/>
      <c r="C518" s="144" t="s">
        <v>666</v>
      </c>
      <c r="D518" s="145" t="s">
        <v>350</v>
      </c>
      <c r="E518" s="146"/>
      <c r="F518" s="146">
        <v>44197</v>
      </c>
      <c r="G518" s="147" t="s">
        <v>312</v>
      </c>
      <c r="H518" s="147" t="s">
        <v>177</v>
      </c>
      <c r="I518" s="150">
        <v>2654095</v>
      </c>
      <c r="J518" s="144"/>
      <c r="K518" s="1792"/>
    </row>
    <row r="519">
      <c r="B519" s="144"/>
      <c r="C519" s="144" t="s">
        <v>667</v>
      </c>
      <c r="D519" s="145" t="s">
        <v>162</v>
      </c>
      <c r="E519" s="146"/>
      <c r="F519" s="146">
        <v>44203</v>
      </c>
      <c r="G519" s="147" t="s">
        <v>47</v>
      </c>
      <c r="H519" s="147" t="s">
        <v>48</v>
      </c>
      <c r="I519" s="150">
        <v>2895000</v>
      </c>
      <c r="J519" s="144"/>
      <c r="K519" s="1792"/>
    </row>
    <row r="520">
      <c r="B520" s="144"/>
      <c r="C520" s="144" t="s">
        <v>668</v>
      </c>
      <c r="D520" s="145" t="s">
        <v>415</v>
      </c>
      <c r="E520" s="146"/>
      <c r="F520" s="146">
        <v>44204</v>
      </c>
      <c r="G520" s="147" t="s">
        <v>47</v>
      </c>
      <c r="H520" s="147" t="s">
        <v>48</v>
      </c>
      <c r="I520" s="150">
        <v>2895000</v>
      </c>
      <c r="J520" s="144"/>
      <c r="K520" s="1792"/>
    </row>
    <row r="521">
      <c r="B521" s="144"/>
      <c r="C521" s="144" t="s">
        <v>669</v>
      </c>
      <c r="D521" s="145" t="s">
        <v>670</v>
      </c>
      <c r="E521" s="146">
        <v>44191</v>
      </c>
      <c r="F521" s="146"/>
      <c r="G521" s="147" t="s">
        <v>364</v>
      </c>
      <c r="H521" s="147" t="s">
        <v>87</v>
      </c>
      <c r="I521" s="150">
        <v>2004000</v>
      </c>
      <c r="J521" s="144"/>
      <c r="K521" s="1792"/>
    </row>
    <row r="522">
      <c r="B522" s="144"/>
      <c r="C522" s="144" t="s">
        <v>671</v>
      </c>
      <c r="D522" s="145" t="s">
        <v>672</v>
      </c>
      <c r="E522" s="146">
        <v>44189</v>
      </c>
      <c r="F522" s="146"/>
      <c r="G522" s="147" t="s">
        <v>364</v>
      </c>
      <c r="H522" s="147" t="s">
        <v>87</v>
      </c>
      <c r="I522" s="150">
        <v>2004000</v>
      </c>
      <c r="J522" s="144"/>
      <c r="K522" s="1792"/>
    </row>
    <row r="523">
      <c r="B523" s="144"/>
      <c r="C523" s="144" t="s">
        <v>673</v>
      </c>
      <c r="D523" s="145" t="s">
        <v>674</v>
      </c>
      <c r="E523" s="146">
        <v>44178</v>
      </c>
      <c r="F523" s="146"/>
      <c r="G523" s="147" t="s">
        <v>364</v>
      </c>
      <c r="H523" s="147" t="s">
        <v>87</v>
      </c>
      <c r="I523" s="150">
        <v>2004000</v>
      </c>
      <c r="J523" s="144"/>
      <c r="K523" s="1792"/>
    </row>
    <row r="524">
      <c r="B524" s="144"/>
      <c r="C524" s="144" t="s">
        <v>675</v>
      </c>
      <c r="D524" s="145" t="s">
        <v>676</v>
      </c>
      <c r="E524" s="146">
        <v>44178</v>
      </c>
      <c r="F524" s="146"/>
      <c r="G524" s="147" t="s">
        <v>364</v>
      </c>
      <c r="H524" s="147" t="s">
        <v>87</v>
      </c>
      <c r="I524" s="150">
        <v>2004000</v>
      </c>
      <c r="J524" s="144"/>
      <c r="K524" s="1792"/>
    </row>
    <row r="525">
      <c r="B525" s="144"/>
      <c r="C525" s="144" t="s">
        <v>677</v>
      </c>
      <c r="D525" s="145" t="s">
        <v>678</v>
      </c>
      <c r="E525" s="146">
        <v>44178</v>
      </c>
      <c r="F525" s="146"/>
      <c r="G525" s="147" t="s">
        <v>364</v>
      </c>
      <c r="H525" s="147" t="s">
        <v>87</v>
      </c>
      <c r="I525" s="150">
        <v>2004000</v>
      </c>
      <c r="J525" s="144"/>
      <c r="K525" s="1792"/>
    </row>
    <row r="526">
      <c r="B526" s="144"/>
      <c r="C526" s="144" t="s">
        <v>679</v>
      </c>
      <c r="D526" s="145" t="s">
        <v>680</v>
      </c>
      <c r="E526" s="146">
        <v>44181</v>
      </c>
      <c r="F526" s="146">
        <v>44183</v>
      </c>
      <c r="G526" s="147" t="s">
        <v>364</v>
      </c>
      <c r="H526" s="147" t="s">
        <v>87</v>
      </c>
      <c r="I526" s="150">
        <v>2004000</v>
      </c>
      <c r="J526" s="144"/>
      <c r="K526" s="1792"/>
    </row>
    <row r="527">
      <c r="B527" s="144"/>
      <c r="C527" s="144" t="s">
        <v>681</v>
      </c>
      <c r="D527" s="145" t="s">
        <v>682</v>
      </c>
      <c r="E527" s="146">
        <v>44177</v>
      </c>
      <c r="F527" s="146"/>
      <c r="G527" s="147" t="s">
        <v>683</v>
      </c>
      <c r="H527" s="147" t="s">
        <v>87</v>
      </c>
      <c r="I527" s="150">
        <v>1953000</v>
      </c>
      <c r="J527" s="144"/>
      <c r="K527" s="1792"/>
    </row>
    <row r="528">
      <c r="B528" s="144"/>
      <c r="C528" s="144" t="s">
        <v>684</v>
      </c>
      <c r="D528" s="145" t="s">
        <v>685</v>
      </c>
      <c r="E528" s="146">
        <v>44177</v>
      </c>
      <c r="F528" s="146"/>
      <c r="G528" s="147" t="s">
        <v>686</v>
      </c>
      <c r="H528" s="147" t="s">
        <v>87</v>
      </c>
      <c r="I528" s="150">
        <v>1926000</v>
      </c>
      <c r="J528" s="144"/>
      <c r="K528" s="1792"/>
    </row>
    <row r="529">
      <c r="B529" s="144"/>
      <c r="C529" s="144" t="s">
        <v>687</v>
      </c>
      <c r="D529" s="145" t="s">
        <v>688</v>
      </c>
      <c r="E529" s="146">
        <v>44177</v>
      </c>
      <c r="F529" s="146"/>
      <c r="G529" s="147" t="s">
        <v>686</v>
      </c>
      <c r="H529" s="147" t="s">
        <v>87</v>
      </c>
      <c r="I529" s="150">
        <v>1926000</v>
      </c>
      <c r="J529" s="144"/>
      <c r="K529" s="1792"/>
    </row>
    <row r="530">
      <c r="B530" s="144"/>
      <c r="C530" s="144" t="s">
        <v>689</v>
      </c>
      <c r="D530" s="145" t="s">
        <v>690</v>
      </c>
      <c r="E530" s="146">
        <v>44176</v>
      </c>
      <c r="F530" s="146"/>
      <c r="G530" s="147" t="s">
        <v>328</v>
      </c>
      <c r="H530" s="147" t="s">
        <v>87</v>
      </c>
      <c r="I530" s="150">
        <v>2013810</v>
      </c>
      <c r="J530" s="144"/>
      <c r="K530" s="1792"/>
    </row>
    <row r="531">
      <c r="B531" s="144"/>
      <c r="C531" s="144" t="s">
        <v>691</v>
      </c>
      <c r="D531" s="145" t="s">
        <v>692</v>
      </c>
      <c r="E531" s="146">
        <v>44175</v>
      </c>
      <c r="F531" s="146"/>
      <c r="G531" s="147" t="s">
        <v>328</v>
      </c>
      <c r="H531" s="147" t="s">
        <v>87</v>
      </c>
      <c r="I531" s="150">
        <v>2013810</v>
      </c>
      <c r="J531" s="144"/>
      <c r="K531" s="1792"/>
    </row>
    <row r="532">
      <c r="B532" s="144"/>
      <c r="C532" s="144" t="s">
        <v>693</v>
      </c>
      <c r="D532" s="145" t="s">
        <v>520</v>
      </c>
      <c r="E532" s="146">
        <v>44172</v>
      </c>
      <c r="F532" s="146"/>
      <c r="G532" s="147" t="s">
        <v>328</v>
      </c>
      <c r="H532" s="147" t="s">
        <v>87</v>
      </c>
      <c r="I532" s="150">
        <v>2013810</v>
      </c>
      <c r="J532" s="144"/>
      <c r="K532" s="1792"/>
    </row>
    <row r="533">
      <c r="B533" s="144"/>
      <c r="C533" s="144" t="s">
        <v>694</v>
      </c>
      <c r="D533" s="145" t="s">
        <v>695</v>
      </c>
      <c r="E533" s="146">
        <v>44176</v>
      </c>
      <c r="F533" s="146"/>
      <c r="G533" s="147" t="s">
        <v>176</v>
      </c>
      <c r="H533" s="147" t="s">
        <v>177</v>
      </c>
      <c r="I533" s="150">
        <v>2715000</v>
      </c>
      <c r="J533" s="144"/>
      <c r="K533" s="1792"/>
    </row>
    <row r="534">
      <c r="B534" s="144"/>
      <c r="C534" s="144" t="s">
        <v>696</v>
      </c>
      <c r="D534" s="145" t="s">
        <v>697</v>
      </c>
      <c r="E534" s="146">
        <v>44176</v>
      </c>
      <c r="F534" s="146"/>
      <c r="G534" s="147" t="s">
        <v>176</v>
      </c>
      <c r="H534" s="147" t="s">
        <v>177</v>
      </c>
      <c r="I534" s="150">
        <v>2715000</v>
      </c>
      <c r="J534" s="144"/>
      <c r="K534" s="1792"/>
    </row>
    <row r="535">
      <c r="B535" s="144"/>
      <c r="C535" s="144" t="s">
        <v>698</v>
      </c>
      <c r="D535" s="145" t="s">
        <v>699</v>
      </c>
      <c r="E535" s="146">
        <v>44176</v>
      </c>
      <c r="F535" s="146"/>
      <c r="G535" s="147" t="s">
        <v>176</v>
      </c>
      <c r="H535" s="147" t="s">
        <v>177</v>
      </c>
      <c r="I535" s="150">
        <v>2715000</v>
      </c>
      <c r="J535" s="144"/>
      <c r="K535" s="1792"/>
    </row>
    <row r="536">
      <c r="B536" s="144"/>
      <c r="C536" s="144" t="s">
        <v>700</v>
      </c>
      <c r="D536" s="145" t="s">
        <v>701</v>
      </c>
      <c r="E536" s="146">
        <v>44176</v>
      </c>
      <c r="F536" s="146"/>
      <c r="G536" s="147" t="s">
        <v>176</v>
      </c>
      <c r="H536" s="147" t="s">
        <v>177</v>
      </c>
      <c r="I536" s="150">
        <v>2715000</v>
      </c>
      <c r="J536" s="144"/>
      <c r="K536" s="1792"/>
    </row>
    <row r="537">
      <c r="B537" s="144"/>
      <c r="C537" s="144" t="s">
        <v>702</v>
      </c>
      <c r="D537" s="145" t="s">
        <v>199</v>
      </c>
      <c r="E537" s="146">
        <v>44198</v>
      </c>
      <c r="F537" s="146"/>
      <c r="G537" s="147" t="s">
        <v>200</v>
      </c>
      <c r="H537" s="147" t="s">
        <v>201</v>
      </c>
      <c r="I537" s="150">
        <v>2770300</v>
      </c>
      <c r="J537" s="144"/>
      <c r="K537" s="1792"/>
    </row>
    <row r="538">
      <c r="B538" s="144"/>
      <c r="C538" s="144" t="s">
        <v>703</v>
      </c>
      <c r="D538" s="145" t="s">
        <v>704</v>
      </c>
      <c r="E538" s="146"/>
      <c r="F538" s="146">
        <v>43832</v>
      </c>
      <c r="G538" s="147" t="s">
        <v>200</v>
      </c>
      <c r="H538" s="147" t="s">
        <v>201</v>
      </c>
      <c r="I538" s="150">
        <v>2770300</v>
      </c>
      <c r="J538" s="144"/>
      <c r="K538" s="1792"/>
    </row>
    <row r="539">
      <c r="B539" s="144"/>
      <c r="C539" s="144" t="s">
        <v>705</v>
      </c>
      <c r="D539" s="145" t="s">
        <v>706</v>
      </c>
      <c r="E539" s="146">
        <v>44197</v>
      </c>
      <c r="F539" s="146"/>
      <c r="G539" s="147" t="s">
        <v>200</v>
      </c>
      <c r="H539" s="147" t="s">
        <v>261</v>
      </c>
      <c r="I539" s="150">
        <v>2770300</v>
      </c>
      <c r="J539" s="144"/>
      <c r="K539" s="1792"/>
    </row>
    <row r="540">
      <c r="B540" s="144"/>
      <c r="C540" s="144" t="s">
        <v>707</v>
      </c>
      <c r="D540" s="145" t="s">
        <v>708</v>
      </c>
      <c r="E540" s="146"/>
      <c r="F540" s="146">
        <v>44197</v>
      </c>
      <c r="G540" s="147" t="s">
        <v>200</v>
      </c>
      <c r="H540" s="147" t="s">
        <v>261</v>
      </c>
      <c r="I540" s="150">
        <v>2770300</v>
      </c>
      <c r="J540" s="144"/>
      <c r="K540" s="1792"/>
    </row>
    <row r="541">
      <c r="B541" s="144"/>
      <c r="C541" s="144" t="s">
        <v>709</v>
      </c>
      <c r="D541" s="145" t="s">
        <v>248</v>
      </c>
      <c r="E541" s="155">
        <v>44179</v>
      </c>
      <c r="F541" s="146"/>
      <c r="G541" s="147" t="s">
        <v>200</v>
      </c>
      <c r="H541" s="147" t="s">
        <v>87</v>
      </c>
      <c r="I541" s="150">
        <v>2770300</v>
      </c>
      <c r="J541" s="144"/>
      <c r="K541" s="1792"/>
    </row>
    <row r="542">
      <c r="B542" s="144"/>
      <c r="C542" s="144" t="s">
        <v>468</v>
      </c>
      <c r="D542" s="145" t="s">
        <v>380</v>
      </c>
      <c r="E542" s="146"/>
      <c r="F542" s="146"/>
      <c r="G542" s="147" t="s">
        <v>381</v>
      </c>
      <c r="H542" s="147" t="s">
        <v>87</v>
      </c>
      <c r="I542" s="150">
        <v>2184485</v>
      </c>
      <c r="J542" s="144"/>
      <c r="K542" s="1792"/>
    </row>
    <row r="543">
      <c r="B543" s="133"/>
      <c r="C543" s="133"/>
      <c r="D543" s="134"/>
      <c r="E543" s="135"/>
      <c r="F543" s="135"/>
      <c r="G543" s="136"/>
      <c r="H543" s="136"/>
      <c r="I543" s="137"/>
      <c r="J543" s="133"/>
      <c r="K543" s="140"/>
    </row>
    <row r="544">
      <c r="B544" s="144"/>
      <c r="C544" s="144"/>
      <c r="D544" s="145"/>
      <c r="E544" s="146"/>
      <c r="F544" s="146"/>
      <c r="G544" s="147"/>
      <c r="H544" s="147"/>
      <c r="I544" s="150"/>
      <c r="J544" s="144"/>
      <c r="K544" s="151"/>
    </row>
    <row r="545">
      <c r="B545" s="144"/>
      <c r="C545" s="144"/>
      <c r="D545" s="145"/>
      <c r="E545" s="146"/>
      <c r="F545" s="146"/>
      <c r="G545" s="147"/>
      <c r="H545" s="147"/>
      <c r="I545" s="150"/>
      <c r="J545" s="144"/>
      <c r="K545" s="151"/>
    </row>
    <row r="546">
      <c r="B546" s="144"/>
      <c r="C546" s="144"/>
      <c r="D546" s="145"/>
      <c r="E546" s="146"/>
      <c r="F546" s="146"/>
      <c r="G546" s="147"/>
      <c r="H546" s="147"/>
      <c r="I546" s="150"/>
      <c r="J546" s="144"/>
      <c r="K546" s="151"/>
    </row>
    <row r="547">
      <c r="B547" s="144"/>
      <c r="C547" s="144"/>
      <c r="D547" s="145"/>
      <c r="E547" s="146"/>
      <c r="F547" s="146"/>
      <c r="G547" s="147"/>
      <c r="H547" s="147"/>
      <c r="I547" s="150"/>
      <c r="J547" s="144"/>
      <c r="K547" s="151"/>
    </row>
    <row r="548">
      <c r="B548" s="144"/>
      <c r="C548" s="144"/>
      <c r="D548" s="145"/>
      <c r="E548" s="146"/>
      <c r="F548" s="146"/>
      <c r="G548" s="147"/>
      <c r="H548" s="147"/>
      <c r="I548" s="150"/>
      <c r="J548" s="144"/>
      <c r="K548" s="151"/>
    </row>
    <row r="549">
      <c r="B549" s="144"/>
      <c r="C549" s="144"/>
      <c r="D549" s="145"/>
      <c r="E549" s="146"/>
      <c r="F549" s="146"/>
      <c r="G549" s="147"/>
      <c r="H549" s="147"/>
      <c r="I549" s="150"/>
      <c r="J549" s="144"/>
      <c r="K549" s="151"/>
    </row>
    <row r="550">
      <c r="B550" s="144"/>
      <c r="C550" s="144"/>
      <c r="D550" s="145"/>
      <c r="E550" s="146"/>
      <c r="F550" s="146"/>
      <c r="G550" s="147"/>
      <c r="H550" s="147"/>
      <c r="I550" s="150"/>
      <c r="J550" s="144"/>
      <c r="K550" s="151"/>
    </row>
    <row r="551">
      <c r="B551" s="144"/>
      <c r="C551" s="144"/>
      <c r="D551" s="145"/>
      <c r="E551" s="146"/>
      <c r="F551" s="146"/>
      <c r="G551" s="147"/>
      <c r="H551" s="147"/>
      <c r="I551" s="150"/>
      <c r="J551" s="144"/>
      <c r="K551" s="151"/>
    </row>
    <row r="552">
      <c r="B552" s="144"/>
      <c r="C552" s="144"/>
      <c r="D552" s="145"/>
      <c r="E552" s="146"/>
      <c r="F552" s="146"/>
      <c r="G552" s="147"/>
      <c r="H552" s="147"/>
      <c r="I552" s="150"/>
      <c r="J552" s="144"/>
      <c r="K552" s="151"/>
    </row>
    <row r="553">
      <c r="B553" s="144"/>
      <c r="C553" s="144"/>
      <c r="D553" s="145"/>
      <c r="E553" s="146"/>
      <c r="F553" s="146"/>
      <c r="G553" s="147"/>
      <c r="H553" s="147"/>
      <c r="I553" s="150"/>
      <c r="J553" s="144"/>
      <c r="K553" s="151"/>
    </row>
    <row r="554">
      <c r="B554" s="144"/>
      <c r="C554" s="144"/>
      <c r="D554" s="145"/>
      <c r="E554" s="146"/>
      <c r="F554" s="146"/>
      <c r="G554" s="147"/>
      <c r="H554" s="147"/>
      <c r="I554" s="150"/>
      <c r="J554" s="144"/>
      <c r="K554" s="151"/>
    </row>
    <row r="555">
      <c r="B555" s="144"/>
      <c r="C555" s="144"/>
      <c r="D555" s="145"/>
      <c r="E555" s="146"/>
      <c r="F555" s="146"/>
      <c r="G555" s="147"/>
      <c r="H555" s="147"/>
      <c r="I555" s="150"/>
      <c r="J555" s="144"/>
      <c r="K555" s="151"/>
    </row>
    <row r="556">
      <c r="B556" s="144"/>
      <c r="C556" s="144"/>
      <c r="D556" s="145"/>
      <c r="E556" s="146"/>
      <c r="F556" s="146"/>
      <c r="G556" s="147"/>
      <c r="H556" s="147"/>
      <c r="I556" s="150"/>
      <c r="J556" s="144"/>
      <c r="K556" s="151"/>
    </row>
    <row r="557">
      <c r="B557" s="144"/>
      <c r="C557" s="144"/>
      <c r="D557" s="145"/>
      <c r="E557" s="146"/>
      <c r="F557" s="146"/>
      <c r="G557" s="147"/>
      <c r="H557" s="147"/>
      <c r="I557" s="150"/>
      <c r="J557" s="144"/>
      <c r="K557" s="151"/>
    </row>
    <row r="558">
      <c r="B558" s="144"/>
      <c r="C558" s="144"/>
      <c r="D558" s="145"/>
      <c r="E558" s="146"/>
      <c r="F558" s="146"/>
      <c r="G558" s="147"/>
      <c r="H558" s="147"/>
      <c r="I558" s="150"/>
      <c r="J558" s="144"/>
      <c r="K558" s="151"/>
    </row>
    <row r="559">
      <c r="B559" s="144"/>
      <c r="C559" s="144"/>
      <c r="D559" s="145"/>
      <c r="E559" s="146"/>
      <c r="F559" s="146"/>
      <c r="G559" s="147"/>
      <c r="H559" s="147"/>
      <c r="I559" s="150"/>
      <c r="J559" s="144"/>
      <c r="K559" s="151"/>
    </row>
    <row r="560">
      <c r="B560" s="144"/>
      <c r="C560" s="144"/>
      <c r="D560" s="145"/>
      <c r="E560" s="146"/>
      <c r="F560" s="146"/>
      <c r="G560" s="147"/>
      <c r="H560" s="147"/>
      <c r="I560" s="150"/>
      <c r="J560" s="144"/>
      <c r="K560" s="151"/>
    </row>
    <row r="561">
      <c r="B561" s="144"/>
      <c r="C561" s="144"/>
      <c r="D561" s="145"/>
      <c r="E561" s="146"/>
      <c r="F561" s="146"/>
      <c r="G561" s="147"/>
      <c r="H561" s="147"/>
      <c r="I561" s="150"/>
      <c r="J561" s="144"/>
      <c r="K561" s="151"/>
    </row>
    <row r="562">
      <c r="B562" s="144"/>
      <c r="C562" s="144"/>
      <c r="D562" s="145"/>
      <c r="E562" s="146"/>
      <c r="F562" s="146"/>
      <c r="G562" s="147"/>
      <c r="H562" s="147"/>
      <c r="I562" s="150"/>
      <c r="J562" s="144"/>
      <c r="K562" s="151"/>
    </row>
    <row r="563">
      <c r="B563" s="144"/>
      <c r="C563" s="144"/>
      <c r="D563" s="145"/>
      <c r="E563" s="146"/>
      <c r="F563" s="146"/>
      <c r="G563" s="147"/>
      <c r="H563" s="147"/>
      <c r="I563" s="150"/>
      <c r="J563" s="144"/>
      <c r="K563" s="151"/>
    </row>
    <row r="564">
      <c r="B564" s="144"/>
      <c r="C564" s="144"/>
      <c r="D564" s="145"/>
      <c r="E564" s="146"/>
      <c r="F564" s="146"/>
      <c r="G564" s="147"/>
      <c r="H564" s="147"/>
      <c r="I564" s="150"/>
      <c r="J564" s="144"/>
      <c r="K564" s="151"/>
    </row>
    <row r="565">
      <c r="B565" s="144"/>
      <c r="C565" s="144"/>
      <c r="D565" s="145"/>
      <c r="E565" s="146"/>
      <c r="F565" s="146"/>
      <c r="G565" s="147"/>
      <c r="H565" s="147"/>
      <c r="I565" s="150"/>
      <c r="J565" s="144"/>
      <c r="K565" s="151"/>
    </row>
    <row r="566">
      <c r="B566" s="144"/>
      <c r="C566" s="144"/>
      <c r="D566" s="145"/>
      <c r="E566" s="146"/>
      <c r="F566" s="146"/>
      <c r="G566" s="147"/>
      <c r="H566" s="147"/>
      <c r="I566" s="150"/>
      <c r="J566" s="144"/>
      <c r="K566" s="151"/>
    </row>
    <row r="567">
      <c r="B567" s="144"/>
      <c r="C567" s="144"/>
      <c r="D567" s="145"/>
      <c r="E567" s="146"/>
      <c r="F567" s="146"/>
      <c r="G567" s="147"/>
      <c r="H567" s="147"/>
      <c r="I567" s="150"/>
      <c r="J567" s="144"/>
      <c r="K567" s="151"/>
    </row>
    <row r="568">
      <c r="B568" s="144"/>
      <c r="C568" s="144"/>
      <c r="D568" s="145"/>
      <c r="E568" s="146"/>
      <c r="F568" s="146"/>
      <c r="G568" s="147"/>
      <c r="H568" s="147"/>
      <c r="I568" s="150"/>
      <c r="J568" s="144"/>
      <c r="K568" s="151"/>
    </row>
    <row r="569">
      <c r="B569" s="144"/>
      <c r="C569" s="144"/>
      <c r="D569" s="145"/>
      <c r="E569" s="146"/>
      <c r="F569" s="146"/>
      <c r="G569" s="147"/>
      <c r="H569" s="147"/>
      <c r="I569" s="150"/>
      <c r="J569" s="144"/>
      <c r="K569" s="151"/>
    </row>
    <row r="570">
      <c r="B570" s="144"/>
      <c r="C570" s="144"/>
      <c r="D570" s="145"/>
      <c r="E570" s="146"/>
      <c r="F570" s="146"/>
      <c r="G570" s="147"/>
      <c r="H570" s="147"/>
      <c r="I570" s="150"/>
      <c r="J570" s="144"/>
      <c r="K570" s="151"/>
    </row>
    <row r="571">
      <c r="B571" s="144"/>
      <c r="C571" s="144"/>
      <c r="D571" s="145"/>
      <c r="E571" s="146"/>
      <c r="F571" s="146"/>
      <c r="G571" s="147"/>
      <c r="H571" s="147"/>
      <c r="I571" s="150"/>
      <c r="J571" s="144"/>
      <c r="K571" s="151"/>
    </row>
    <row r="572">
      <c r="B572" s="144"/>
      <c r="C572" s="144"/>
      <c r="D572" s="145"/>
      <c r="E572" s="146"/>
      <c r="F572" s="146"/>
      <c r="G572" s="147"/>
      <c r="H572" s="147"/>
      <c r="I572" s="150"/>
      <c r="J572" s="144"/>
      <c r="K572" s="151"/>
    </row>
    <row r="573">
      <c r="B573" s="144"/>
      <c r="C573" s="144"/>
      <c r="D573" s="145"/>
      <c r="E573" s="146"/>
      <c r="F573" s="146"/>
      <c r="G573" s="147"/>
      <c r="H573" s="147"/>
      <c r="I573" s="150"/>
      <c r="J573" s="144"/>
      <c r="K573" s="151"/>
    </row>
    <row r="574">
      <c r="B574" s="144"/>
      <c r="C574" s="144"/>
      <c r="D574" s="145"/>
      <c r="E574" s="146"/>
      <c r="F574" s="146"/>
      <c r="G574" s="147"/>
      <c r="H574" s="147"/>
      <c r="I574" s="150"/>
      <c r="J574" s="144"/>
      <c r="K574" s="151"/>
    </row>
    <row r="575">
      <c r="B575" s="144"/>
      <c r="C575" s="144"/>
      <c r="D575" s="145"/>
      <c r="E575" s="146"/>
      <c r="F575" s="146"/>
      <c r="G575" s="147"/>
      <c r="H575" s="147"/>
      <c r="I575" s="150"/>
      <c r="J575" s="144"/>
      <c r="K575" s="151"/>
    </row>
    <row r="576">
      <c r="B576" s="144"/>
      <c r="C576" s="144"/>
      <c r="D576" s="145"/>
      <c r="E576" s="146"/>
      <c r="F576" s="146"/>
      <c r="G576" s="147"/>
      <c r="H576" s="147"/>
      <c r="I576" s="150"/>
      <c r="J576" s="144"/>
      <c r="K576" s="151"/>
    </row>
    <row r="577">
      <c r="B577" s="144"/>
      <c r="C577" s="144"/>
      <c r="D577" s="145"/>
      <c r="E577" s="146"/>
      <c r="F577" s="146"/>
      <c r="G577" s="147"/>
      <c r="H577" s="147"/>
      <c r="I577" s="150"/>
      <c r="J577" s="144"/>
      <c r="K577" s="151"/>
    </row>
    <row r="578">
      <c r="B578" s="144"/>
      <c r="C578" s="144"/>
      <c r="D578" s="145"/>
      <c r="E578" s="146"/>
      <c r="F578" s="146"/>
      <c r="G578" s="147"/>
      <c r="H578" s="147"/>
      <c r="I578" s="150"/>
      <c r="J578" s="144"/>
      <c r="K578" s="151"/>
    </row>
    <row r="579">
      <c r="B579" s="144"/>
      <c r="C579" s="144"/>
      <c r="D579" s="145"/>
      <c r="E579" s="146"/>
      <c r="F579" s="146"/>
      <c r="G579" s="147"/>
      <c r="H579" s="147"/>
      <c r="I579" s="150"/>
      <c r="J579" s="144"/>
      <c r="K579" s="151"/>
    </row>
    <row r="580">
      <c r="B580" s="144"/>
      <c r="C580" s="144"/>
      <c r="D580" s="145"/>
      <c r="E580" s="146"/>
      <c r="F580" s="146"/>
      <c r="G580" s="147"/>
      <c r="H580" s="147"/>
      <c r="I580" s="150"/>
      <c r="J580" s="144"/>
      <c r="K580" s="151"/>
    </row>
    <row r="581">
      <c r="B581" s="144"/>
      <c r="C581" s="144"/>
      <c r="D581" s="145"/>
      <c r="E581" s="146"/>
      <c r="F581" s="146"/>
      <c r="G581" s="147"/>
      <c r="H581" s="147"/>
      <c r="I581" s="150"/>
      <c r="J581" s="144"/>
      <c r="K581" s="151"/>
    </row>
    <row r="582">
      <c r="B582" s="144"/>
      <c r="C582" s="144"/>
      <c r="D582" s="145"/>
      <c r="E582" s="146"/>
      <c r="F582" s="146"/>
      <c r="G582" s="147"/>
      <c r="H582" s="147"/>
      <c r="I582" s="150"/>
      <c r="J582" s="144"/>
      <c r="K582" s="151"/>
    </row>
    <row r="583">
      <c r="B583" s="144"/>
      <c r="C583" s="144"/>
      <c r="D583" s="145"/>
      <c r="E583" s="146"/>
      <c r="F583" s="146"/>
      <c r="G583" s="147"/>
      <c r="H583" s="147"/>
      <c r="I583" s="150"/>
      <c r="J583" s="144"/>
      <c r="K583" s="151"/>
    </row>
    <row r="584">
      <c r="B584" s="144"/>
      <c r="C584" s="144"/>
      <c r="D584" s="145"/>
      <c r="E584" s="146"/>
      <c r="F584" s="146"/>
      <c r="G584" s="147"/>
      <c r="H584" s="147"/>
      <c r="I584" s="150"/>
      <c r="J584" s="144"/>
      <c r="K584" s="151"/>
    </row>
    <row r="585">
      <c r="B585" s="144"/>
      <c r="C585" s="144"/>
      <c r="D585" s="145"/>
      <c r="E585" s="146"/>
      <c r="F585" s="146"/>
      <c r="G585" s="147"/>
      <c r="H585" s="147"/>
      <c r="I585" s="150"/>
      <c r="J585" s="144"/>
      <c r="K585" s="151"/>
    </row>
    <row r="586">
      <c r="B586" s="144"/>
      <c r="C586" s="144"/>
      <c r="D586" s="145"/>
      <c r="E586" s="146"/>
      <c r="F586" s="146"/>
      <c r="G586" s="147"/>
      <c r="H586" s="147"/>
      <c r="I586" s="150"/>
      <c r="J586" s="144"/>
      <c r="K586" s="151"/>
    </row>
    <row r="587">
      <c r="B587" s="144"/>
      <c r="C587" s="144"/>
      <c r="D587" s="145"/>
      <c r="E587" s="146"/>
      <c r="F587" s="146"/>
      <c r="G587" s="147"/>
      <c r="H587" s="147"/>
      <c r="I587" s="150"/>
      <c r="J587" s="144"/>
      <c r="K587" s="151"/>
    </row>
    <row r="588">
      <c r="B588" s="144"/>
      <c r="C588" s="144"/>
      <c r="D588" s="145"/>
      <c r="E588" s="146"/>
      <c r="F588" s="146"/>
      <c r="G588" s="147"/>
      <c r="H588" s="147"/>
      <c r="I588" s="150"/>
      <c r="J588" s="144"/>
      <c r="K588" s="151"/>
    </row>
    <row r="589">
      <c r="B589" s="144"/>
      <c r="C589" s="156"/>
      <c r="D589" s="156"/>
      <c r="E589" s="157"/>
      <c r="F589" s="158"/>
      <c r="G589" s="144"/>
      <c r="H589" s="144"/>
      <c r="I589" s="161"/>
      <c r="J589" s="162"/>
      <c r="K589" s="152"/>
    </row>
    <row r="590">
      <c r="B590" s="107"/>
      <c r="C590" s="107"/>
      <c r="D590" s="107"/>
      <c r="E590" s="159"/>
      <c r="F590" s="107"/>
      <c r="I590" s="107"/>
      <c r="J590" s="107"/>
      <c r="K590" s="152"/>
    </row>
    <row r="591">
      <c r="B591" s="104" t="s">
        <v>710</v>
      </c>
      <c r="K591" s="152"/>
    </row>
    <row r="592">
      <c r="B592" s="153" t="s">
        <v>711</v>
      </c>
      <c r="K592" s="152"/>
    </row>
    <row r="593">
      <c r="B593" s="153" t="s">
        <v>712</v>
      </c>
      <c r="K593" s="152"/>
    </row>
    <row r="594">
      <c r="B594" s="153" t="s">
        <v>713</v>
      </c>
      <c r="K594" s="152"/>
    </row>
    <row r="595">
      <c r="B595" s="160" t="s">
        <v>714</v>
      </c>
      <c r="K595" s="152"/>
    </row>
    <row r="596">
      <c r="K596" s="152"/>
    </row>
    <row r="597">
      <c r="K597" s="152"/>
    </row>
    <row r="598">
      <c r="K598" s="152"/>
    </row>
    <row r="599">
      <c r="K599" s="152"/>
    </row>
    <row r="600">
      <c r="K600" s="152"/>
    </row>
    <row r="601">
      <c r="K601" s="152"/>
    </row>
    <row r="602">
      <c r="K602" s="152"/>
    </row>
    <row r="603">
      <c r="K603" s="152"/>
    </row>
    <row r="604">
      <c r="K604" s="152"/>
    </row>
    <row r="605">
      <c r="K605" s="152"/>
    </row>
  </sheetData>
  <autoFilter ref="B7:K383"/>
  <mergeCells>
    <mergeCell ref="G7:H7"/>
    <mergeCell ref="B7:B8"/>
    <mergeCell ref="C7:C8"/>
    <mergeCell ref="D7:D8"/>
    <mergeCell ref="E7:E8"/>
    <mergeCell ref="F7:F8"/>
    <mergeCell ref="K7:K8"/>
    <mergeCell ref="K9:K42"/>
    <mergeCell ref="K44:K64"/>
    <mergeCell ref="K66:K81"/>
    <mergeCell ref="K83:K124"/>
    <mergeCell ref="K314:K356"/>
    <mergeCell ref="K358:K383"/>
    <mergeCell ref="K385:K426"/>
    <mergeCell ref="K428:K542"/>
    <mergeCell ref="K126:K147"/>
    <mergeCell ref="K149:K168"/>
    <mergeCell ref="K170:K211"/>
    <mergeCell ref="K213:K280"/>
    <mergeCell ref="K282:K311"/>
  </mergeCells>
  <pageMargins left="0.69930555555555596" right="0.69930555555555596" top="0.22916666666666699" bottom="0.16875000000000001" header="0.12916666666666701" footer="0.11874999999999999"/>
  <pageSetup paperSize="9" scale="65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S74"/>
  <sheetViews>
    <sheetView tabSelected="1" zoomScale="55" zoomScaleNormal="55" workbookViewId="0">
      <pane xSplit="5" ySplit="14" topLeftCell="F47" activePane="bottomRight" state="frozen"/>
      <selection pane="topRight"/>
      <selection pane="bottomLeft"/>
      <selection pane="bottomRight" activeCell="J59" sqref="J59"/>
    </sheetView>
  </sheetViews>
  <sheetFormatPr defaultColWidth="9.140625" defaultRowHeight="15"/>
  <cols>
    <col min="1" max="1" width="20.7109375" customWidth="1"/>
    <col min="2" max="2" width="4" customWidth="1"/>
    <col min="3" max="3" width="4.42578125" customWidth="1"/>
    <col min="4" max="4" width="7.5703125" customWidth="1"/>
    <col min="5" max="5" width="25" customWidth="1"/>
    <col min="6" max="6" width="16.42578125" customWidth="1"/>
    <col min="7" max="7" width="27.42578125" customWidth="1"/>
    <col min="8" max="8" width="22.28515625" customWidth="1"/>
    <col min="9" max="9" width="32.42578125" customWidth="1"/>
    <col min="10" max="10" width="26.42578125" customWidth="1"/>
    <col min="11" max="11" width="6.5703125" customWidth="1"/>
    <col min="12" max="12" hidden="1" width="14" customWidth="1"/>
    <col min="15" max="15" width="18.28515625" customWidth="1"/>
    <col min="16" max="16" width="21.42578125" customWidth="1"/>
    <col min="17" max="17" width="20.28515625" customWidth="1"/>
    <col min="18" max="18" width="13.85546875" customWidth="1"/>
    <col min="19" max="19" width="12.5703125" customWidth="1"/>
  </cols>
  <sheetData>
    <row r="1" ht="27" customHeight="1">
      <c r="A1" s="1"/>
      <c r="B1" s="1"/>
      <c r="C1" s="1"/>
      <c r="D1" s="1"/>
      <c r="E1" s="1"/>
      <c r="F1" s="1"/>
      <c r="G1" s="1861" t="s">
        <v>121</v>
      </c>
      <c r="H1" s="2"/>
      <c r="I1" s="2" t="s">
        <v>866</v>
      </c>
      <c r="J1" s="2"/>
    </row>
    <row r="2">
      <c r="A2" s="63" t="s">
        <v>867</v>
      </c>
      <c r="B2" s="63" t="s">
        <v>868</v>
      </c>
      <c r="C2" s="17" t="s">
        <v>869</v>
      </c>
      <c r="D2" s="17"/>
      <c r="E2" s="17"/>
      <c r="F2" s="1"/>
      <c r="H2" s="3"/>
      <c r="I2" s="5" t="s">
        <v>870</v>
      </c>
      <c r="J2" s="3"/>
    </row>
    <row r="3">
      <c r="A3" s="63" t="s">
        <v>871</v>
      </c>
      <c r="B3" s="63" t="s">
        <v>868</v>
      </c>
      <c r="C3" s="1824">
        <v>44428</v>
      </c>
      <c r="D3" s="1824"/>
      <c r="E3" s="1824"/>
      <c r="F3" s="1"/>
      <c r="H3" s="6"/>
      <c r="I3" s="7" t="s">
        <v>872</v>
      </c>
      <c r="J3" s="6"/>
    </row>
    <row r="4">
      <c r="F4" s="1"/>
      <c r="H4" s="8"/>
      <c r="I4" s="9" t="s">
        <v>873</v>
      </c>
      <c r="J4" s="8"/>
    </row>
    <row r="5" ht="6" customHeight="1">
      <c r="F5" s="1"/>
      <c r="H5" s="6"/>
      <c r="I5" s="7"/>
      <c r="J5" s="6"/>
    </row>
    <row r="6">
      <c r="F6" s="1"/>
      <c r="H6" s="8"/>
      <c r="I6" s="9" t="s">
        <v>874</v>
      </c>
      <c r="J6" s="8"/>
    </row>
    <row r="7">
      <c r="A7" s="1"/>
      <c r="B7" s="1"/>
      <c r="C7" s="1"/>
      <c r="D7" s="1"/>
      <c r="E7" s="1"/>
      <c r="F7" s="1"/>
      <c r="H7" s="8"/>
      <c r="I7" s="9" t="s">
        <v>875</v>
      </c>
      <c r="J7" s="8"/>
    </row>
    <row r="8">
      <c r="A8" s="1"/>
      <c r="B8" s="1"/>
      <c r="C8" s="1"/>
      <c r="D8" s="1"/>
      <c r="E8" s="1"/>
      <c r="F8" s="1"/>
      <c r="H8" s="8"/>
      <c r="I8" s="9" t="s">
        <v>876</v>
      </c>
      <c r="J8" s="8"/>
    </row>
    <row r="9">
      <c r="A9" s="1"/>
      <c r="B9" s="1"/>
      <c r="C9" s="1"/>
      <c r="D9" s="1"/>
      <c r="E9" s="1"/>
      <c r="F9" s="1"/>
      <c r="H9" s="8"/>
      <c r="I9" s="9" t="s">
        <v>877</v>
      </c>
      <c r="J9" s="8"/>
    </row>
    <row r="10">
      <c r="F10" s="1"/>
      <c r="G10" s="8"/>
      <c r="H10" s="8"/>
      <c r="I10" s="8"/>
      <c r="J10" s="8"/>
    </row>
    <row r="11">
      <c r="F11" s="64"/>
    </row>
    <row r="12" ht="6" customHeight="1"/>
    <row r="13" ht="36" customHeight="1">
      <c r="A13" s="1825" t="s">
        <v>134</v>
      </c>
      <c r="B13" s="1826"/>
      <c r="C13" s="1826"/>
      <c r="D13" s="1826"/>
      <c r="E13" s="1826"/>
      <c r="F13" s="1827"/>
      <c r="G13" s="1828" t="s">
        <v>878</v>
      </c>
      <c r="H13" s="1828"/>
      <c r="I13" s="1828"/>
      <c r="J13" s="1829"/>
      <c r="K13" s="17"/>
      <c r="L13" s="10"/>
      <c r="O13" s="89"/>
      <c r="P13" s="89"/>
      <c r="Q13" s="101"/>
    </row>
    <row r="14" ht="36" customHeight="1">
      <c r="A14" s="1830" t="s">
        <v>879</v>
      </c>
      <c r="B14" s="1831"/>
      <c r="C14" s="1832"/>
      <c r="D14" s="65" t="s">
        <v>126</v>
      </c>
      <c r="E14" s="66" t="s">
        <v>756</v>
      </c>
      <c r="F14" s="66" t="s">
        <v>880</v>
      </c>
      <c r="G14" s="67" t="s">
        <v>881</v>
      </c>
      <c r="H14" s="67" t="s">
        <v>882</v>
      </c>
      <c r="I14" s="90" t="s">
        <v>883</v>
      </c>
      <c r="J14" s="91" t="s">
        <v>884</v>
      </c>
      <c r="K14" s="92"/>
      <c r="L14" s="93"/>
      <c r="O14" s="94"/>
      <c r="P14" s="94"/>
      <c r="Q14" s="102"/>
    </row>
    <row r="15" ht="21">
      <c r="A15" s="1818"/>
      <c r="B15" s="1819"/>
      <c r="C15" s="1820"/>
      <c r="D15" s="70">
        <v>1</v>
      </c>
      <c r="E15" s="1546" t="s">
        <v>885</v>
      </c>
      <c r="F15" s="1546" t="s">
        <v>48</v>
      </c>
      <c r="G15" s="72">
        <f>+'MALANG BAT AGUSTUS - OK'!M24</f>
        <v>36372220.3458</v>
      </c>
      <c r="H15" s="72">
        <f>+'MALANG BAT AGUSTUS - OK'!O24+'MALANG BAT AGUSTUS - OK'!P24+'MALANG BAT AGUSTUS - OK'!Q24</f>
        <v>1310000</v>
      </c>
      <c r="I15" s="72">
        <f>+'MALANG BAT AGUSTUS - OK'!N24</f>
        <v>2909777.627664</v>
      </c>
      <c r="J15" s="95">
        <f ref="J15:J18" t="shared" si="0">SUM(G15:I15)</f>
        <v>40591997.973464</v>
      </c>
      <c r="K15" s="25"/>
      <c r="O15" s="96">
        <f ref="O15:O21" t="shared" si="1">+I15*10%</f>
        <v>290977.7627664</v>
      </c>
      <c r="P15" s="96">
        <f ref="P15:P21" t="shared" si="2">+O15+J15</f>
        <v>40882975.7362304</v>
      </c>
      <c r="R15" s="56"/>
    </row>
    <row r="16" ht="21">
      <c r="A16" s="1818"/>
      <c r="B16" s="1819"/>
      <c r="C16" s="1820"/>
      <c r="D16" s="70">
        <f>+D15+1</f>
        <v>2</v>
      </c>
      <c r="E16" s="1546" t="s">
        <v>886</v>
      </c>
      <c r="F16" s="1546" t="s">
        <v>48</v>
      </c>
      <c r="G16" s="72">
        <f>+'MALANG BAT 2 AGUSTUS - OK'!M8</f>
        <v>3491577.1475</v>
      </c>
      <c r="H16" s="72">
        <f>+'MALANG BAT 2 AGUSTUS - OK'!O8+'MALANG BAT 2 AGUSTUS - OK'!P8+'MALANG BAT 2 AGUSTUS - OK'!Q8</f>
        <v>500000</v>
      </c>
      <c r="I16" s="72">
        <f>+'MALANG BAT 2 AGUSTUS - OK'!N8</f>
        <v>279326.1718</v>
      </c>
      <c r="J16" s="95">
        <f t="shared" si="0"/>
        <v>4270903.3193</v>
      </c>
      <c r="K16" s="25"/>
      <c r="O16" s="96">
        <f t="shared" si="1"/>
        <v>27932.61718</v>
      </c>
      <c r="P16" s="96">
        <f t="shared" si="2"/>
        <v>4298835.93648</v>
      </c>
    </row>
    <row r="17" ht="21">
      <c r="A17" s="68"/>
      <c r="B17" s="69"/>
      <c r="C17" s="70"/>
      <c r="D17" s="70">
        <f ref="D17:D20" t="shared" si="3">+D16+1</f>
        <v>3</v>
      </c>
      <c r="E17" s="1546" t="s">
        <v>27</v>
      </c>
      <c r="F17" s="1546" t="s">
        <v>28</v>
      </c>
      <c r="G17" s="72">
        <f>+'YAMAZAKI JEMBER AGUSTUS - OK'!M19</f>
        <v>7073741.49452258</v>
      </c>
      <c r="H17" s="72">
        <f>+'YAMAZAKI JEMBER AGUSTUS - OK'!O19+'YAMAZAKI JEMBER AGUSTUS - OK'!P19+'YAMAZAKI JEMBER AGUSTUS - OK'!Q19</f>
        <v>0</v>
      </c>
      <c r="I17" s="72">
        <f>+'YAMAZAKI JEMBER AGUSTUS - OK'!N19</f>
        <v>565899.319561807</v>
      </c>
      <c r="J17" s="95">
        <f>SUM(G17:I17)</f>
        <v>7639640.81408439</v>
      </c>
      <c r="K17" s="25"/>
      <c r="O17" s="96">
        <f t="shared" si="1"/>
        <v>56589.9319561807</v>
      </c>
      <c r="P17" s="96">
        <f t="shared" si="2"/>
        <v>7696230.74604057</v>
      </c>
    </row>
    <row r="18" ht="21">
      <c r="A18" s="68"/>
      <c r="B18" s="69"/>
      <c r="C18" s="70"/>
      <c r="D18" s="70">
        <f t="shared" si="3"/>
        <v>4</v>
      </c>
      <c r="E18" s="1546" t="s">
        <v>47</v>
      </c>
      <c r="F18" s="1546" t="s">
        <v>28</v>
      </c>
      <c r="G18" s="72">
        <f>+'YAMAZAKI MALANG AGUSTUS - OK'!M33</f>
        <v>42089033.2275828</v>
      </c>
      <c r="H18" s="72">
        <f>+'YAMAZAKI MALANG AGUSTUS - OK'!O33+'YAMAZAKI MALANG AGUSTUS - OK'!P33+'YAMAZAKI MALANG AGUSTUS - OK'!Q33</f>
        <v>1356000</v>
      </c>
      <c r="I18" s="72">
        <f>+'YAMAZAKI MALANG AGUSTUS - OK'!N33</f>
        <v>3367122.658206624</v>
      </c>
      <c r="J18" s="95">
        <f t="shared" si="0"/>
        <v>46812155.885789424</v>
      </c>
      <c r="K18" s="25"/>
      <c r="O18" s="96">
        <f ref="O18:O20" t="shared" si="5">+I18*10%</f>
        <v>336712.26582066243</v>
      </c>
      <c r="P18" s="96">
        <f ref="P18:P20" t="shared" si="6">+O18+J18</f>
        <v>47148868.151610084</v>
      </c>
    </row>
    <row r="19" ht="21">
      <c r="A19" s="1818"/>
      <c r="B19" s="1819"/>
      <c r="C19" s="1820"/>
      <c r="D19" s="70">
        <f t="shared" si="3"/>
        <v>5</v>
      </c>
      <c r="E19" s="1546" t="s">
        <v>771</v>
      </c>
      <c r="F19" s="1546" t="s">
        <v>87</v>
      </c>
      <c r="G19" s="72">
        <f>+'MADIUN ANTERAJA AGUSTUS - OK'!M26</f>
        <v>39829445.115499996</v>
      </c>
      <c r="H19" s="72">
        <f>+'MADIUN ANTERAJA AGUSTUS - OK'!O26+'MADIUN ANTERAJA AGUSTUS - OK'!Q26</f>
        <v>12272500</v>
      </c>
      <c r="I19" s="72">
        <f>+'MADIUN ANTERAJA AGUSTUS - OK'!N26</f>
        <v>3186355.6092400006</v>
      </c>
      <c r="J19" s="95">
        <f ref="J19:J21" t="shared" si="7">SUM(G19:I19)</f>
        <v>55288300.72474</v>
      </c>
      <c r="K19" s="25"/>
      <c r="O19" s="96">
        <f t="shared" si="5"/>
        <v>318635.5609240001</v>
      </c>
      <c r="P19" s="96">
        <f t="shared" si="6"/>
        <v>55606936.285664</v>
      </c>
    </row>
    <row r="20" ht="21">
      <c r="A20" s="1818"/>
      <c r="B20" s="1819"/>
      <c r="C20" s="1820"/>
      <c r="D20" s="70">
        <f t="shared" si="3"/>
        <v>6</v>
      </c>
      <c r="E20" s="1546" t="s">
        <v>27</v>
      </c>
      <c r="F20" s="1546" t="s">
        <v>87</v>
      </c>
      <c r="G20" s="72">
        <f>+'JEMBER ANTERAJA AGUSTUS - OK'!M43</f>
        <v>16946670.029238705</v>
      </c>
      <c r="H20" s="72">
        <f>+'JEMBER ANTERAJA AGUSTUS - OK'!O43+'JEMBER ANTERAJA AGUSTUS - OK'!P43+'JEMBER ANTERAJA AGUSTUS - OK'!Q43</f>
        <v>3873000</v>
      </c>
      <c r="I20" s="72">
        <f>+'JEMBER ANTERAJA AGUSTUS - OK'!N43</f>
        <v>1355733.6023390973</v>
      </c>
      <c r="J20" s="95">
        <f t="shared" si="7"/>
        <v>22175403.6315778</v>
      </c>
      <c r="K20" s="25"/>
      <c r="O20" s="96">
        <f t="shared" si="5"/>
        <v>135573.36023390974</v>
      </c>
      <c r="P20" s="96">
        <f t="shared" si="6"/>
        <v>22310976.99181171</v>
      </c>
    </row>
    <row r="21" ht="21">
      <c r="A21" s="68"/>
      <c r="B21" s="69"/>
      <c r="C21" s="70"/>
      <c r="D21" s="70">
        <f ref="D21:D25" t="shared" si="8">+D20+1</f>
        <v>7</v>
      </c>
      <c r="E21" s="1546" t="s">
        <v>769</v>
      </c>
      <c r="F21" s="1546" t="s">
        <v>87</v>
      </c>
      <c r="G21" s="72">
        <f>+'BANYUWANGI ANTERAJA AGUSTS - OK'!M14</f>
        <v>15114546.600038711</v>
      </c>
      <c r="H21" s="72">
        <f>+'BANYUWANGI ANTERAJA AGUSTS - OK'!O14</f>
        <v>5490000</v>
      </c>
      <c r="I21" s="72">
        <f>+'BANYUWANGI ANTERAJA AGUSTS - OK'!N14</f>
        <v>1209163.7280030968</v>
      </c>
      <c r="J21" s="95">
        <f t="shared" si="7"/>
        <v>21813710.328041807</v>
      </c>
      <c r="K21" s="25"/>
      <c r="O21" s="96">
        <f t="shared" si="1"/>
        <v>120916.37280030968</v>
      </c>
      <c r="P21" s="96">
        <f t="shared" si="2"/>
        <v>21934626.700842116</v>
      </c>
    </row>
    <row r="22" ht="21">
      <c r="A22" s="1818"/>
      <c r="B22" s="1819"/>
      <c r="C22" s="1820"/>
      <c r="D22" s="70">
        <f t="shared" si="8"/>
        <v>8</v>
      </c>
      <c r="E22" s="1546" t="s">
        <v>759</v>
      </c>
      <c r="F22" s="1546" t="s">
        <v>87</v>
      </c>
      <c r="G22" s="72">
        <f>+'PAMEKASAN ANTERAJA AGUST- OK'!M16</f>
        <v>18916899.05726129</v>
      </c>
      <c r="H22" s="72">
        <f>+'PAMEKASAN ANTERAJA AGUST- OK'!O16+'PAMEKASAN ANTERAJA AGUST- OK'!P16+'PAMEKASAN ANTERAJA AGUST- OK'!Q16</f>
        <v>7630000</v>
      </c>
      <c r="I22" s="72">
        <f>+'PAMEKASAN ANTERAJA AGUST- OK'!N16</f>
        <v>1513351.924580903</v>
      </c>
      <c r="J22" s="95">
        <f ref="J22:J23" t="shared" si="9">SUM(G22:I22)</f>
        <v>28060250.98184219</v>
      </c>
      <c r="K22" s="25"/>
      <c r="O22" s="96">
        <f ref="O22:O45" t="shared" si="10">+I22*10%</f>
        <v>151335.1924580903</v>
      </c>
      <c r="P22" s="96">
        <f ref="P22:P45" t="shared" si="11">+O22+J22</f>
        <v>28211586.17430028</v>
      </c>
    </row>
    <row r="23" ht="21">
      <c r="A23" s="1818"/>
      <c r="B23" s="1819"/>
      <c r="C23" s="1820"/>
      <c r="D23" s="70">
        <f t="shared" si="8"/>
        <v>9</v>
      </c>
      <c r="E23" s="1546" t="s">
        <v>761</v>
      </c>
      <c r="F23" s="1546" t="s">
        <v>87</v>
      </c>
      <c r="G23" s="72">
        <f>+'LAMONGAN ANTERAJA AGUST - OK'!M27</f>
        <v>40117614.32007742</v>
      </c>
      <c r="H23" s="72">
        <f>+'LAMONGAN ANTERAJA AGUST - OK'!O27+'LAMONGAN ANTERAJA AGUST - OK'!P27+'LAMONGAN ANTERAJA AGUST - OK'!Q27</f>
        <v>14561000</v>
      </c>
      <c r="I23" s="72">
        <f>+'LAMONGAN ANTERAJA AGUST - OK'!N27</f>
        <v>3209409.145606194</v>
      </c>
      <c r="J23" s="95">
        <f t="shared" si="9"/>
        <v>57888023.46568362</v>
      </c>
      <c r="K23" s="25"/>
      <c r="O23" s="96">
        <f t="shared" si="10"/>
        <v>320940.91456061945</v>
      </c>
      <c r="P23" s="96">
        <f t="shared" si="11"/>
        <v>58208964.38024423</v>
      </c>
    </row>
    <row r="24" ht="21">
      <c r="A24" s="1818"/>
      <c r="B24" s="1819"/>
      <c r="C24" s="1820"/>
      <c r="D24" s="70">
        <f t="shared" si="8"/>
        <v>10</v>
      </c>
      <c r="E24" s="1546" t="s">
        <v>762</v>
      </c>
      <c r="F24" s="1546" t="s">
        <v>87</v>
      </c>
      <c r="G24" s="72">
        <f>+'TUBAN ANTERAJA AGUSTUS - OK'!M9</f>
        <v>5645988.5652</v>
      </c>
      <c r="H24" s="72">
        <f>+'TUBAN ANTERAJA AGUSTUS - OK'!O9+'TUBAN ANTERAJA AGUSTUS - OK'!P9+'TUBAN ANTERAJA AGUSTUS - OK'!Q9</f>
        <v>1460000</v>
      </c>
      <c r="I24" s="72">
        <f>+'TUBAN ANTERAJA AGUSTUS - OK'!N9</f>
        <v>451679.08521600004</v>
      </c>
      <c r="J24" s="95">
        <f ref="J24:J26" t="shared" si="12">SUM(G24:I24)</f>
        <v>7557667.650416</v>
      </c>
      <c r="K24" s="25"/>
      <c r="O24" s="96">
        <f ref="O24:O42" t="shared" si="13">+I24*10%</f>
        <v>45167.90852160001</v>
      </c>
      <c r="P24" s="96">
        <f ref="P24:P42" t="shared" si="14">+O24+J24</f>
        <v>7602835.5589376</v>
      </c>
    </row>
    <row r="25" ht="21">
      <c r="A25" s="1818"/>
      <c r="B25" s="1819"/>
      <c r="C25" s="1820"/>
      <c r="D25" s="70">
        <f t="shared" si="8"/>
        <v>11</v>
      </c>
      <c r="E25" s="1546" t="s">
        <v>193</v>
      </c>
      <c r="F25" s="1546" t="s">
        <v>87</v>
      </c>
      <c r="G25" s="72">
        <f>+'SURABAYA ANTERAJA AGUSTUS - OK'!M227</f>
        <v>978461671.443778</v>
      </c>
      <c r="H25" s="72">
        <f>+'SURABAYA ANTERAJA AGUSTUS - OK'!P227+'SURABAYA ANTERAJA AGUSTUS - OK'!O227+'SURABAYA ANTERAJA AGUSTUS - OK'!Q227</f>
        <v>124008000</v>
      </c>
      <c r="I25" s="72">
        <f>+'SURABAYA ANTERAJA AGUSTUS - OK'!N227</f>
        <v>78276933.7155022</v>
      </c>
      <c r="J25" s="95">
        <f t="shared" si="12"/>
        <v>1180746605.1592803</v>
      </c>
      <c r="K25" s="25"/>
      <c r="O25" s="96">
        <f t="shared" si="13"/>
        <v>7827693.37155022</v>
      </c>
      <c r="P25" s="96">
        <f t="shared" si="14"/>
        <v>1188574298.5308306</v>
      </c>
      <c r="R25" s="56"/>
    </row>
    <row r="26" ht="21">
      <c r="A26" s="1818"/>
      <c r="B26" s="1819"/>
      <c r="C26" s="1820"/>
      <c r="D26" s="70">
        <f ref="D26:D45" t="shared" si="15">+D25+1</f>
        <v>12</v>
      </c>
      <c r="E26" s="1546" t="s">
        <v>887</v>
      </c>
      <c r="F26" s="1546" t="s">
        <v>87</v>
      </c>
      <c r="G26" s="72">
        <f>+'MALANG ANTERAJA AGUSTUS - OK'!M92</f>
        <v>236155366.22365168</v>
      </c>
      <c r="H26" s="72">
        <f>+'MALANG ANTERAJA AGUSTUS - OK'!O92+'MALANG ANTERAJA AGUSTUS - OK'!P92+'MALANG ANTERAJA AGUSTUS - OK'!Q92</f>
        <v>44020500</v>
      </c>
      <c r="I26" s="72">
        <f>+'MALANG ANTERAJA AGUSTUS - OK'!N92</f>
        <v>18892429.297892123</v>
      </c>
      <c r="J26" s="95">
        <f t="shared" si="12"/>
        <v>299068295.52154374</v>
      </c>
      <c r="K26" s="25"/>
      <c r="O26" s="96">
        <f t="shared" si="13"/>
        <v>1889242.9297892125</v>
      </c>
      <c r="P26" s="96">
        <f t="shared" si="14"/>
        <v>300957538.4513329</v>
      </c>
      <c r="R26" s="56"/>
    </row>
    <row r="27" ht="21">
      <c r="A27" s="1818"/>
      <c r="B27" s="1819"/>
      <c r="C27" s="1820"/>
      <c r="D27" s="70">
        <f t="shared" si="15"/>
        <v>13</v>
      </c>
      <c r="E27" s="1546" t="s">
        <v>314</v>
      </c>
      <c r="F27" s="1546" t="s">
        <v>87</v>
      </c>
      <c r="G27" s="72">
        <f>+'PROBOLINGGO ANTERAJA AGUST - OK'!M26</f>
        <v>41752349.38807742</v>
      </c>
      <c r="H27" s="72">
        <f>+'PROBOLINGGO ANTERAJA AGUST - OK'!O26</f>
        <v>8594500</v>
      </c>
      <c r="I27" s="72">
        <f>+'PROBOLINGGO ANTERAJA AGUST - OK'!N26</f>
        <v>3340187.951046195</v>
      </c>
      <c r="J27" s="95">
        <f>SUM(G27:I27)</f>
        <v>53687037.33912362</v>
      </c>
      <c r="K27" s="25"/>
      <c r="O27" s="96">
        <f t="shared" si="13"/>
        <v>334018.7951046195</v>
      </c>
      <c r="P27" s="96">
        <f t="shared" si="14"/>
        <v>54021056.134228244</v>
      </c>
    </row>
    <row r="28" ht="21">
      <c r="A28" s="1818"/>
      <c r="B28" s="1819"/>
      <c r="C28" s="1820"/>
      <c r="D28" s="70">
        <f t="shared" si="15"/>
        <v>14</v>
      </c>
      <c r="E28" s="1546" t="s">
        <v>312</v>
      </c>
      <c r="F28" s="1546" t="s">
        <v>87</v>
      </c>
      <c r="G28" s="72">
        <f>+'JOMBANG ANTERAJA AGUST - OK'!M66</f>
        <v>138894173.9375999</v>
      </c>
      <c r="H28" s="72">
        <f>+'JOMBANG ANTERAJA AGUST - OK'!O66+'JOMBANG ANTERAJA AGUST - OK'!P66+'JOMBANG ANTERAJA AGUST - OK'!Q66</f>
        <v>23505500</v>
      </c>
      <c r="I28" s="72">
        <f>+'JOMBANG ANTERAJA AGUST - OK'!N66</f>
        <v>11111533.915007986</v>
      </c>
      <c r="J28" s="95">
        <f>SUM(G28:I28)</f>
        <v>173511207.85260788</v>
      </c>
      <c r="K28" s="25"/>
      <c r="O28" s="96">
        <f t="shared" si="13"/>
        <v>1111153.3915007988</v>
      </c>
      <c r="P28" s="96">
        <f t="shared" si="14"/>
        <v>174622361.24410868</v>
      </c>
    </row>
    <row r="29" ht="21">
      <c r="A29" s="1818"/>
      <c r="B29" s="1819"/>
      <c r="C29" s="1820"/>
      <c r="D29" s="70">
        <f t="shared" si="15"/>
        <v>15</v>
      </c>
      <c r="E29" s="1546" t="s">
        <v>200</v>
      </c>
      <c r="F29" s="1546" t="s">
        <v>888</v>
      </c>
      <c r="G29" s="72">
        <f>+'BALI CK AGUSTUS - OK'!M22</f>
        <v>31698589.758496</v>
      </c>
      <c r="H29" s="72">
        <f>+'BALI CK AGUSTUS - OK'!O22+'BALI CK AGUSTUS - OK'!P22+'BALI CK AGUSTUS - OK'!Q22</f>
        <v>21980000</v>
      </c>
      <c r="I29" s="72">
        <f>+'BALI CK AGUSTUS - OK'!N22</f>
        <v>2535887.18067968</v>
      </c>
      <c r="J29" s="95">
        <f ref="J29:J41" t="shared" si="18">SUM(G29:I29)</f>
        <v>56214476.9391757</v>
      </c>
      <c r="K29" s="25"/>
      <c r="O29" s="96">
        <f t="shared" si="13"/>
        <v>253588.718067968</v>
      </c>
      <c r="P29" s="96">
        <f t="shared" si="14"/>
        <v>56468065.6572436</v>
      </c>
    </row>
    <row r="30" ht="21">
      <c r="A30" s="1818"/>
      <c r="B30" s="1819"/>
      <c r="C30" s="1820"/>
      <c r="D30" s="70">
        <f t="shared" si="15"/>
        <v>16</v>
      </c>
      <c r="E30" s="1546" t="s">
        <v>200</v>
      </c>
      <c r="F30" s="1546" t="s">
        <v>889</v>
      </c>
      <c r="G30" s="72">
        <f>+'BALI AOP AGUSTUS - OK'!M12</f>
        <v>9082227.977741927</v>
      </c>
      <c r="H30" s="72">
        <f>+'BALI AOP AGUSTUS - OK'!O12+'BALI AOP AGUSTUS - OK'!Q12</f>
        <v>0</v>
      </c>
      <c r="I30" s="72">
        <f>+'BALI AOP AGUSTUS - OK'!N12</f>
        <v>726578.2382193542</v>
      </c>
      <c r="J30" s="95">
        <f t="shared" si="18"/>
        <v>9808806.215961281</v>
      </c>
      <c r="K30" s="25"/>
      <c r="O30" s="96">
        <f t="shared" si="13"/>
        <v>72657.82382193542</v>
      </c>
      <c r="P30" s="96">
        <f t="shared" si="14"/>
        <v>9881464.039783217</v>
      </c>
    </row>
    <row r="31" ht="21">
      <c r="A31" s="1818"/>
      <c r="B31" s="1819"/>
      <c r="C31" s="1820"/>
      <c r="D31" s="70">
        <f t="shared" si="15"/>
        <v>17</v>
      </c>
      <c r="E31" s="1546" t="s">
        <v>200</v>
      </c>
      <c r="F31" s="1546" t="s">
        <v>87</v>
      </c>
      <c r="G31" s="72">
        <f>+'BALI ANTERAJA AGUSTUS - OK'!M25</f>
        <v>33944440.416344084</v>
      </c>
      <c r="H31" s="72">
        <f>+'BALI ANTERAJA AGUSTUS - OK'!O25+'BALI ANTERAJA AGUSTUS - OK'!P25+'BALI ANTERAJA AGUSTUS - OK'!Q25</f>
        <v>13798500</v>
      </c>
      <c r="I31" s="72">
        <f>+'BALI ANTERAJA AGUSTUS - OK'!N25</f>
        <v>2715555.233307527</v>
      </c>
      <c r="J31" s="95">
        <f t="shared" si="18"/>
        <v>50458495.64965161</v>
      </c>
      <c r="K31" s="25"/>
      <c r="O31" s="96">
        <f t="shared" si="13"/>
        <v>271555.5233307527</v>
      </c>
      <c r="P31" s="96">
        <f t="shared" si="14"/>
        <v>50730051.172982365</v>
      </c>
    </row>
    <row r="32" ht="21">
      <c r="A32" s="1818"/>
      <c r="B32" s="1819"/>
      <c r="C32" s="1820"/>
      <c r="D32" s="70">
        <f>+D33+1</f>
        <v>19</v>
      </c>
      <c r="E32" s="1546" t="s">
        <v>381</v>
      </c>
      <c r="F32" s="1546" t="s">
        <v>87</v>
      </c>
      <c r="G32" s="72">
        <f>+'MATARAM ANTERAJA AGUSTUS - OK'!M13</f>
        <v>14624252.499000002</v>
      </c>
      <c r="H32" s="72">
        <f>+'MATARAM ANTERAJA AGUSTUS - OK'!O13+'MATARAM ANTERAJA AGUSTUS - OK'!Q13</f>
        <v>2882000</v>
      </c>
      <c r="I32" s="72">
        <f>+'MATARAM ANTERAJA AGUSTUS - OK'!N13</f>
        <v>1169940.19992</v>
      </c>
      <c r="J32" s="95">
        <f t="shared" si="18"/>
        <v>18676192.69892</v>
      </c>
      <c r="K32" s="25"/>
      <c r="O32" s="96">
        <f t="shared" si="13"/>
        <v>116994.01999200002</v>
      </c>
      <c r="P32" s="96">
        <f t="shared" si="14"/>
        <v>18793186.718912</v>
      </c>
    </row>
    <row r="33" ht="21">
      <c r="A33" s="1818"/>
      <c r="B33" s="1819"/>
      <c r="C33" s="1820"/>
      <c r="D33" s="70">
        <f>+D31+1</f>
        <v>18</v>
      </c>
      <c r="E33" s="1546" t="s">
        <v>782</v>
      </c>
      <c r="F33" s="1546" t="s">
        <v>87</v>
      </c>
      <c r="G33" s="72">
        <f>+'SUMBAWA ANTERAJA - OK'!M9</f>
        <v>2498064.988819356</v>
      </c>
      <c r="H33" s="72">
        <f>+'SUMBAWA ANTERAJA - OK'!O9+'SUMBAWA ANTERAJA - OK'!P9+'SUMBAWA ANTERAJA - OK'!Q9</f>
        <v>0</v>
      </c>
      <c r="I33" s="72">
        <f>+'SUMBAWA ANTERAJA - OK'!N9</f>
        <v>199845.1991055485</v>
      </c>
      <c r="J33" s="95">
        <f>SUM(G33:I33)</f>
        <v>2697910.1879249047</v>
      </c>
      <c r="K33" s="25"/>
      <c r="O33" s="96">
        <f>+I33*10%</f>
        <v>19984.519910554853</v>
      </c>
      <c r="P33" s="96">
        <f>+O33+J33</f>
        <v>2717894.7078354596</v>
      </c>
    </row>
    <row r="34" ht="21">
      <c r="A34" s="1818"/>
      <c r="B34" s="1819"/>
      <c r="C34" s="1820"/>
      <c r="D34" s="70">
        <f>+D32+1</f>
        <v>20</v>
      </c>
      <c r="E34" s="1546" t="s">
        <v>783</v>
      </c>
      <c r="F34" s="1546" t="s">
        <v>87</v>
      </c>
      <c r="G34" s="72">
        <f>+'BIMA ANTERAJA - OK'!M9</f>
        <v>2524282.41935484</v>
      </c>
      <c r="H34" s="72">
        <f>+'BIMA ANTERAJA - OK'!O9</f>
        <v>0</v>
      </c>
      <c r="I34" s="72">
        <f>+'BIMA ANTERAJA - OK'!N9</f>
        <v>201942.59354838723</v>
      </c>
      <c r="J34" s="95">
        <f>SUM(G34:I34)</f>
        <v>2726225.0129032275</v>
      </c>
      <c r="K34" s="25"/>
      <c r="O34" s="96">
        <f>+I34*10%</f>
        <v>20194.259354838723</v>
      </c>
      <c r="P34" s="96">
        <f>+O34+J34</f>
        <v>2746419.272258066</v>
      </c>
    </row>
    <row r="35" ht="21">
      <c r="A35" s="1818"/>
      <c r="B35" s="1819"/>
      <c r="C35" s="1820"/>
      <c r="D35" s="70">
        <f>+D32+1</f>
        <v>20</v>
      </c>
      <c r="E35" s="1546" t="s">
        <v>139</v>
      </c>
      <c r="F35" s="1546" t="s">
        <v>140</v>
      </c>
      <c r="G35" s="72">
        <f>+'SAT REMBANG AGUSTUS - OK'!M127</f>
        <v>228622033.082796</v>
      </c>
      <c r="H35" s="72">
        <f>+'SAT REMBANG AGUSTUS - OK'!O127+'SAT REMBANG AGUSTUS - OK'!P127+'SAT REMBANG AGUSTUS - OK'!Q127</f>
        <v>162753000</v>
      </c>
      <c r="I35" s="72">
        <f>+'SAT REMBANG AGUSTUS - OK'!N127</f>
        <v>18289762.6466236</v>
      </c>
      <c r="J35" s="95">
        <f t="shared" si="18"/>
        <v>409664795.72942</v>
      </c>
      <c r="K35" s="17"/>
      <c r="L35" s="59"/>
      <c r="O35" s="96">
        <f t="shared" si="13"/>
        <v>1828976.26466236</v>
      </c>
      <c r="P35" s="96">
        <f t="shared" si="14"/>
        <v>411493771.994082</v>
      </c>
      <c r="Q35" s="101"/>
      <c r="R35" s="58"/>
    </row>
    <row r="36" ht="21">
      <c r="A36" s="1818"/>
      <c r="B36" s="1819"/>
      <c r="C36" s="1820"/>
      <c r="D36" s="70">
        <f t="shared" si="15"/>
        <v>21</v>
      </c>
      <c r="E36" s="1546" t="s">
        <v>176</v>
      </c>
      <c r="F36" s="1546" t="s">
        <v>261</v>
      </c>
      <c r="G36" s="72">
        <f>+'SEMARANG AOP AGUSTUS - OK'!M25</f>
        <v>38786579.06991936</v>
      </c>
      <c r="H36" s="72">
        <f>+'SEMARANG AOP AGUSTUS - OK'!O25+'SEMARANG AOP AGUSTUS - OK'!P25+'SEMARANG AOP AGUSTUS - OK'!Q25</f>
        <v>908000</v>
      </c>
      <c r="I36" s="72">
        <f>+'SEMARANG AOP AGUSTUS - OK'!N25</f>
        <v>3102926.3255935484</v>
      </c>
      <c r="J36" s="95">
        <f t="shared" si="18"/>
        <v>42797505.39551291</v>
      </c>
      <c r="K36" s="25"/>
      <c r="M36" s="97"/>
      <c r="N36" s="97"/>
      <c r="O36" s="96">
        <f t="shared" si="13"/>
        <v>310292.6325593548</v>
      </c>
      <c r="P36" s="96">
        <f t="shared" si="14"/>
        <v>43107798.02807226</v>
      </c>
    </row>
    <row r="37" ht="21">
      <c r="A37" s="1818"/>
      <c r="B37" s="1819"/>
      <c r="C37" s="1820"/>
      <c r="D37" s="70">
        <f t="shared" si="15"/>
        <v>22</v>
      </c>
      <c r="E37" s="1546" t="s">
        <v>176</v>
      </c>
      <c r="F37" s="1546" t="s">
        <v>87</v>
      </c>
      <c r="G37" s="72">
        <f>+'SEMARANG ANTERAJA AGUSTUS- OK'!M55</f>
        <v>131093190.22879</v>
      </c>
      <c r="H37" s="72">
        <f>+'SEMARANG ANTERAJA AGUSTUS- OK'!O55+'SEMARANG ANTERAJA AGUSTUS- OK'!P55+'SEMARANG ANTERAJA AGUSTUS- OK'!Q55</f>
        <v>39429000</v>
      </c>
      <c r="I37" s="72">
        <f>+'SEMARANG ANTERAJA AGUSTUS- OK'!N55</f>
        <v>10487455.21830323</v>
      </c>
      <c r="J37" s="95">
        <f t="shared" si="18"/>
        <v>181009645.44709322</v>
      </c>
      <c r="K37" s="25"/>
      <c r="O37" s="96">
        <f t="shared" si="13"/>
        <v>1048745.521830323</v>
      </c>
      <c r="P37" s="96">
        <f t="shared" si="14"/>
        <v>182058390.96892354</v>
      </c>
    </row>
    <row r="38" ht="21">
      <c r="A38" s="1818"/>
      <c r="B38" s="1819"/>
      <c r="C38" s="1820"/>
      <c r="D38" s="70">
        <f t="shared" si="15"/>
        <v>23</v>
      </c>
      <c r="E38" s="1546" t="s">
        <v>119</v>
      </c>
      <c r="F38" s="1546" t="s">
        <v>261</v>
      </c>
      <c r="G38" s="72">
        <f>+'PURWOKERTO AOP AGUSTUS - OK'!M12</f>
        <v>8798132.000000004</v>
      </c>
      <c r="H38" s="72">
        <f>+'PURWOKERTO AOP AGUSTUS - OK'!O12+'PURWOKERTO AOP AGUSTUS - OK'!P12+'PURWOKERTO AOP AGUSTUS - OK'!Q12</f>
        <v>0</v>
      </c>
      <c r="I38" s="72">
        <f>+'PURWOKERTO AOP AGUSTUS - OK'!N12</f>
        <v>703850.5600000003</v>
      </c>
      <c r="J38" s="95">
        <f t="shared" si="18"/>
        <v>9501982.560000004</v>
      </c>
      <c r="K38" s="25"/>
      <c r="O38" s="96">
        <f t="shared" si="13"/>
        <v>70385.05600000003</v>
      </c>
      <c r="P38" s="96">
        <f t="shared" si="14"/>
        <v>9572367.616000004</v>
      </c>
      <c r="R38" s="56"/>
      <c r="S38" s="56"/>
    </row>
    <row r="39" ht="21">
      <c r="A39" s="1818"/>
      <c r="B39" s="1819"/>
      <c r="C39" s="1820"/>
      <c r="D39" s="70">
        <f t="shared" si="15"/>
        <v>24</v>
      </c>
      <c r="E39" s="1546" t="s">
        <v>119</v>
      </c>
      <c r="F39" s="1546" t="s">
        <v>87</v>
      </c>
      <c r="G39" s="72">
        <f>+'PURWOKERTO ANTERAJA AGUSTS - OK'!M30</f>
        <v>35052098.225806445</v>
      </c>
      <c r="H39" s="72">
        <f>+'PURWOKERTO ANTERAJA AGUSTS - OK'!O30+'PURWOKERTO ANTERAJA AGUSTS - OK'!P30+'PURWOKERTO ANTERAJA AGUSTS - OK'!Q30</f>
        <v>12574000</v>
      </c>
      <c r="I39" s="72">
        <f>+'PURWOKERTO ANTERAJA AGUSTS - OK'!N30</f>
        <v>2804167.858064517</v>
      </c>
      <c r="J39" s="95">
        <f t="shared" si="18"/>
        <v>50430266.08387096</v>
      </c>
      <c r="K39" s="25"/>
      <c r="O39" s="96">
        <f t="shared" si="13"/>
        <v>280416.7858064517</v>
      </c>
      <c r="P39" s="96">
        <f t="shared" si="14"/>
        <v>50710682.86967742</v>
      </c>
    </row>
    <row r="40" ht="21">
      <c r="A40" s="1818"/>
      <c r="B40" s="1819"/>
      <c r="C40" s="1820"/>
      <c r="D40" s="70">
        <f>+D38+1</f>
        <v>24</v>
      </c>
      <c r="E40" s="1546" t="s">
        <v>504</v>
      </c>
      <c r="F40" s="1546" t="s">
        <v>87</v>
      </c>
      <c r="G40" s="72">
        <f>+'JOGJA ANTERAJA AGUSTUS - OK'!M66</f>
        <v>106733474.765</v>
      </c>
      <c r="H40" s="72">
        <f>+'JOGJA ANTERAJA AGUSTUS - OK'!O66+'JOGJA ANTERAJA AGUSTUS - OK'!P66+'JOGJA ANTERAJA AGUSTUS - OK'!Q66</f>
        <v>33939000</v>
      </c>
      <c r="I40" s="72">
        <f>+'JOGJA ANTERAJA AGUSTUS - OK'!N66</f>
        <v>8538677.98120001</v>
      </c>
      <c r="J40" s="95">
        <f t="shared" si="18"/>
        <v>149211152.7462</v>
      </c>
      <c r="K40" s="25"/>
      <c r="O40" s="96">
        <f t="shared" si="13"/>
        <v>853867.798120001</v>
      </c>
      <c r="P40" s="96">
        <f t="shared" si="14"/>
        <v>150065020.54432</v>
      </c>
    </row>
    <row r="41" ht="21">
      <c r="A41" s="68"/>
      <c r="B41" s="69"/>
      <c r="C41" s="70"/>
      <c r="D41" s="70">
        <f>+D39+1</f>
        <v>25</v>
      </c>
      <c r="E41" s="1546" t="s">
        <v>772</v>
      </c>
      <c r="F41" s="1546" t="s">
        <v>87</v>
      </c>
      <c r="G41" s="72">
        <f>+'TEGAL ANTERAJA AGUSTUS - OK'!M26</f>
        <v>26333928.433064524</v>
      </c>
      <c r="H41" s="72">
        <f>+'TEGAL ANTERAJA AGUSTUS - OK'!O26+'TEGAL ANTERAJA AGUSTUS - OK'!P26+'TEGAL ANTERAJA AGUSTUS - OK'!Q26</f>
        <v>9364500</v>
      </c>
      <c r="I41" s="72">
        <f>+'TEGAL ANTERAJA AGUSTUS - OK'!N26</f>
        <v>2106714.2746451623</v>
      </c>
      <c r="J41" s="95">
        <f t="shared" si="18"/>
        <v>37805142.707709685</v>
      </c>
      <c r="K41" s="25"/>
      <c r="O41" s="96">
        <f t="shared" si="13"/>
        <v>210671.42746451625</v>
      </c>
      <c r="P41" s="96">
        <f t="shared" si="14"/>
        <v>38015814.1351742</v>
      </c>
    </row>
    <row r="42" ht="21">
      <c r="A42" s="68"/>
      <c r="B42" s="69"/>
      <c r="C42" s="70"/>
      <c r="D42" s="70">
        <f t="shared" si="15"/>
        <v>26</v>
      </c>
      <c r="E42" s="1546" t="s">
        <v>514</v>
      </c>
      <c r="F42" s="1546" t="s">
        <v>87</v>
      </c>
      <c r="G42" s="72">
        <f>+'CILACAP ANTERAJA AGUSTUS - OK'!M9</f>
        <v>4973263.291200001</v>
      </c>
      <c r="H42" s="72">
        <f>+'CILACAP ANTERAJA AGUSTUS - OK'!O9+'CILACAP ANTERAJA AGUSTUS - OK'!P9+'CILACAP ANTERAJA AGUSTUS - OK'!Q9</f>
        <v>1492500</v>
      </c>
      <c r="I42" s="72">
        <f>+'CILACAP ANTERAJA AGUSTUS - OK'!N9</f>
        <v>397861.06329600007</v>
      </c>
      <c r="J42" s="95">
        <f>SUM(G42:I42)</f>
        <v>6863624.354496001</v>
      </c>
      <c r="K42" s="25"/>
      <c r="O42" s="96">
        <f t="shared" si="13"/>
        <v>39786.10632960001</v>
      </c>
      <c r="P42" s="96">
        <f t="shared" si="14"/>
        <v>6903410.460825602</v>
      </c>
    </row>
    <row r="43" ht="21">
      <c r="A43" s="73"/>
      <c r="B43" s="74"/>
      <c r="C43" s="75"/>
      <c r="D43" s="70">
        <f t="shared" si="15"/>
        <v>27</v>
      </c>
      <c r="E43" s="1547" t="s">
        <v>686</v>
      </c>
      <c r="F43" s="1546" t="s">
        <v>87</v>
      </c>
      <c r="G43" s="76">
        <f>+'PEMALANG ANTERAJA AGUSTUS - OK'!M9</f>
        <v>4301482.8</v>
      </c>
      <c r="H43" s="76">
        <f>+'PEMALANG ANTERAJA AGUSTUS - OK'!O9+'PEMALANG ANTERAJA AGUSTUS - OK'!P9+'PEMALANG ANTERAJA AGUSTUS - OK'!Q9</f>
        <v>795000</v>
      </c>
      <c r="I43" s="76">
        <f>+'PEMALANG ANTERAJA AGUSTUS - OK'!N9</f>
        <v>344118.624</v>
      </c>
      <c r="J43" s="95">
        <f>SUM(G43:I43)</f>
        <v>5440601.424</v>
      </c>
      <c r="K43" s="25"/>
      <c r="O43" s="96">
        <f t="shared" si="10"/>
        <v>34411.862400000005</v>
      </c>
      <c r="P43" s="96">
        <f t="shared" si="11"/>
        <v>5475013.2864</v>
      </c>
    </row>
    <row r="44" ht="21">
      <c r="A44" s="68"/>
      <c r="B44" s="69"/>
      <c r="C44" s="70"/>
      <c r="D44" s="70">
        <f t="shared" si="15"/>
        <v>28</v>
      </c>
      <c r="E44" s="1546" t="s">
        <v>517</v>
      </c>
      <c r="F44" s="1546" t="s">
        <v>87</v>
      </c>
      <c r="G44" s="72">
        <f>+'KUDUS ANTERAJA AGUSTUS - OK'!M30</f>
        <v>40741610.55896772</v>
      </c>
      <c r="H44" s="72">
        <f>+'KUDUS ANTERAJA AGUSTUS - OK'!O30+'KUDUS ANTERAJA AGUSTUS - OK'!P30+'KUDUS ANTERAJA AGUSTUS - OK'!Q30</f>
        <v>12194000</v>
      </c>
      <c r="I44" s="72">
        <f>+'KUDUS ANTERAJA AGUSTUS - OK'!N30</f>
        <v>3259328.844717418</v>
      </c>
      <c r="J44" s="95">
        <f ref="J44:J45" t="shared" si="27">SUM(G44:I44)</f>
        <v>56194939.40368514</v>
      </c>
      <c r="K44" s="25"/>
      <c r="O44" s="96">
        <f t="shared" si="10"/>
        <v>325932.8844717418</v>
      </c>
      <c r="P44" s="96">
        <f t="shared" si="11"/>
        <v>56520872.28815688</v>
      </c>
    </row>
    <row r="45" ht="21">
      <c r="A45" s="1818"/>
      <c r="B45" s="1819"/>
      <c r="C45" s="1820"/>
      <c r="D45" s="70">
        <f t="shared" si="15"/>
        <v>29</v>
      </c>
      <c r="E45" s="1546" t="s">
        <v>328</v>
      </c>
      <c r="F45" s="1546" t="s">
        <v>87</v>
      </c>
      <c r="G45" s="72">
        <f>+'SOLO ANTERAJA AGUSTUS - OK'!M37</f>
        <v>43468704.61090324</v>
      </c>
      <c r="H45" s="72">
        <f>+'SOLO ANTERAJA AGUSTUS - OK'!O37+'SOLO ANTERAJA AGUSTUS - OK'!P37+'SOLO ANTERAJA AGUSTUS - OK'!Q37</f>
        <v>16943500</v>
      </c>
      <c r="I45" s="72">
        <f>+'SOLO ANTERAJA AGUSTUS - OK'!N37</f>
        <v>3477496.368872259</v>
      </c>
      <c r="J45" s="95">
        <f t="shared" si="27"/>
        <v>63889700.9797755</v>
      </c>
      <c r="K45" s="25"/>
      <c r="O45" s="96">
        <f t="shared" si="10"/>
        <v>347749.6368872259</v>
      </c>
      <c r="P45" s="96">
        <f t="shared" si="11"/>
        <v>64237450.616662726</v>
      </c>
      <c r="Q45" s="103"/>
    </row>
    <row r="46" ht="21">
      <c r="A46" s="68"/>
      <c r="B46" s="69"/>
      <c r="C46" s="70"/>
      <c r="D46" s="70"/>
      <c r="E46" s="71"/>
      <c r="F46" s="71"/>
      <c r="G46" s="72"/>
      <c r="H46" s="72"/>
      <c r="I46" s="72"/>
      <c r="J46" s="95"/>
      <c r="K46" s="25"/>
      <c r="O46" s="96">
        <f>SUM(O15:O45)</f>
        <v>19073101.216176245</v>
      </c>
      <c r="P46" s="96">
        <f>SUM(P15:P45)</f>
        <v>3171575765.3999715</v>
      </c>
      <c r="Q46" s="96"/>
    </row>
    <row r="47" ht="21">
      <c r="A47" s="1821" t="s">
        <v>726</v>
      </c>
      <c r="B47" s="1822"/>
      <c r="C47" s="1822"/>
      <c r="D47" s="1822"/>
      <c r="E47" s="1823"/>
      <c r="F47" s="77"/>
      <c r="G47" s="78">
        <f ref="G47:J47" t="shared" si="28">SUM(G15:G46)</f>
        <v>2384137652.0220323</v>
      </c>
      <c r="H47" s="78">
        <f t="shared" si="28"/>
        <v>577634000</v>
      </c>
      <c r="I47" s="78">
        <f t="shared" si="28"/>
        <v>190731012.1617625</v>
      </c>
      <c r="J47" s="78">
        <f t="shared" si="28"/>
        <v>3152502664.1837945</v>
      </c>
      <c r="K47" s="17"/>
      <c r="L47" s="59"/>
      <c r="O47" s="89"/>
      <c r="P47" s="89"/>
      <c r="Q47" s="101"/>
    </row>
    <row r="48">
      <c r="A48" s="79"/>
      <c r="B48" s="79"/>
      <c r="C48" s="79"/>
      <c r="D48" s="79"/>
      <c r="E48" s="80"/>
      <c r="F48" s="80"/>
      <c r="G48" s="39"/>
      <c r="H48" s="39"/>
      <c r="I48" s="39"/>
      <c r="J48" s="39"/>
      <c r="K48" s="36"/>
    </row>
    <row r="49" ht="18.75">
      <c r="A49" s="1812" t="s">
        <v>19</v>
      </c>
      <c r="B49" s="1813"/>
      <c r="C49" s="1813"/>
      <c r="D49" s="1813"/>
      <c r="E49" s="1814"/>
      <c r="F49" s="81"/>
      <c r="G49" s="82">
        <f>G47+H47</f>
        <v>2961771652.0220323</v>
      </c>
      <c r="H49" s="39"/>
      <c r="I49" s="39"/>
      <c r="J49" s="39"/>
      <c r="K49" s="36"/>
    </row>
    <row r="50" ht="18.75">
      <c r="A50" s="1812" t="s">
        <v>15</v>
      </c>
      <c r="B50" s="1813"/>
      <c r="C50" s="1813"/>
      <c r="D50" s="1813"/>
      <c r="E50" s="1814"/>
      <c r="F50" s="81"/>
      <c r="G50" s="82">
        <f>I47</f>
        <v>190731012.1617625</v>
      </c>
      <c r="H50" s="39"/>
      <c r="J50" s="39"/>
      <c r="K50" s="36"/>
    </row>
    <row r="51" ht="18.75">
      <c r="A51" s="1812" t="s">
        <v>890</v>
      </c>
      <c r="B51" s="1813"/>
      <c r="C51" s="1813"/>
      <c r="D51" s="1813"/>
      <c r="E51" s="1814"/>
      <c r="F51" s="81"/>
      <c r="G51" s="83">
        <f>ROUNDDOWN(G50*10%,0)</f>
        <v>19073101</v>
      </c>
      <c r="H51" s="41"/>
      <c r="I51" s="99"/>
      <c r="J51" s="41"/>
      <c r="K51" s="36"/>
    </row>
    <row r="52" ht="18.75">
      <c r="A52" s="1815" t="s">
        <v>726</v>
      </c>
      <c r="B52" s="1816"/>
      <c r="C52" s="1816"/>
      <c r="D52" s="1816"/>
      <c r="E52" s="1817"/>
      <c r="F52" s="84"/>
      <c r="G52" s="82">
        <f>G49+G50+G51</f>
        <v>3171575765.183795</v>
      </c>
      <c r="H52" s="44"/>
      <c r="I52" s="99"/>
      <c r="J52" s="44"/>
      <c r="K52" s="36"/>
    </row>
    <row r="53" ht="15.75">
      <c r="A53" s="13"/>
      <c r="B53" s="13"/>
      <c r="C53" s="13"/>
      <c r="D53" s="13"/>
      <c r="E53" s="13"/>
      <c r="F53" s="13"/>
      <c r="G53" s="9"/>
      <c r="H53" s="9"/>
      <c r="I53" s="100" t="s">
        <v>891</v>
      </c>
      <c r="J53" s="9"/>
      <c r="K53" s="1"/>
      <c r="L53" s="52"/>
      <c r="O53" s="52"/>
      <c r="P53" s="52"/>
      <c r="Q53" s="52"/>
    </row>
    <row r="54" ht="15.75">
      <c r="A54" s="85" t="s">
        <v>892</v>
      </c>
      <c r="B54" s="86"/>
      <c r="C54" s="87"/>
      <c r="D54" s="87"/>
      <c r="E54" s="4"/>
      <c r="F54" s="13"/>
      <c r="G54" s="9"/>
      <c r="H54" s="9"/>
      <c r="J54" s="9"/>
      <c r="K54" s="1"/>
      <c r="L54" s="52"/>
      <c r="O54" s="52"/>
      <c r="P54" s="52"/>
      <c r="Q54" s="52"/>
    </row>
    <row r="55" ht="15.75">
      <c r="A55" s="86"/>
      <c r="B55" s="4"/>
      <c r="C55" s="85" t="s">
        <v>893</v>
      </c>
      <c r="D55" s="85"/>
      <c r="E55" s="4"/>
      <c r="F55" s="13"/>
      <c r="G55" s="9"/>
      <c r="H55" s="9"/>
      <c r="I55" s="100"/>
      <c r="J55" s="9"/>
      <c r="K55" s="1"/>
      <c r="L55" s="52"/>
      <c r="O55" s="52"/>
      <c r="P55" s="52"/>
      <c r="Q55" s="52"/>
    </row>
    <row r="56" ht="15.75">
      <c r="A56" s="86"/>
      <c r="B56" s="4"/>
      <c r="C56" s="85" t="s">
        <v>894</v>
      </c>
      <c r="D56" s="85"/>
      <c r="E56" s="4"/>
      <c r="F56" s="13"/>
      <c r="G56" s="1735"/>
      <c r="H56" s="48"/>
      <c r="I56" s="100"/>
      <c r="J56" s="48"/>
      <c r="K56" s="1"/>
      <c r="L56" s="52"/>
      <c r="O56" s="52"/>
      <c r="P56" s="52"/>
      <c r="Q56" s="52"/>
    </row>
    <row r="57" ht="15.75">
      <c r="A57" s="86"/>
      <c r="B57" s="4"/>
      <c r="C57" s="85" t="s">
        <v>895</v>
      </c>
      <c r="D57" s="85"/>
      <c r="E57" s="4"/>
      <c r="F57" s="13"/>
      <c r="G57" s="88"/>
      <c r="H57" s="48"/>
      <c r="I57" s="100"/>
      <c r="J57" s="48"/>
      <c r="K57" s="1"/>
      <c r="L57" s="52"/>
      <c r="O57" s="52"/>
      <c r="P57" s="52"/>
      <c r="Q57" s="52"/>
    </row>
    <row r="58" ht="15.75">
      <c r="A58" s="86"/>
      <c r="B58" s="4"/>
      <c r="C58" s="85" t="s">
        <v>896</v>
      </c>
      <c r="D58" s="85"/>
      <c r="E58" s="4"/>
      <c r="F58" s="13"/>
      <c r="G58" s="88"/>
      <c r="H58" s="48"/>
      <c r="I58" s="100"/>
      <c r="J58" s="48"/>
      <c r="K58" s="1"/>
      <c r="L58" s="52"/>
      <c r="O58" s="52"/>
      <c r="P58" s="52"/>
      <c r="Q58" s="52"/>
    </row>
    <row r="59" ht="15.75">
      <c r="A59" s="86"/>
      <c r="B59" s="4"/>
      <c r="C59" s="85"/>
      <c r="D59" s="85"/>
      <c r="E59" s="4"/>
      <c r="F59" s="13"/>
      <c r="G59" s="88"/>
      <c r="H59" s="48"/>
      <c r="I59" s="100"/>
      <c r="J59" s="48"/>
      <c r="K59" s="1"/>
      <c r="L59" s="52"/>
      <c r="O59" s="52"/>
      <c r="P59" s="52"/>
      <c r="Q59" s="52"/>
    </row>
    <row r="60" ht="15.75">
      <c r="A60" s="86"/>
      <c r="B60" s="4"/>
      <c r="C60" s="85"/>
      <c r="D60" s="85"/>
      <c r="E60" s="4"/>
      <c r="F60" s="13"/>
      <c r="G60" s="1855">
        <f>+G50+'INVOICE JULI'!G50</f>
        <v>191474817.15385205</v>
      </c>
      <c r="H60" s="48"/>
      <c r="I60" s="100"/>
      <c r="J60" s="48"/>
      <c r="K60" s="1"/>
      <c r="L60" s="52"/>
      <c r="O60" s="52"/>
      <c r="P60" s="52"/>
      <c r="Q60" s="52"/>
    </row>
    <row r="61" ht="15.75">
      <c r="A61" s="86"/>
      <c r="B61" s="4"/>
      <c r="C61" s="85"/>
      <c r="D61" s="85"/>
      <c r="E61" s="4"/>
      <c r="F61" s="13"/>
      <c r="G61" s="88"/>
      <c r="H61" s="48"/>
      <c r="I61" s="100"/>
      <c r="J61" s="48"/>
      <c r="K61" s="1"/>
      <c r="L61" s="52"/>
      <c r="O61" s="52"/>
      <c r="P61" s="52"/>
      <c r="Q61" s="52"/>
    </row>
    <row r="62" ht="15.75">
      <c r="A62" s="86"/>
      <c r="B62" s="4"/>
      <c r="C62" s="85"/>
      <c r="D62" s="85"/>
      <c r="E62" s="4"/>
      <c r="F62" s="13"/>
      <c r="G62" s="88"/>
      <c r="H62" s="48"/>
      <c r="I62" s="100"/>
      <c r="J62" s="48"/>
      <c r="K62" s="1"/>
      <c r="L62" s="52"/>
      <c r="O62" s="52"/>
      <c r="P62" s="52"/>
      <c r="Q62" s="52"/>
    </row>
    <row r="63" ht="15.75">
      <c r="A63" s="86"/>
      <c r="B63" s="4"/>
      <c r="C63" s="85"/>
      <c r="D63" s="85"/>
      <c r="E63" s="4"/>
      <c r="F63" s="13"/>
      <c r="G63" s="88"/>
      <c r="H63" s="48"/>
      <c r="I63" s="100"/>
      <c r="J63" s="48"/>
      <c r="K63" s="1"/>
      <c r="L63" s="52"/>
      <c r="O63" s="52"/>
      <c r="P63" s="52"/>
      <c r="Q63" s="52"/>
    </row>
    <row r="64" ht="15.75">
      <c r="A64" s="15"/>
      <c r="B64" s="13"/>
      <c r="C64" s="49"/>
      <c r="D64" s="49"/>
      <c r="E64" s="13"/>
      <c r="F64" s="13"/>
      <c r="G64" s="88"/>
      <c r="H64" s="48"/>
      <c r="I64" s="100" t="s">
        <v>897</v>
      </c>
      <c r="J64" s="48"/>
      <c r="K64" s="1"/>
      <c r="L64" s="52"/>
      <c r="O64" s="52"/>
      <c r="P64" s="52"/>
      <c r="Q64" s="52"/>
    </row>
    <row r="65" ht="15.75">
      <c r="A65" s="13"/>
      <c r="B65" s="13"/>
      <c r="C65" s="13"/>
      <c r="D65" s="13"/>
      <c r="E65" s="13"/>
      <c r="F65" s="13"/>
      <c r="G65" s="88"/>
      <c r="H65" s="48"/>
      <c r="I65" s="100" t="s">
        <v>898</v>
      </c>
      <c r="J65" s="48"/>
      <c r="K65" s="1"/>
      <c r="L65" s="52"/>
      <c r="O65" s="52"/>
      <c r="P65" s="52"/>
      <c r="Q65" s="52"/>
    </row>
    <row r="66">
      <c r="A66" s="13"/>
      <c r="B66" s="13"/>
      <c r="C66" s="13"/>
      <c r="D66" s="13"/>
      <c r="E66" s="13"/>
      <c r="F66" s="13"/>
      <c r="G66" s="88"/>
      <c r="H66" s="48"/>
      <c r="J66" s="48"/>
      <c r="K66" s="1"/>
      <c r="L66" s="52"/>
      <c r="O66" s="52"/>
      <c r="P66" s="52"/>
      <c r="Q66" s="52"/>
    </row>
    <row r="67">
      <c r="A67" s="13"/>
      <c r="B67" s="13"/>
      <c r="C67" s="13"/>
      <c r="D67" s="13"/>
      <c r="E67" s="13"/>
      <c r="F67" s="13"/>
      <c r="G67" s="88"/>
      <c r="H67" s="48"/>
      <c r="J67" s="48"/>
      <c r="K67" s="1"/>
      <c r="L67" s="52"/>
      <c r="O67" s="52"/>
      <c r="P67" s="52"/>
      <c r="Q67" s="52"/>
    </row>
    <row r="68">
      <c r="A68" s="1"/>
      <c r="B68" s="1"/>
      <c r="C68" s="1"/>
      <c r="D68" s="1"/>
      <c r="E68" s="1"/>
      <c r="F68" s="1"/>
      <c r="G68" s="52"/>
      <c r="H68" s="51"/>
      <c r="I68" s="51"/>
      <c r="J68" s="51"/>
      <c r="K68" s="1"/>
      <c r="L68" s="52"/>
      <c r="O68" s="52"/>
      <c r="P68" s="52"/>
      <c r="Q68" s="52"/>
    </row>
    <row r="69">
      <c r="A69" s="1"/>
      <c r="B69" s="1"/>
      <c r="C69" s="1"/>
      <c r="D69" s="1"/>
      <c r="E69" s="1"/>
      <c r="F69" s="1"/>
      <c r="G69" s="52"/>
      <c r="H69" s="51"/>
      <c r="I69" s="51"/>
      <c r="J69" s="51"/>
      <c r="K69" s="1"/>
      <c r="L69" s="52"/>
      <c r="O69" s="52"/>
      <c r="P69" s="52"/>
      <c r="Q69" s="52"/>
    </row>
    <row r="70">
      <c r="K70" s="1"/>
      <c r="L70" s="52"/>
      <c r="O70" s="52"/>
      <c r="P70" s="52"/>
      <c r="Q70" s="52"/>
    </row>
    <row r="71">
      <c r="L71" s="52"/>
      <c r="O71" s="52"/>
      <c r="P71" s="52"/>
      <c r="Q71" s="52"/>
    </row>
    <row r="72">
      <c r="L72" s="52"/>
      <c r="O72" s="52"/>
      <c r="P72" s="52"/>
      <c r="Q72" s="52"/>
    </row>
    <row r="73">
      <c r="G73" s="52"/>
      <c r="H73" s="52"/>
      <c r="I73" s="52"/>
      <c r="J73" s="52"/>
      <c r="L73" s="52"/>
      <c r="O73" s="52"/>
      <c r="P73" s="52"/>
      <c r="Q73" s="52"/>
    </row>
    <row r="74">
      <c r="G74" s="52"/>
      <c r="H74" s="52"/>
      <c r="I74" s="52"/>
      <c r="J74" s="52"/>
      <c r="L74" s="52"/>
      <c r="O74" s="52"/>
      <c r="P74" s="52"/>
      <c r="Q74" s="52"/>
    </row>
  </sheetData>
  <mergeCells>
    <mergeCell ref="C3:E3"/>
    <mergeCell ref="A13:F13"/>
    <mergeCell ref="G13:J13"/>
    <mergeCell ref="A14:C14"/>
    <mergeCell ref="A15:C15"/>
    <mergeCell ref="A16:C16"/>
    <mergeCell ref="A19:C19"/>
    <mergeCell ref="A20:C20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50:E50"/>
    <mergeCell ref="A51:E51"/>
    <mergeCell ref="A52:E52"/>
    <mergeCell ref="A39:C39"/>
    <mergeCell ref="A40:C40"/>
    <mergeCell ref="A45:C45"/>
    <mergeCell ref="A47:E47"/>
    <mergeCell ref="A49:E49"/>
  </mergeCells>
  <printOptions horizontalCentered="1"/>
  <pageMargins left="0" right="0" top="0" bottom="0" header="0.11874999999999999" footer="0.13888888888888901"/>
  <pageSetup paperSize="9" scale="55" orientation="portrait"/>
  <headerFooter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filterMode="1">
    <pageSetUpPr fitToPage="1"/>
  </sheetPr>
  <dimension ref="A1:S73"/>
  <sheetViews>
    <sheetView topLeftCell="A10" zoomScale="70" zoomScaleNormal="70" workbookViewId="0">
      <selection activeCell="A14" sqref="A14:C14"/>
    </sheetView>
  </sheetViews>
  <sheetFormatPr defaultColWidth="9.140625" defaultRowHeight="15"/>
  <cols>
    <col min="1" max="1" width="20.7109375" customWidth="1"/>
    <col min="2" max="2" width="4" customWidth="1"/>
    <col min="3" max="3" width="11" customWidth="1"/>
    <col min="4" max="4" width="7.5703125" customWidth="1"/>
    <col min="5" max="5" width="25" customWidth="1"/>
    <col min="6" max="6" width="16.42578125" customWidth="1"/>
    <col min="7" max="7" width="27.42578125" customWidth="1"/>
    <col min="8" max="8" width="22.28515625" customWidth="1"/>
    <col min="9" max="9" width="32.42578125" customWidth="1"/>
    <col min="10" max="10" width="26.42578125" customWidth="1"/>
    <col min="11" max="11" width="6.5703125" customWidth="1"/>
    <col min="12" max="12" hidden="1" width="14" customWidth="1"/>
    <col min="15" max="15" width="18.28515625" customWidth="1"/>
    <col min="16" max="16" width="21.42578125" customWidth="1"/>
    <col min="17" max="17" width="20.28515625" customWidth="1"/>
    <col min="18" max="18" width="13.85546875" customWidth="1"/>
    <col min="19" max="19" width="12.5703125" customWidth="1"/>
  </cols>
  <sheetData>
    <row r="1" ht="27" customHeight="1">
      <c r="A1" s="1"/>
      <c r="B1" s="1"/>
      <c r="C1" s="1"/>
      <c r="D1" s="1"/>
      <c r="E1" s="1"/>
      <c r="F1" s="1"/>
      <c r="G1" s="1861" t="s">
        <v>121</v>
      </c>
      <c r="H1" s="2"/>
      <c r="I1" s="2" t="s">
        <v>866</v>
      </c>
      <c r="J1" s="2"/>
    </row>
    <row r="2">
      <c r="A2" s="63" t="s">
        <v>867</v>
      </c>
      <c r="B2" s="63" t="s">
        <v>868</v>
      </c>
      <c r="C2" s="17" t="s">
        <v>996</v>
      </c>
      <c r="D2" s="17"/>
      <c r="E2" s="17"/>
      <c r="F2" s="1"/>
      <c r="H2" s="3"/>
      <c r="I2" s="5" t="s">
        <v>870</v>
      </c>
      <c r="J2" s="3"/>
    </row>
    <row r="3">
      <c r="A3" s="63" t="s">
        <v>871</v>
      </c>
      <c r="B3" s="63" t="s">
        <v>868</v>
      </c>
      <c r="C3" s="1824">
        <f>+'INVOICE AGUSTUS'!C3:E3</f>
        <v>44428</v>
      </c>
      <c r="D3" s="1824"/>
      <c r="E3" s="1824"/>
      <c r="F3" s="1"/>
      <c r="H3" s="6"/>
      <c r="I3" s="7" t="s">
        <v>872</v>
      </c>
      <c r="J3" s="6"/>
    </row>
    <row r="4">
      <c r="F4" s="1"/>
      <c r="H4" s="8"/>
      <c r="I4" s="9" t="s">
        <v>873</v>
      </c>
      <c r="J4" s="8"/>
    </row>
    <row r="5" ht="6" customHeight="1">
      <c r="F5" s="1"/>
      <c r="H5" s="6"/>
      <c r="I5" s="7"/>
      <c r="J5" s="6"/>
    </row>
    <row r="6">
      <c r="F6" s="1"/>
      <c r="H6" s="8"/>
      <c r="I6" s="9" t="s">
        <v>874</v>
      </c>
      <c r="J6" s="8"/>
    </row>
    <row r="7">
      <c r="A7" s="1"/>
      <c r="B7" s="1"/>
      <c r="C7" s="1"/>
      <c r="D7" s="1"/>
      <c r="E7" s="1"/>
      <c r="F7" s="1"/>
      <c r="H7" s="8"/>
      <c r="I7" s="9" t="s">
        <v>875</v>
      </c>
      <c r="J7" s="8"/>
    </row>
    <row r="8">
      <c r="A8" s="1"/>
      <c r="B8" s="1"/>
      <c r="C8" s="1"/>
      <c r="D8" s="1"/>
      <c r="E8" s="1"/>
      <c r="F8" s="1"/>
      <c r="H8" s="8"/>
      <c r="I8" s="9" t="s">
        <v>876</v>
      </c>
      <c r="J8" s="8"/>
    </row>
    <row r="9">
      <c r="A9" s="1"/>
      <c r="B9" s="1"/>
      <c r="C9" s="1"/>
      <c r="D9" s="1"/>
      <c r="E9" s="1"/>
      <c r="F9" s="1"/>
      <c r="H9" s="8"/>
      <c r="I9" s="9" t="s">
        <v>877</v>
      </c>
      <c r="J9" s="8"/>
    </row>
    <row r="10">
      <c r="F10" s="1"/>
      <c r="G10" s="8"/>
      <c r="H10" s="8"/>
      <c r="I10" s="8"/>
      <c r="J10" s="8"/>
    </row>
    <row r="11">
      <c r="F11" s="64"/>
    </row>
    <row r="12" ht="6" customHeight="1"/>
    <row r="13" ht="63.75" customHeight="1">
      <c r="A13" s="1825" t="s">
        <v>134</v>
      </c>
      <c r="B13" s="1826"/>
      <c r="C13" s="1826"/>
      <c r="D13" s="1826"/>
      <c r="E13" s="1826"/>
      <c r="F13" s="1827"/>
      <c r="G13" s="1828" t="s">
        <v>878</v>
      </c>
      <c r="H13" s="1828"/>
      <c r="I13" s="1828"/>
      <c r="J13" s="1829"/>
      <c r="K13" s="17"/>
      <c r="L13" s="10"/>
      <c r="O13" s="89"/>
      <c r="P13" s="89"/>
      <c r="Q13" s="101"/>
    </row>
    <row r="14" ht="21">
      <c r="A14" s="1830" t="s">
        <v>997</v>
      </c>
      <c r="B14" s="1831"/>
      <c r="C14" s="1832"/>
      <c r="D14" s="65" t="s">
        <v>126</v>
      </c>
      <c r="E14" s="66" t="s">
        <v>756</v>
      </c>
      <c r="F14" s="66" t="s">
        <v>880</v>
      </c>
      <c r="G14" s="67" t="s">
        <v>881</v>
      </c>
      <c r="H14" s="67" t="s">
        <v>882</v>
      </c>
      <c r="I14" s="90" t="s">
        <v>883</v>
      </c>
      <c r="J14" s="91" t="s">
        <v>884</v>
      </c>
      <c r="K14" s="92"/>
      <c r="L14" s="93"/>
      <c r="O14" s="94"/>
      <c r="P14" s="94"/>
      <c r="Q14" s="102"/>
    </row>
    <row r="15" ht="21">
      <c r="A15" s="1818"/>
      <c r="B15" s="1819"/>
      <c r="C15" s="1820"/>
      <c r="D15" s="70">
        <v>1</v>
      </c>
      <c r="E15" s="1546" t="s">
        <v>885</v>
      </c>
      <c r="F15" s="1546" t="s">
        <v>48</v>
      </c>
      <c r="G15" s="72">
        <f>+'MALANG BAT JULI - OK'!M9</f>
        <v>1474811.4953</v>
      </c>
      <c r="H15" s="72">
        <f>+'MALANG BAT JULI - OK'!O9</f>
        <v>100000</v>
      </c>
      <c r="I15" s="72">
        <f>+'MALANG BAT JULI - OK'!N9</f>
        <v>117984.919624</v>
      </c>
      <c r="J15" s="95">
        <f ref="J15:J45" t="shared" si="0">SUM(G15:I15)</f>
        <v>1692796.4149240002</v>
      </c>
      <c r="K15" s="25"/>
      <c r="O15" s="96">
        <f ref="O15:O45" t="shared" si="1">+I15*10%</f>
        <v>11798.491962400001</v>
      </c>
      <c r="P15" s="96">
        <f ref="P15:P45" t="shared" si="2">+O15+J15</f>
        <v>1704594.9068864002</v>
      </c>
      <c r="R15" s="56"/>
    </row>
    <row r="16" hidden="1" ht="21">
      <c r="A16" s="1818"/>
      <c r="B16" s="1819"/>
      <c r="C16" s="1820"/>
      <c r="D16" s="70">
        <f>+D15+1</f>
        <v>2</v>
      </c>
      <c r="E16" s="1546" t="s">
        <v>886</v>
      </c>
      <c r="F16" s="1546" t="s">
        <v>48</v>
      </c>
      <c r="G16" s="72"/>
      <c r="H16" s="72"/>
      <c r="I16" s="72"/>
      <c r="J16" s="95">
        <f t="shared" si="0"/>
        <v>0</v>
      </c>
      <c r="K16" s="25"/>
      <c r="O16" s="96">
        <f t="shared" si="1"/>
        <v>0</v>
      </c>
      <c r="P16" s="96">
        <f t="shared" si="2"/>
        <v>0</v>
      </c>
    </row>
    <row r="17" hidden="1" ht="21">
      <c r="A17" s="1818"/>
      <c r="B17" s="1819"/>
      <c r="C17" s="1820"/>
      <c r="D17" s="70">
        <v>1</v>
      </c>
      <c r="E17" s="1546" t="s">
        <v>27</v>
      </c>
      <c r="F17" s="1546" t="s">
        <v>28</v>
      </c>
      <c r="G17" s="72"/>
      <c r="H17" s="72"/>
      <c r="I17" s="72"/>
      <c r="J17" s="95">
        <f t="shared" si="0"/>
        <v>0</v>
      </c>
      <c r="K17" s="25"/>
      <c r="O17" s="96">
        <f t="shared" si="1"/>
        <v>0</v>
      </c>
      <c r="P17" s="96">
        <f t="shared" si="2"/>
        <v>0</v>
      </c>
    </row>
    <row r="18" ht="21">
      <c r="A18" s="1730"/>
      <c r="B18" s="1731"/>
      <c r="C18" s="1732"/>
      <c r="D18" s="1732">
        <v>2</v>
      </c>
      <c r="E18" s="1546" t="s">
        <v>47</v>
      </c>
      <c r="F18" s="1546" t="s">
        <v>28</v>
      </c>
      <c r="G18" s="72">
        <f>+'YAMAZAKI MALANG JULI - OK'!M9</f>
        <v>4322839.263212903</v>
      </c>
      <c r="H18" s="72"/>
      <c r="I18" s="72">
        <f>+'YAMAZAKI MALANG JULI - OK'!N9</f>
        <v>345827.1410570323</v>
      </c>
      <c r="J18" s="95">
        <f t="shared" si="0"/>
        <v>4668666.404269936</v>
      </c>
      <c r="K18" s="25"/>
      <c r="O18" s="96">
        <f ref="O18:O19" t="shared" si="3">+I18*10%</f>
        <v>34582.71410570323</v>
      </c>
      <c r="P18" s="96">
        <f ref="P18:P19" t="shared" si="4">+O18+J18</f>
        <v>4703249.1183756385</v>
      </c>
    </row>
    <row r="19" ht="21">
      <c r="A19" s="1730"/>
      <c r="B19" s="1731"/>
      <c r="C19" s="1732"/>
      <c r="D19" s="1732">
        <v>3</v>
      </c>
      <c r="E19" s="1546" t="s">
        <v>771</v>
      </c>
      <c r="F19" s="1546" t="s">
        <v>87</v>
      </c>
      <c r="G19" s="72">
        <f>+'MADIUN ANTERAJA JULI - OK'!M9</f>
        <v>1464614.749</v>
      </c>
      <c r="H19" s="72"/>
      <c r="I19" s="72">
        <f>+'MADIUN ANTERAJA JULI - OK'!N9</f>
        <v>117169.17992</v>
      </c>
      <c r="J19" s="95">
        <f t="shared" si="0"/>
        <v>1581783.92892</v>
      </c>
      <c r="K19" s="25"/>
      <c r="O19" s="96">
        <f t="shared" si="3"/>
        <v>11716.917992</v>
      </c>
      <c r="P19" s="96">
        <f t="shared" si="4"/>
        <v>1593500.846912</v>
      </c>
    </row>
    <row r="20" hidden="1" ht="21">
      <c r="A20" s="1730"/>
      <c r="B20" s="1731"/>
      <c r="C20" s="1732"/>
      <c r="D20" s="1732"/>
      <c r="E20" s="1546" t="s">
        <v>27</v>
      </c>
      <c r="F20" s="1546" t="s">
        <v>87</v>
      </c>
      <c r="G20" s="72"/>
      <c r="H20" s="72"/>
      <c r="I20" s="72"/>
      <c r="J20" s="95">
        <f t="shared" si="0"/>
        <v>0</v>
      </c>
      <c r="K20" s="25"/>
      <c r="O20" s="96"/>
      <c r="P20" s="96"/>
    </row>
    <row r="21" hidden="1" ht="21">
      <c r="A21" s="1730"/>
      <c r="B21" s="1731"/>
      <c r="C21" s="1732"/>
      <c r="D21" s="1732"/>
      <c r="E21" s="1546" t="s">
        <v>769</v>
      </c>
      <c r="F21" s="1546" t="s">
        <v>87</v>
      </c>
      <c r="G21" s="72"/>
      <c r="H21" s="72"/>
      <c r="I21" s="72"/>
      <c r="J21" s="95">
        <f t="shared" si="0"/>
        <v>0</v>
      </c>
      <c r="K21" s="25"/>
      <c r="O21" s="96"/>
      <c r="P21" s="96"/>
    </row>
    <row r="22" hidden="1" ht="21">
      <c r="A22" s="1730"/>
      <c r="B22" s="1731"/>
      <c r="C22" s="1732"/>
      <c r="D22" s="1732"/>
      <c r="E22" s="1546" t="s">
        <v>759</v>
      </c>
      <c r="F22" s="1546" t="s">
        <v>87</v>
      </c>
      <c r="G22" s="72"/>
      <c r="H22" s="72"/>
      <c r="I22" s="72"/>
      <c r="J22" s="95">
        <f t="shared" si="0"/>
        <v>0</v>
      </c>
      <c r="K22" s="25"/>
      <c r="O22" s="96"/>
      <c r="P22" s="96"/>
    </row>
    <row r="23" ht="21">
      <c r="A23" s="1818"/>
      <c r="B23" s="1819"/>
      <c r="C23" s="1820"/>
      <c r="D23" s="70">
        <v>4</v>
      </c>
      <c r="E23" s="1546" t="s">
        <v>761</v>
      </c>
      <c r="F23" s="1546" t="s">
        <v>87</v>
      </c>
      <c r="G23" s="72">
        <f>+'LAMONGAN ANTERAJA JULI - OK'!M8</f>
        <v>1231029</v>
      </c>
      <c r="H23" s="72">
        <f>+'LAMONGAN ANTERAJA JULI - OK'!O8+'LAMONGAN ANTERAJA JULI - OK'!P8+'LAMONGAN ANTERAJA JULI - OK'!Q8</f>
        <v>876000</v>
      </c>
      <c r="I23" s="72">
        <f>+'LAMONGAN ANTERAJA JULI - OK'!N8</f>
        <v>98482.32</v>
      </c>
      <c r="J23" s="95">
        <f t="shared" si="0"/>
        <v>2205511.32</v>
      </c>
      <c r="K23" s="25"/>
      <c r="O23" s="96">
        <f t="shared" si="1"/>
        <v>9848.232000000002</v>
      </c>
      <c r="P23" s="96">
        <f t="shared" si="2"/>
        <v>2215359.5519999997</v>
      </c>
    </row>
    <row r="24" hidden="1" ht="21">
      <c r="A24" s="68"/>
      <c r="B24" s="69"/>
      <c r="C24" s="70"/>
      <c r="D24" s="70">
        <f ref="D24:D45" t="shared" si="5">+D23+1</f>
        <v>5</v>
      </c>
      <c r="E24" s="1546" t="s">
        <v>762</v>
      </c>
      <c r="F24" s="1546" t="s">
        <v>87</v>
      </c>
      <c r="G24" s="72"/>
      <c r="H24" s="72"/>
      <c r="I24" s="72"/>
      <c r="J24" s="95">
        <f t="shared" si="0"/>
        <v>0</v>
      </c>
      <c r="K24" s="25"/>
      <c r="O24" s="96">
        <f t="shared" si="1"/>
        <v>0</v>
      </c>
      <c r="P24" s="96">
        <f t="shared" si="2"/>
        <v>0</v>
      </c>
    </row>
    <row r="25" ht="21">
      <c r="A25" s="1818"/>
      <c r="B25" s="1819"/>
      <c r="C25" s="1820"/>
      <c r="D25" s="70">
        <v>5</v>
      </c>
      <c r="E25" s="1546" t="s">
        <v>193</v>
      </c>
      <c r="F25" s="1546" t="s">
        <v>87</v>
      </c>
      <c r="G25" s="72">
        <f>+'SURABAYA ANTERAJA JULI - OK'!M8</f>
        <v>0</v>
      </c>
      <c r="H25" s="72">
        <f>+'SURABAYA ANTERAJA JULI - OK'!O8</f>
        <v>100000</v>
      </c>
      <c r="I25" s="72">
        <f>+'SURABAYA ANTERAJA JULI - OK'!N8</f>
        <v>0</v>
      </c>
      <c r="J25" s="95">
        <f t="shared" si="0"/>
        <v>100000</v>
      </c>
      <c r="K25" s="25"/>
      <c r="O25" s="96">
        <f ref="O25:O26" t="shared" si="6">+I25*10%</f>
        <v>0</v>
      </c>
      <c r="P25" s="96">
        <f ref="P25:P26" t="shared" si="7">+O25+J25</f>
        <v>100000</v>
      </c>
    </row>
    <row r="26" ht="21">
      <c r="A26" s="1818"/>
      <c r="B26" s="1819"/>
      <c r="C26" s="1820"/>
      <c r="D26" s="70">
        <v>6</v>
      </c>
      <c r="E26" s="1546" t="s">
        <v>887</v>
      </c>
      <c r="F26" s="1546" t="s">
        <v>87</v>
      </c>
      <c r="G26" s="72">
        <f>+'MALANG ANTERAJA JULI - OK'!M9</f>
        <v>804267.8936064519</v>
      </c>
      <c r="H26" s="72">
        <f>+'MALANG ANTERAJA JULI - OK'!P9</f>
        <v>100000</v>
      </c>
      <c r="I26" s="72">
        <f>+'MALANG ANTERAJA JULI - OK'!N9</f>
        <v>64341.43148851616</v>
      </c>
      <c r="J26" s="95">
        <f t="shared" si="0"/>
        <v>968609.3250949681</v>
      </c>
      <c r="K26" s="25"/>
      <c r="O26" s="96">
        <f t="shared" si="6"/>
        <v>6434.143148851616</v>
      </c>
      <c r="P26" s="96">
        <f t="shared" si="7"/>
        <v>975043.4682438197</v>
      </c>
    </row>
    <row r="27" hidden="1" ht="21">
      <c r="A27" s="1818"/>
      <c r="B27" s="1819"/>
      <c r="C27" s="1820"/>
      <c r="D27" s="70">
        <v>3</v>
      </c>
      <c r="E27" s="1546" t="s">
        <v>314</v>
      </c>
      <c r="F27" s="1546" t="s">
        <v>87</v>
      </c>
      <c r="G27" s="72"/>
      <c r="H27" s="72"/>
      <c r="I27" s="72"/>
      <c r="J27" s="95">
        <f t="shared" si="0"/>
        <v>0</v>
      </c>
      <c r="K27" s="25"/>
      <c r="O27" s="96">
        <f t="shared" si="1"/>
        <v>0</v>
      </c>
      <c r="P27" s="96">
        <f t="shared" si="2"/>
        <v>0</v>
      </c>
    </row>
    <row r="28" hidden="1" ht="21">
      <c r="A28" s="1818"/>
      <c r="B28" s="1819"/>
      <c r="C28" s="1820"/>
      <c r="D28" s="70">
        <v>2</v>
      </c>
      <c r="E28" s="1546" t="s">
        <v>312</v>
      </c>
      <c r="F28" s="1546" t="s">
        <v>87</v>
      </c>
      <c r="G28" s="72"/>
      <c r="H28" s="72"/>
      <c r="I28" s="72"/>
      <c r="J28" s="95">
        <f t="shared" si="0"/>
        <v>0</v>
      </c>
      <c r="K28" s="25"/>
      <c r="O28" s="96">
        <f t="shared" si="1"/>
        <v>0</v>
      </c>
      <c r="P28" s="96">
        <f t="shared" si="2"/>
        <v>0</v>
      </c>
      <c r="R28" s="56"/>
    </row>
    <row r="29" hidden="1" ht="21">
      <c r="A29" s="1818"/>
      <c r="B29" s="1819"/>
      <c r="C29" s="1820"/>
      <c r="D29" s="70">
        <f t="shared" si="5"/>
        <v>3</v>
      </c>
      <c r="E29" s="1546" t="s">
        <v>200</v>
      </c>
      <c r="F29" s="1546" t="s">
        <v>888</v>
      </c>
      <c r="G29" s="72"/>
      <c r="H29" s="72"/>
      <c r="I29" s="72"/>
      <c r="J29" s="95">
        <f t="shared" si="0"/>
        <v>0</v>
      </c>
      <c r="K29" s="25"/>
      <c r="O29" s="96">
        <f t="shared" si="1"/>
        <v>0</v>
      </c>
      <c r="P29" s="96">
        <f t="shared" si="2"/>
        <v>0</v>
      </c>
      <c r="R29" s="56"/>
    </row>
    <row r="30" hidden="1" ht="21">
      <c r="A30" s="1818"/>
      <c r="B30" s="1819"/>
      <c r="C30" s="1820"/>
      <c r="D30" s="70">
        <f t="shared" si="5"/>
        <v>4</v>
      </c>
      <c r="E30" s="1546" t="s">
        <v>200</v>
      </c>
      <c r="F30" s="1546" t="s">
        <v>889</v>
      </c>
      <c r="G30" s="72"/>
      <c r="H30" s="72"/>
      <c r="I30" s="72"/>
      <c r="J30" s="95">
        <f t="shared" si="0"/>
        <v>0</v>
      </c>
      <c r="K30" s="25"/>
      <c r="O30" s="96">
        <f t="shared" si="1"/>
        <v>0</v>
      </c>
      <c r="P30" s="96">
        <f t="shared" si="2"/>
        <v>0</v>
      </c>
    </row>
    <row r="31" hidden="1" ht="21">
      <c r="A31" s="1818"/>
      <c r="B31" s="1819"/>
      <c r="C31" s="1820"/>
      <c r="D31" s="70">
        <v>3</v>
      </c>
      <c r="E31" s="1546" t="s">
        <v>200</v>
      </c>
      <c r="F31" s="1546" t="s">
        <v>87</v>
      </c>
      <c r="G31" s="72"/>
      <c r="H31" s="72"/>
      <c r="I31" s="72"/>
      <c r="J31" s="95">
        <f t="shared" si="0"/>
        <v>0</v>
      </c>
      <c r="K31" s="25"/>
      <c r="O31" s="96">
        <f t="shared" si="1"/>
        <v>0</v>
      </c>
      <c r="P31" s="96">
        <f t="shared" si="2"/>
        <v>0</v>
      </c>
    </row>
    <row r="32" hidden="1" ht="21">
      <c r="A32" s="1818"/>
      <c r="B32" s="1819"/>
      <c r="C32" s="1820"/>
      <c r="D32" s="70">
        <f t="shared" si="5"/>
        <v>4</v>
      </c>
      <c r="E32" s="1546" t="s">
        <v>381</v>
      </c>
      <c r="F32" s="1546" t="s">
        <v>87</v>
      </c>
      <c r="G32" s="72"/>
      <c r="H32" s="72"/>
      <c r="I32" s="72"/>
      <c r="J32" s="95">
        <f t="shared" si="0"/>
        <v>0</v>
      </c>
      <c r="K32" s="25"/>
      <c r="O32" s="96">
        <f t="shared" si="1"/>
        <v>0</v>
      </c>
      <c r="P32" s="96">
        <f t="shared" si="2"/>
        <v>0</v>
      </c>
    </row>
    <row r="33" hidden="1" ht="21">
      <c r="A33" s="1818"/>
      <c r="B33" s="1819"/>
      <c r="C33" s="1820"/>
      <c r="D33" s="70">
        <f t="shared" si="5"/>
        <v>5</v>
      </c>
      <c r="E33" s="1546" t="s">
        <v>782</v>
      </c>
      <c r="F33" s="1546" t="s">
        <v>87</v>
      </c>
      <c r="G33" s="72"/>
      <c r="H33" s="72"/>
      <c r="I33" s="72"/>
      <c r="J33" s="95">
        <f t="shared" si="0"/>
        <v>0</v>
      </c>
      <c r="K33" s="25"/>
      <c r="O33" s="96">
        <f t="shared" si="1"/>
        <v>0</v>
      </c>
      <c r="P33" s="96">
        <f t="shared" si="2"/>
        <v>0</v>
      </c>
    </row>
    <row r="34" hidden="1" ht="21">
      <c r="A34" s="1818"/>
      <c r="B34" s="1819"/>
      <c r="C34" s="1820"/>
      <c r="D34" s="70">
        <f t="shared" si="5"/>
        <v>6</v>
      </c>
      <c r="E34" s="1546" t="s">
        <v>783</v>
      </c>
      <c r="F34" s="1546" t="s">
        <v>87</v>
      </c>
      <c r="G34" s="72"/>
      <c r="H34" s="72"/>
      <c r="I34" s="72"/>
      <c r="J34" s="95">
        <f t="shared" si="0"/>
        <v>0</v>
      </c>
      <c r="K34" s="25"/>
      <c r="O34" s="96">
        <f t="shared" si="1"/>
        <v>0</v>
      </c>
      <c r="P34" s="96">
        <f t="shared" si="2"/>
        <v>0</v>
      </c>
    </row>
    <row r="35" hidden="1" ht="21">
      <c r="A35" s="1818"/>
      <c r="B35" s="1819"/>
      <c r="C35" s="1820"/>
      <c r="D35" s="70">
        <f t="shared" si="5"/>
        <v>7</v>
      </c>
      <c r="E35" s="1546" t="s">
        <v>139</v>
      </c>
      <c r="F35" s="1546" t="s">
        <v>140</v>
      </c>
      <c r="G35" s="72"/>
      <c r="H35" s="72"/>
      <c r="I35" s="72"/>
      <c r="J35" s="95">
        <f t="shared" si="0"/>
        <v>0</v>
      </c>
      <c r="K35" s="25"/>
      <c r="O35" s="96">
        <f t="shared" si="1"/>
        <v>0</v>
      </c>
      <c r="P35" s="96">
        <f t="shared" si="2"/>
        <v>0</v>
      </c>
    </row>
    <row r="36" hidden="1" ht="21">
      <c r="A36" s="1818"/>
      <c r="B36" s="1819"/>
      <c r="C36" s="1820"/>
      <c r="D36" s="70">
        <v>4</v>
      </c>
      <c r="E36" s="1546" t="s">
        <v>176</v>
      </c>
      <c r="F36" s="1546" t="s">
        <v>261</v>
      </c>
      <c r="G36" s="72"/>
      <c r="H36" s="72"/>
      <c r="I36" s="72"/>
      <c r="J36" s="95">
        <f t="shared" si="0"/>
        <v>0</v>
      </c>
      <c r="K36" s="17"/>
      <c r="L36" s="59"/>
      <c r="O36" s="96">
        <f t="shared" si="1"/>
        <v>0</v>
      </c>
      <c r="P36" s="96">
        <f t="shared" si="2"/>
        <v>0</v>
      </c>
      <c r="Q36" s="101"/>
      <c r="R36" s="58"/>
    </row>
    <row r="37" hidden="1" ht="21">
      <c r="A37" s="1818"/>
      <c r="B37" s="1819"/>
      <c r="C37" s="1820"/>
      <c r="D37" s="70">
        <f t="shared" si="5"/>
        <v>5</v>
      </c>
      <c r="E37" s="1546" t="s">
        <v>176</v>
      </c>
      <c r="F37" s="1546" t="s">
        <v>87</v>
      </c>
      <c r="G37" s="72"/>
      <c r="H37" s="72"/>
      <c r="I37" s="72"/>
      <c r="J37" s="95">
        <f t="shared" si="0"/>
        <v>0</v>
      </c>
      <c r="K37" s="25"/>
      <c r="M37" s="97"/>
      <c r="N37" s="97"/>
      <c r="O37" s="96">
        <f t="shared" si="1"/>
        <v>0</v>
      </c>
      <c r="P37" s="96">
        <f t="shared" si="2"/>
        <v>0</v>
      </c>
    </row>
    <row r="38" hidden="1" ht="21">
      <c r="A38" s="1818"/>
      <c r="B38" s="1819"/>
      <c r="C38" s="1820"/>
      <c r="D38" s="70">
        <v>5</v>
      </c>
      <c r="E38" s="1546" t="s">
        <v>119</v>
      </c>
      <c r="F38" s="1546" t="s">
        <v>261</v>
      </c>
      <c r="G38" s="72"/>
      <c r="H38" s="72"/>
      <c r="I38" s="72"/>
      <c r="J38" s="95">
        <f t="shared" si="0"/>
        <v>0</v>
      </c>
      <c r="K38" s="25"/>
      <c r="O38" s="96">
        <f t="shared" si="1"/>
        <v>0</v>
      </c>
      <c r="P38" s="96">
        <f t="shared" si="2"/>
        <v>0</v>
      </c>
    </row>
    <row r="39" hidden="1" ht="21">
      <c r="A39" s="1818"/>
      <c r="B39" s="1819"/>
      <c r="C39" s="1820"/>
      <c r="D39" s="70">
        <f t="shared" si="5"/>
        <v>6</v>
      </c>
      <c r="E39" s="1546" t="s">
        <v>119</v>
      </c>
      <c r="F39" s="1546" t="s">
        <v>87</v>
      </c>
      <c r="G39" s="72"/>
      <c r="H39" s="72"/>
      <c r="I39" s="72"/>
      <c r="J39" s="95">
        <f t="shared" si="0"/>
        <v>0</v>
      </c>
      <c r="K39" s="25"/>
      <c r="O39" s="96">
        <f t="shared" si="1"/>
        <v>0</v>
      </c>
      <c r="P39" s="96">
        <f t="shared" si="2"/>
        <v>0</v>
      </c>
      <c r="R39" s="56"/>
      <c r="S39" s="56"/>
    </row>
    <row r="40" ht="21">
      <c r="A40" s="1818"/>
      <c r="B40" s="1819"/>
      <c r="C40" s="1820"/>
      <c r="D40" s="70">
        <v>7</v>
      </c>
      <c r="E40" s="1546" t="s">
        <v>504</v>
      </c>
      <c r="F40" s="1546" t="s">
        <v>87</v>
      </c>
      <c r="G40" s="72">
        <f>+'JOGJA ANTERAJA JULI - OK'!L9</f>
        <v>0</v>
      </c>
      <c r="H40" s="72">
        <f>+'JOGJA ANTERAJA JULI - OK'!N9+'JOGJA ANTERAJA JULI - OK'!O9+'JOGJA ANTERAJA JULI - OK'!P9</f>
        <v>1685000</v>
      </c>
      <c r="I40" s="72">
        <f>+'JOGJA ANTERAJA JULI - OK'!M9</f>
        <v>0</v>
      </c>
      <c r="J40" s="95">
        <f t="shared" si="0"/>
        <v>1685000</v>
      </c>
      <c r="K40" s="25"/>
      <c r="O40" s="96">
        <f>+I40*10%</f>
        <v>0</v>
      </c>
      <c r="P40" s="96">
        <f>+O40+J40</f>
        <v>1685000</v>
      </c>
    </row>
    <row r="41" hidden="1" ht="21">
      <c r="A41" s="1818"/>
      <c r="B41" s="1819"/>
      <c r="C41" s="1820"/>
      <c r="D41" s="70">
        <f t="shared" si="5"/>
        <v>8</v>
      </c>
      <c r="E41" s="1546" t="s">
        <v>772</v>
      </c>
      <c r="F41" s="1546" t="s">
        <v>87</v>
      </c>
      <c r="G41" s="72"/>
      <c r="H41" s="72"/>
      <c r="I41" s="72"/>
      <c r="J41" s="95">
        <f t="shared" si="0"/>
        <v>0</v>
      </c>
      <c r="K41" s="25"/>
      <c r="O41" s="96">
        <f t="shared" si="1"/>
        <v>0</v>
      </c>
      <c r="P41" s="96">
        <f t="shared" si="2"/>
        <v>0</v>
      </c>
    </row>
    <row r="42" hidden="1" ht="21">
      <c r="A42" s="68"/>
      <c r="B42" s="69"/>
      <c r="C42" s="70"/>
      <c r="D42" s="70">
        <f t="shared" si="5"/>
        <v>9</v>
      </c>
      <c r="E42" s="1546" t="s">
        <v>514</v>
      </c>
      <c r="F42" s="1546" t="s">
        <v>87</v>
      </c>
      <c r="G42" s="72"/>
      <c r="H42" s="72"/>
      <c r="I42" s="72"/>
      <c r="J42" s="95">
        <f t="shared" si="0"/>
        <v>0</v>
      </c>
      <c r="K42" s="25"/>
      <c r="O42" s="96">
        <f t="shared" si="1"/>
        <v>0</v>
      </c>
      <c r="P42" s="96">
        <f t="shared" si="2"/>
        <v>0</v>
      </c>
    </row>
    <row r="43" hidden="1" ht="21">
      <c r="A43" s="68"/>
      <c r="B43" s="69"/>
      <c r="C43" s="70"/>
      <c r="D43" s="70">
        <f t="shared" si="5"/>
        <v>10</v>
      </c>
      <c r="E43" s="1547" t="s">
        <v>686</v>
      </c>
      <c r="F43" s="1546" t="s">
        <v>87</v>
      </c>
      <c r="G43" s="72"/>
      <c r="H43" s="72"/>
      <c r="I43" s="72"/>
      <c r="J43" s="95">
        <f t="shared" si="0"/>
        <v>0</v>
      </c>
      <c r="K43" s="25"/>
      <c r="O43" s="96">
        <f t="shared" si="1"/>
        <v>0</v>
      </c>
      <c r="P43" s="96">
        <f t="shared" si="2"/>
        <v>0</v>
      </c>
    </row>
    <row r="44" hidden="1" ht="21">
      <c r="A44" s="73"/>
      <c r="B44" s="74"/>
      <c r="C44" s="75"/>
      <c r="D44" s="70">
        <f t="shared" si="5"/>
        <v>11</v>
      </c>
      <c r="E44" s="1546" t="s">
        <v>517</v>
      </c>
      <c r="F44" s="1546" t="s">
        <v>87</v>
      </c>
      <c r="G44" s="76"/>
      <c r="H44" s="76"/>
      <c r="I44" s="76"/>
      <c r="J44" s="95">
        <f t="shared" si="0"/>
        <v>0</v>
      </c>
      <c r="K44" s="25"/>
      <c r="O44" s="96">
        <f t="shared" si="1"/>
        <v>0</v>
      </c>
      <c r="P44" s="96">
        <f t="shared" si="2"/>
        <v>0</v>
      </c>
    </row>
    <row r="45" hidden="1" ht="21">
      <c r="A45" s="68"/>
      <c r="B45" s="69"/>
      <c r="C45" s="70"/>
      <c r="D45" s="70">
        <f t="shared" si="5"/>
        <v>12</v>
      </c>
      <c r="E45" s="1546" t="s">
        <v>328</v>
      </c>
      <c r="F45" s="1546" t="s">
        <v>87</v>
      </c>
      <c r="G45" s="72"/>
      <c r="H45" s="72"/>
      <c r="I45" s="72"/>
      <c r="J45" s="95">
        <f t="shared" si="0"/>
        <v>0</v>
      </c>
      <c r="K45" s="25"/>
      <c r="O45" s="96">
        <f t="shared" si="1"/>
        <v>0</v>
      </c>
      <c r="P45" s="96">
        <f t="shared" si="2"/>
        <v>0</v>
      </c>
    </row>
    <row r="46" ht="21">
      <c r="A46" s="68"/>
      <c r="B46" s="69"/>
      <c r="C46" s="70"/>
      <c r="D46" s="70"/>
      <c r="E46" s="71"/>
      <c r="F46" s="71"/>
      <c r="G46" s="72"/>
      <c r="H46" s="72"/>
      <c r="I46" s="72"/>
      <c r="J46" s="95"/>
      <c r="K46" s="25"/>
      <c r="O46" s="96">
        <f>+I46*10%</f>
        <v>0</v>
      </c>
      <c r="P46" s="96">
        <f>+O46+J46</f>
        <v>0</v>
      </c>
      <c r="Q46" s="96"/>
    </row>
    <row r="47" ht="21">
      <c r="A47" s="1821" t="s">
        <v>726</v>
      </c>
      <c r="B47" s="1822"/>
      <c r="C47" s="1822"/>
      <c r="D47" s="1822"/>
      <c r="E47" s="1823"/>
      <c r="F47" s="77"/>
      <c r="G47" s="78">
        <f>SUM(G15:G46)</f>
        <v>9297562.401119355</v>
      </c>
      <c r="H47" s="78">
        <f>SUM(H15:H46)</f>
        <v>2861000</v>
      </c>
      <c r="I47" s="98">
        <f>SUM(I15:I46)</f>
        <v>743804.9920895485</v>
      </c>
      <c r="J47" s="78">
        <f>SUM(J15:J46)</f>
        <v>12902367.393208904</v>
      </c>
      <c r="K47" s="17"/>
      <c r="L47" s="59"/>
      <c r="O47" s="96"/>
      <c r="P47" s="96"/>
      <c r="Q47" s="101"/>
    </row>
    <row r="48">
      <c r="A48" s="79"/>
      <c r="B48" s="79"/>
      <c r="C48" s="79"/>
      <c r="D48" s="79"/>
      <c r="E48" s="80"/>
      <c r="F48" s="80"/>
      <c r="G48" s="39"/>
      <c r="H48" s="39"/>
      <c r="I48" s="39"/>
      <c r="J48" s="39"/>
      <c r="K48" s="36"/>
    </row>
    <row r="49" ht="18.75">
      <c r="A49" s="1812" t="s">
        <v>19</v>
      </c>
      <c r="B49" s="1813"/>
      <c r="C49" s="1813"/>
      <c r="D49" s="1813"/>
      <c r="E49" s="1814"/>
      <c r="F49" s="81"/>
      <c r="G49" s="82">
        <f>G47+H47</f>
        <v>12158562.401119355</v>
      </c>
      <c r="H49" s="39"/>
      <c r="I49" s="39"/>
      <c r="J49" s="39"/>
      <c r="K49" s="36"/>
    </row>
    <row r="50" ht="18.75">
      <c r="A50" s="1812" t="s">
        <v>15</v>
      </c>
      <c r="B50" s="1813"/>
      <c r="C50" s="1813"/>
      <c r="D50" s="1813"/>
      <c r="E50" s="1814"/>
      <c r="F50" s="81"/>
      <c r="G50" s="82">
        <f>I47</f>
        <v>743804.9920895485</v>
      </c>
      <c r="H50" s="39"/>
      <c r="J50" s="39"/>
      <c r="K50" s="36"/>
    </row>
    <row r="51" ht="18.75">
      <c r="A51" s="1812" t="s">
        <v>890</v>
      </c>
      <c r="B51" s="1813"/>
      <c r="C51" s="1813"/>
      <c r="D51" s="1813"/>
      <c r="E51" s="1814"/>
      <c r="F51" s="81"/>
      <c r="G51" s="83">
        <f>ROUNDDOWN(G50*10%,0)</f>
        <v>74380</v>
      </c>
      <c r="H51" s="41"/>
      <c r="I51" s="99"/>
      <c r="J51" s="41"/>
      <c r="K51" s="36"/>
    </row>
    <row r="52" ht="18.75">
      <c r="A52" s="1815" t="s">
        <v>726</v>
      </c>
      <c r="B52" s="1816"/>
      <c r="C52" s="1816"/>
      <c r="D52" s="1816"/>
      <c r="E52" s="1817"/>
      <c r="F52" s="84"/>
      <c r="G52" s="82">
        <f>G49+G50+G51</f>
        <v>12976747.393208904</v>
      </c>
      <c r="H52" s="44"/>
      <c r="I52" s="99"/>
      <c r="J52" s="44"/>
      <c r="K52" s="36"/>
    </row>
    <row r="53" ht="15.75">
      <c r="A53" s="13"/>
      <c r="B53" s="13"/>
      <c r="C53" s="13"/>
      <c r="D53" s="13"/>
      <c r="E53" s="13"/>
      <c r="F53" s="13"/>
      <c r="G53" s="9"/>
      <c r="H53" s="9"/>
      <c r="I53" s="100" t="str">
        <f>+'INVOICE AGUSTUS'!I53</f>
        <v>Karawang, 20 Agustus 2021</v>
      </c>
      <c r="J53" s="9"/>
      <c r="K53" s="1"/>
      <c r="L53" s="52"/>
      <c r="O53" s="52"/>
      <c r="P53" s="52"/>
      <c r="Q53" s="52"/>
    </row>
    <row r="54" ht="15.75">
      <c r="A54" s="85" t="s">
        <v>892</v>
      </c>
      <c r="B54" s="86"/>
      <c r="C54" s="87"/>
      <c r="D54" s="87"/>
      <c r="E54" s="4"/>
      <c r="F54" s="13"/>
      <c r="G54" s="9"/>
      <c r="H54" s="9"/>
      <c r="J54" s="9"/>
      <c r="K54" s="1"/>
      <c r="L54" s="52"/>
      <c r="O54" s="52"/>
      <c r="P54" s="52"/>
      <c r="Q54" s="52"/>
    </row>
    <row r="55" ht="15.75">
      <c r="A55" s="86"/>
      <c r="B55" s="4"/>
      <c r="C55" s="85" t="s">
        <v>893</v>
      </c>
      <c r="D55" s="85"/>
      <c r="E55" s="4"/>
      <c r="F55" s="13"/>
      <c r="G55" s="9"/>
      <c r="H55" s="9"/>
      <c r="I55" s="100"/>
      <c r="J55" s="9"/>
      <c r="K55" s="1"/>
      <c r="L55" s="52"/>
      <c r="O55" s="52"/>
      <c r="P55" s="52"/>
      <c r="Q55" s="52"/>
    </row>
    <row r="56" ht="15.75">
      <c r="A56" s="86"/>
      <c r="B56" s="4"/>
      <c r="C56" s="85" t="s">
        <v>894</v>
      </c>
      <c r="D56" s="85"/>
      <c r="E56" s="4"/>
      <c r="F56" s="13"/>
      <c r="G56" s="88"/>
      <c r="H56" s="48"/>
      <c r="I56" s="100"/>
      <c r="J56" s="48"/>
      <c r="K56" s="1"/>
      <c r="L56" s="52"/>
      <c r="O56" s="52"/>
      <c r="P56" s="52"/>
      <c r="Q56" s="52"/>
    </row>
    <row r="57" ht="15.75">
      <c r="A57" s="86"/>
      <c r="B57" s="4"/>
      <c r="C57" s="85" t="s">
        <v>895</v>
      </c>
      <c r="D57" s="85"/>
      <c r="E57" s="4"/>
      <c r="F57" s="13"/>
      <c r="G57" s="88"/>
      <c r="H57" s="48"/>
      <c r="I57" s="100"/>
      <c r="J57" s="48"/>
      <c r="K57" s="1"/>
      <c r="L57" s="52"/>
      <c r="O57" s="52"/>
      <c r="P57" s="52"/>
      <c r="Q57" s="52"/>
    </row>
    <row r="58" ht="15.75">
      <c r="A58" s="86"/>
      <c r="B58" s="4"/>
      <c r="C58" s="85" t="s">
        <v>896</v>
      </c>
      <c r="D58" s="85"/>
      <c r="E58" s="4"/>
      <c r="F58" s="13"/>
      <c r="G58" s="88"/>
      <c r="H58" s="48"/>
      <c r="I58" s="100"/>
      <c r="J58" s="48"/>
      <c r="K58" s="1"/>
      <c r="L58" s="52"/>
      <c r="O58" s="52"/>
      <c r="P58" s="52"/>
      <c r="Q58" s="52"/>
    </row>
    <row r="59" ht="15.75">
      <c r="A59" s="86"/>
      <c r="B59" s="4"/>
      <c r="C59" s="85"/>
      <c r="D59" s="85"/>
      <c r="E59" s="4"/>
      <c r="F59" s="13"/>
      <c r="G59" s="88"/>
      <c r="H59" s="48"/>
      <c r="I59" s="100"/>
      <c r="J59" s="48"/>
      <c r="K59" s="1"/>
      <c r="L59" s="52"/>
      <c r="O59" s="52"/>
      <c r="P59" s="52"/>
      <c r="Q59" s="52"/>
    </row>
    <row r="60" ht="15.75">
      <c r="A60" s="86"/>
      <c r="B60" s="4"/>
      <c r="C60" s="85"/>
      <c r="D60" s="85"/>
      <c r="E60" s="4"/>
      <c r="F60" s="13"/>
      <c r="G60" s="88"/>
      <c r="H60" s="48"/>
      <c r="I60" s="100"/>
      <c r="J60" s="48"/>
      <c r="K60" s="1"/>
      <c r="L60" s="52"/>
      <c r="O60" s="52"/>
      <c r="P60" s="52"/>
      <c r="Q60" s="52"/>
    </row>
    <row r="61" ht="15.75">
      <c r="A61" s="86"/>
      <c r="B61" s="4"/>
      <c r="C61" s="85"/>
      <c r="D61" s="85"/>
      <c r="E61" s="4"/>
      <c r="F61" s="13"/>
      <c r="G61" s="88"/>
      <c r="H61" s="48"/>
      <c r="I61" s="100"/>
      <c r="J61" s="48"/>
      <c r="K61" s="1"/>
      <c r="L61" s="52"/>
      <c r="O61" s="52"/>
      <c r="P61" s="52"/>
      <c r="Q61" s="52"/>
    </row>
    <row r="62" ht="15.75">
      <c r="A62" s="86"/>
      <c r="B62" s="4"/>
      <c r="C62" s="85"/>
      <c r="D62" s="85"/>
      <c r="E62" s="4"/>
      <c r="F62" s="13"/>
      <c r="G62" s="88"/>
      <c r="H62" s="48"/>
      <c r="I62" s="100"/>
      <c r="J62" s="48"/>
      <c r="K62" s="1"/>
      <c r="L62" s="52"/>
      <c r="O62" s="52"/>
      <c r="P62" s="52"/>
      <c r="Q62" s="52"/>
    </row>
    <row r="63" ht="15.75">
      <c r="A63" s="15"/>
      <c r="B63" s="13"/>
      <c r="C63" s="49"/>
      <c r="D63" s="49"/>
      <c r="E63" s="13"/>
      <c r="F63" s="13"/>
      <c r="G63" s="88"/>
      <c r="H63" s="48"/>
      <c r="I63" s="100" t="s">
        <v>897</v>
      </c>
      <c r="J63" s="48"/>
      <c r="K63" s="1"/>
      <c r="L63" s="52"/>
      <c r="O63" s="52"/>
      <c r="P63" s="52"/>
      <c r="Q63" s="52"/>
    </row>
    <row r="64" ht="15.75">
      <c r="A64" s="13"/>
      <c r="B64" s="13"/>
      <c r="C64" s="13"/>
      <c r="D64" s="13"/>
      <c r="E64" s="13"/>
      <c r="F64" s="13"/>
      <c r="G64" s="88"/>
      <c r="H64" s="48"/>
      <c r="I64" s="100" t="s">
        <v>898</v>
      </c>
      <c r="J64" s="48"/>
      <c r="K64" s="1"/>
      <c r="L64" s="52"/>
      <c r="O64" s="52"/>
      <c r="P64" s="52"/>
      <c r="Q64" s="52"/>
    </row>
    <row r="65">
      <c r="A65" s="13"/>
      <c r="B65" s="13"/>
      <c r="C65" s="13"/>
      <c r="D65" s="13"/>
      <c r="E65" s="13"/>
      <c r="F65" s="13"/>
      <c r="G65" s="88"/>
      <c r="H65" s="48"/>
      <c r="J65" s="48"/>
      <c r="K65" s="1"/>
      <c r="L65" s="52"/>
      <c r="O65" s="52"/>
      <c r="P65" s="52"/>
      <c r="Q65" s="52"/>
    </row>
    <row r="66">
      <c r="A66" s="13"/>
      <c r="B66" s="13"/>
      <c r="C66" s="13"/>
      <c r="D66" s="13"/>
      <c r="E66" s="13"/>
      <c r="F66" s="13"/>
      <c r="G66" s="88"/>
      <c r="H66" s="48"/>
      <c r="J66" s="48"/>
      <c r="K66" s="1"/>
      <c r="L66" s="52"/>
      <c r="O66" s="52"/>
      <c r="P66" s="52"/>
      <c r="Q66" s="52"/>
    </row>
    <row r="67">
      <c r="A67" s="1"/>
      <c r="B67" s="1"/>
      <c r="C67" s="1"/>
      <c r="D67" s="1"/>
      <c r="E67" s="1"/>
      <c r="F67" s="1"/>
      <c r="G67" s="52"/>
      <c r="H67" s="51"/>
      <c r="I67" s="51"/>
      <c r="J67" s="51"/>
      <c r="K67" s="1"/>
      <c r="L67" s="52"/>
      <c r="O67" s="52"/>
      <c r="P67" s="52"/>
      <c r="Q67" s="52"/>
    </row>
    <row r="68">
      <c r="A68" s="1"/>
      <c r="B68" s="1"/>
      <c r="C68" s="1"/>
      <c r="D68" s="1"/>
      <c r="E68" s="1"/>
      <c r="F68" s="1"/>
      <c r="G68" s="52"/>
      <c r="H68" s="51"/>
      <c r="I68" s="51"/>
      <c r="J68" s="51"/>
      <c r="K68" s="1"/>
      <c r="L68" s="52"/>
      <c r="O68" s="52"/>
      <c r="P68" s="52"/>
      <c r="Q68" s="52"/>
    </row>
    <row r="69">
      <c r="K69" s="1"/>
      <c r="L69" s="52"/>
      <c r="O69" s="52"/>
      <c r="P69" s="52"/>
      <c r="Q69" s="52"/>
    </row>
    <row r="70">
      <c r="L70" s="52"/>
      <c r="O70" s="52"/>
      <c r="P70" s="52"/>
      <c r="Q70" s="52"/>
    </row>
    <row r="71">
      <c r="L71" s="52"/>
      <c r="O71" s="52"/>
      <c r="P71" s="52"/>
      <c r="Q71" s="52"/>
    </row>
    <row r="72">
      <c r="G72" s="52"/>
      <c r="H72" s="52"/>
      <c r="I72" s="52"/>
      <c r="J72" s="52"/>
      <c r="L72" s="52"/>
      <c r="O72" s="52"/>
      <c r="P72" s="52"/>
      <c r="Q72" s="52"/>
    </row>
    <row r="73">
      <c r="G73" s="52"/>
      <c r="H73" s="52"/>
      <c r="I73" s="52"/>
      <c r="J73" s="52"/>
      <c r="L73" s="52"/>
      <c r="O73" s="52"/>
      <c r="P73" s="52"/>
      <c r="Q73" s="52"/>
    </row>
  </sheetData>
  <autoFilter ref="A14:S45">
    <filterColumn colId="0" showButton="0"/>
    <filterColumn colId="1" showButton="0"/>
    <filterColumn colId="9">
      <filters>
        <filter val="1,581,784"/>
        <filter val="1,685,000"/>
        <filter val="1,692,796"/>
        <filter val="100,000"/>
        <filter val="2,205,511"/>
        <filter val="4,668,666"/>
        <filter val="968,609"/>
      </filters>
    </filterColumn>
  </autoFilter>
  <mergeCells>
    <mergeCell ref="C3:E3"/>
    <mergeCell ref="A13:F13"/>
    <mergeCell ref="G13:J13"/>
    <mergeCell ref="A14:C14"/>
    <mergeCell ref="A15:C15"/>
    <mergeCell ref="A16:C16"/>
    <mergeCell ref="A17:C17"/>
    <mergeCell ref="A23:C23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52:E52"/>
    <mergeCell ref="A47:E47"/>
    <mergeCell ref="A49:E49"/>
    <mergeCell ref="A50:E50"/>
    <mergeCell ref="A51:E51"/>
  </mergeCells>
  <printOptions horizontalCentered="1"/>
  <pageMargins left="0" right="0" top="0.25" bottom="0" header="0.3" footer="0.3"/>
  <pageSetup paperSize="9" scale="53" orientation="portrait"/>
  <headerFooter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rgb="FF92D050"/>
    <pageSetUpPr fitToPage="1"/>
  </sheetPr>
  <dimension ref="A1:S50"/>
  <sheetViews>
    <sheetView topLeftCell="A10" zoomScale="55" zoomScaleNormal="55" workbookViewId="0">
      <selection activeCell="A19" sqref="A19:C19"/>
    </sheetView>
  </sheetViews>
  <sheetFormatPr defaultColWidth="9.140625" defaultRowHeight="15"/>
  <cols>
    <col min="1" max="1" width="20.7109375" customWidth="1"/>
    <col min="2" max="2" width="4" customWidth="1"/>
    <col min="3" max="3" width="5.7109375" customWidth="1"/>
    <col min="4" max="4" width="10.85546875" customWidth="1"/>
    <col min="5" max="5" width="31.7109375" customWidth="1"/>
    <col min="6" max="6" width="28.28515625" customWidth="1"/>
    <col min="7" max="7" width="40.140625" customWidth="1"/>
    <col min="8" max="10" width="29.42578125" customWidth="1"/>
    <col min="11" max="12" width="5.7109375" customWidth="1"/>
    <col min="13" max="13" width="13.28515625" customWidth="1"/>
    <col min="14" max="14" width="14.28515625" customWidth="1"/>
    <col min="16" max="16" width="16.5703125" customWidth="1"/>
    <col min="17" max="17" width="11.5703125" customWidth="1"/>
    <col min="18" max="18" width="15.42578125" customWidth="1"/>
    <col min="19" max="19" width="20.28515625" customWidth="1"/>
    <col min="20" max="20" width="11.5703125" customWidth="1"/>
    <col min="21" max="21" width="12.5703125" customWidth="1"/>
  </cols>
  <sheetData>
    <row r="1" ht="36" customHeight="1">
      <c r="A1" s="1"/>
      <c r="B1" s="1"/>
      <c r="C1" s="1"/>
      <c r="D1" s="1"/>
      <c r="E1" s="1"/>
      <c r="F1" s="2"/>
      <c r="G1" s="1950" t="s">
        <v>121</v>
      </c>
      <c r="H1" s="3"/>
      <c r="I1" s="52"/>
      <c r="L1" s="52"/>
      <c r="S1" s="52"/>
    </row>
    <row r="2" ht="15.75">
      <c r="A2" s="4" t="s">
        <v>867</v>
      </c>
      <c r="B2" s="4" t="s">
        <v>868</v>
      </c>
      <c r="C2" s="4" t="s">
        <v>1735</v>
      </c>
      <c r="D2" s="4"/>
      <c r="E2" s="4"/>
      <c r="F2" s="3"/>
      <c r="G2" s="5" t="s">
        <v>870</v>
      </c>
      <c r="H2" s="3"/>
      <c r="I2" s="52"/>
      <c r="L2" s="52"/>
      <c r="S2" s="52"/>
    </row>
    <row r="3" ht="15.75">
      <c r="A3" s="4" t="s">
        <v>871</v>
      </c>
      <c r="B3" s="4" t="s">
        <v>868</v>
      </c>
      <c r="C3" s="1848">
        <v>44397</v>
      </c>
      <c r="D3" s="1848"/>
      <c r="E3" s="1848"/>
      <c r="F3" s="6"/>
      <c r="G3" s="7" t="s">
        <v>872</v>
      </c>
      <c r="H3" s="6"/>
      <c r="I3" s="52"/>
      <c r="L3" s="52"/>
      <c r="S3" s="52"/>
    </row>
    <row r="4">
      <c r="A4" s="1"/>
      <c r="B4" s="1"/>
      <c r="C4" s="1"/>
      <c r="D4" s="1"/>
      <c r="E4" s="1"/>
      <c r="F4" s="8"/>
      <c r="G4" s="9" t="s">
        <v>873</v>
      </c>
      <c r="H4" s="8"/>
      <c r="I4" s="52"/>
      <c r="L4" s="52"/>
      <c r="S4" s="52"/>
    </row>
    <row r="5">
      <c r="A5" s="1"/>
      <c r="B5" s="1"/>
      <c r="C5" s="1"/>
      <c r="D5" s="1"/>
      <c r="E5" s="1"/>
      <c r="F5" s="6"/>
      <c r="G5" s="7"/>
      <c r="H5" s="6"/>
      <c r="I5" s="52"/>
      <c r="L5" s="52"/>
      <c r="S5" s="52"/>
    </row>
    <row r="6">
      <c r="A6" s="1"/>
      <c r="B6" s="1"/>
      <c r="C6" s="1"/>
      <c r="D6" s="1"/>
      <c r="E6" s="1"/>
      <c r="F6" s="8"/>
      <c r="G6" s="9" t="s">
        <v>874</v>
      </c>
      <c r="H6" s="8"/>
      <c r="I6" s="52"/>
      <c r="L6" s="52"/>
      <c r="S6" s="52"/>
    </row>
    <row r="7">
      <c r="A7" s="1"/>
      <c r="B7" s="1"/>
      <c r="C7" s="1"/>
      <c r="D7" s="1"/>
      <c r="E7" s="1"/>
      <c r="F7" s="8"/>
      <c r="G7" s="9" t="s">
        <v>875</v>
      </c>
      <c r="H7" s="8"/>
      <c r="I7" s="52"/>
      <c r="L7" s="52"/>
      <c r="S7" s="52"/>
    </row>
    <row r="8">
      <c r="A8" s="1"/>
      <c r="B8" s="1"/>
      <c r="C8" s="1"/>
      <c r="D8" s="1"/>
      <c r="E8" s="1"/>
      <c r="F8" s="8"/>
      <c r="G8" s="9" t="s">
        <v>876</v>
      </c>
      <c r="H8" s="8"/>
      <c r="I8" s="52"/>
      <c r="L8" s="52"/>
      <c r="S8" s="52"/>
    </row>
    <row r="9">
      <c r="A9" s="1"/>
      <c r="B9" s="1"/>
      <c r="C9" s="1"/>
      <c r="D9" s="1"/>
      <c r="E9" s="1"/>
      <c r="F9" s="8"/>
      <c r="G9" s="9" t="s">
        <v>877</v>
      </c>
      <c r="H9" s="8"/>
      <c r="I9" s="52"/>
      <c r="L9" s="52"/>
      <c r="S9" s="52"/>
    </row>
    <row r="10">
      <c r="F10" s="8"/>
      <c r="G10" s="8"/>
      <c r="H10" s="8"/>
      <c r="I10" s="52"/>
      <c r="L10" s="52"/>
      <c r="S10" s="52"/>
    </row>
    <row r="11">
      <c r="F11" s="10"/>
      <c r="I11" s="52"/>
      <c r="L11" s="52"/>
      <c r="S11" s="52"/>
    </row>
    <row r="12" ht="15.75">
      <c r="A12" s="11"/>
      <c r="B12" s="11"/>
      <c r="C12" s="11"/>
      <c r="D12" s="11"/>
      <c r="E12" s="11"/>
      <c r="F12" s="10"/>
      <c r="I12" s="52"/>
      <c r="L12" s="52"/>
      <c r="S12" s="52"/>
    </row>
    <row r="13">
      <c r="A13" s="12"/>
      <c r="B13" s="13"/>
      <c r="C13" s="13"/>
      <c r="D13" s="13"/>
      <c r="E13" s="13"/>
      <c r="F13" s="10"/>
      <c r="I13" s="52"/>
      <c r="L13" s="52"/>
      <c r="S13" s="52"/>
    </row>
    <row r="14">
      <c r="A14" s="14"/>
      <c r="B14" s="13"/>
      <c r="C14" s="13"/>
      <c r="D14" s="13"/>
      <c r="E14" s="13"/>
      <c r="F14" s="10"/>
      <c r="I14" s="1"/>
      <c r="K14" s="1"/>
      <c r="L14" s="52"/>
      <c r="S14" s="52"/>
    </row>
    <row r="15">
      <c r="A15" s="15"/>
      <c r="B15" s="13"/>
      <c r="C15" s="13"/>
      <c r="D15" s="13"/>
      <c r="E15" s="13"/>
      <c r="F15" s="13"/>
      <c r="K15" s="1"/>
      <c r="M15" s="1"/>
    </row>
    <row r="16">
      <c r="A16" s="1"/>
      <c r="B16" s="1"/>
      <c r="C16" s="1"/>
      <c r="D16" s="1"/>
      <c r="E16" s="1"/>
      <c r="F16" s="1"/>
      <c r="K16" s="1"/>
      <c r="M16" s="1"/>
    </row>
    <row r="17" ht="15.75">
      <c r="A17" s="1849" t="s">
        <v>134</v>
      </c>
      <c r="B17" s="1850"/>
      <c r="C17" s="1850"/>
      <c r="D17" s="1850"/>
      <c r="E17" s="1850"/>
      <c r="F17" s="1851"/>
      <c r="G17" s="16" t="s">
        <v>878</v>
      </c>
      <c r="H17" s="17"/>
      <c r="I17" s="10"/>
      <c r="J17" s="17"/>
      <c r="P17" s="53"/>
    </row>
    <row r="18" ht="15.75">
      <c r="A18" s="1852" t="s">
        <v>879</v>
      </c>
      <c r="B18" s="1853"/>
      <c r="C18" s="1854"/>
      <c r="D18" s="18" t="s">
        <v>126</v>
      </c>
      <c r="E18" s="19" t="s">
        <v>1736</v>
      </c>
      <c r="F18" s="19" t="s">
        <v>756</v>
      </c>
      <c r="G18" s="20" t="s">
        <v>881</v>
      </c>
      <c r="H18" s="1"/>
      <c r="J18" s="1"/>
      <c r="L18" s="52"/>
      <c r="P18" s="54"/>
      <c r="S18" s="52"/>
    </row>
    <row r="19" ht="15.75">
      <c r="A19" s="1839"/>
      <c r="B19" s="1840"/>
      <c r="C19" s="1841"/>
      <c r="D19" s="23">
        <v>1</v>
      </c>
      <c r="E19" s="1548" t="s">
        <v>1737</v>
      </c>
      <c r="F19" s="1548" t="s">
        <v>1738</v>
      </c>
      <c r="G19" s="24">
        <f>+'sharing budget'!N13</f>
        <v>5000479</v>
      </c>
      <c r="H19" s="25"/>
      <c r="J19" s="25"/>
      <c r="K19" s="55"/>
      <c r="L19" s="52"/>
      <c r="N19" s="56"/>
      <c r="P19" s="54"/>
      <c r="S19" s="52"/>
    </row>
    <row r="20" ht="15.75">
      <c r="A20" s="21"/>
      <c r="B20" s="22"/>
      <c r="C20" s="23"/>
      <c r="D20" s="23">
        <f ref="D20:D27" t="shared" si="0">+D19+1</f>
        <v>2</v>
      </c>
      <c r="E20" s="1548" t="s">
        <v>739</v>
      </c>
      <c r="F20" s="1548" t="s">
        <v>193</v>
      </c>
      <c r="G20" s="24">
        <f>+'sharing budget'!N14</f>
        <v>0</v>
      </c>
      <c r="H20" s="25"/>
      <c r="J20" s="25"/>
      <c r="K20" s="55"/>
      <c r="L20" s="52"/>
      <c r="N20" s="56"/>
      <c r="P20" s="54"/>
      <c r="S20" s="52"/>
    </row>
    <row r="21" ht="15.75">
      <c r="A21" s="21"/>
      <c r="B21" s="22"/>
      <c r="C21" s="23"/>
      <c r="D21" s="23">
        <f t="shared" si="0"/>
        <v>3</v>
      </c>
      <c r="E21" s="1548" t="s">
        <v>1739</v>
      </c>
      <c r="F21" s="1548" t="s">
        <v>47</v>
      </c>
      <c r="G21" s="24">
        <f>+'sharing budget'!N15</f>
        <v>0</v>
      </c>
      <c r="H21" s="25"/>
      <c r="J21" s="25"/>
      <c r="K21" s="55"/>
      <c r="L21" s="52"/>
      <c r="N21" s="56"/>
      <c r="P21" s="54"/>
      <c r="S21" s="52"/>
    </row>
    <row r="22" ht="15.75">
      <c r="A22" s="1839"/>
      <c r="B22" s="1840"/>
      <c r="C22" s="1841"/>
      <c r="D22" s="23">
        <f t="shared" si="0"/>
        <v>4</v>
      </c>
      <c r="E22" s="1548" t="s">
        <v>1740</v>
      </c>
      <c r="F22" s="1548" t="s">
        <v>741</v>
      </c>
      <c r="G22" s="24">
        <f>+'sharing budget'!N16</f>
        <v>1800900</v>
      </c>
      <c r="H22" s="25"/>
      <c r="J22" s="25"/>
      <c r="K22" s="55"/>
      <c r="L22" s="52"/>
      <c r="N22" s="56"/>
      <c r="O22" s="57"/>
      <c r="P22" s="54"/>
      <c r="S22" s="52"/>
    </row>
    <row r="23" ht="15.75">
      <c r="A23" s="1839"/>
      <c r="B23" s="1840"/>
      <c r="C23" s="1841"/>
      <c r="D23" s="23">
        <f t="shared" si="0"/>
        <v>5</v>
      </c>
      <c r="E23" s="1548" t="s">
        <v>744</v>
      </c>
      <c r="F23" s="1548" t="s">
        <v>743</v>
      </c>
      <c r="G23" s="24">
        <f>+'sharing budget'!N17</f>
        <v>0</v>
      </c>
      <c r="H23" s="25"/>
      <c r="J23" s="25"/>
      <c r="K23" s="55"/>
      <c r="L23" s="52"/>
      <c r="N23" s="56"/>
      <c r="O23" s="57"/>
      <c r="P23" s="54"/>
      <c r="S23" s="52"/>
    </row>
    <row r="24" ht="15.75">
      <c r="A24" s="21"/>
      <c r="B24" s="22"/>
      <c r="C24" s="23"/>
      <c r="D24" s="23">
        <f t="shared" si="0"/>
        <v>6</v>
      </c>
      <c r="E24" s="1548" t="s">
        <v>745</v>
      </c>
      <c r="F24" s="1548" t="s">
        <v>139</v>
      </c>
      <c r="G24" s="24">
        <f>+'sharing budget'!N18</f>
        <v>300000</v>
      </c>
      <c r="H24" s="25"/>
      <c r="J24" s="25"/>
      <c r="K24" s="55"/>
      <c r="L24" s="52"/>
      <c r="N24" s="56"/>
      <c r="O24" s="57"/>
      <c r="P24" s="54"/>
      <c r="S24" s="52"/>
    </row>
    <row r="25" ht="15.75">
      <c r="A25" s="21"/>
      <c r="B25" s="22"/>
      <c r="C25" s="23"/>
      <c r="D25" s="23">
        <f t="shared" si="0"/>
        <v>7</v>
      </c>
      <c r="E25" s="1548" t="s">
        <v>1741</v>
      </c>
      <c r="F25" s="1548" t="s">
        <v>1742</v>
      </c>
      <c r="G25" s="24">
        <f>+'sharing budget'!N19</f>
        <v>0</v>
      </c>
      <c r="H25" s="25"/>
      <c r="J25" s="25"/>
      <c r="K25" s="55"/>
      <c r="L25" s="52"/>
      <c r="N25" s="56"/>
      <c r="O25" s="57"/>
      <c r="P25" s="54"/>
      <c r="S25" s="52"/>
    </row>
    <row r="26" ht="15.75">
      <c r="A26" s="1839"/>
      <c r="B26" s="1840"/>
      <c r="C26" s="1841"/>
      <c r="D26" s="23">
        <f t="shared" si="0"/>
        <v>8</v>
      </c>
      <c r="E26" s="1548" t="s">
        <v>1743</v>
      </c>
      <c r="F26" s="1548" t="s">
        <v>200</v>
      </c>
      <c r="G26" s="24">
        <f>+'sharing budget'!N20</f>
        <v>1389708</v>
      </c>
      <c r="H26" s="25"/>
      <c r="J26" s="25"/>
      <c r="K26" s="55"/>
      <c r="L26" s="52"/>
      <c r="N26" s="58"/>
      <c r="P26" s="54"/>
      <c r="S26" s="52"/>
    </row>
    <row r="27" ht="15.75">
      <c r="A27" s="26"/>
      <c r="B27" s="27"/>
      <c r="C27" s="28"/>
      <c r="D27" s="1733">
        <f t="shared" si="0"/>
        <v>9</v>
      </c>
      <c r="E27" s="29" t="s">
        <v>749</v>
      </c>
      <c r="F27" s="29" t="s">
        <v>504</v>
      </c>
      <c r="G27" s="30">
        <f>+'sharing budget'!N21</f>
        <v>444434.2</v>
      </c>
      <c r="H27" s="25"/>
      <c r="J27" s="25"/>
      <c r="K27" s="55"/>
      <c r="L27" s="52"/>
      <c r="N27" s="58"/>
      <c r="P27" s="54"/>
      <c r="S27" s="52"/>
    </row>
    <row r="28" ht="15.75">
      <c r="A28" s="26"/>
      <c r="B28" s="27"/>
      <c r="C28" s="28"/>
      <c r="D28" s="28"/>
      <c r="E28" s="29"/>
      <c r="F28" s="29"/>
      <c r="G28" s="30"/>
      <c r="H28" s="25"/>
      <c r="J28" s="25"/>
      <c r="K28" s="55"/>
      <c r="L28" s="52"/>
      <c r="N28" s="58"/>
      <c r="P28" s="54"/>
      <c r="S28" s="52"/>
    </row>
    <row r="29" ht="15.75">
      <c r="A29" s="1842"/>
      <c r="B29" s="1843"/>
      <c r="C29" s="1844"/>
      <c r="D29" s="28"/>
      <c r="E29" s="29"/>
      <c r="F29" s="29"/>
      <c r="G29" s="30"/>
      <c r="H29" s="25"/>
      <c r="J29" s="25"/>
      <c r="L29" s="52"/>
      <c r="N29" s="58"/>
      <c r="P29" s="54"/>
      <c r="S29" s="52"/>
    </row>
    <row r="30" ht="15.75">
      <c r="A30" s="1845" t="s">
        <v>726</v>
      </c>
      <c r="B30" s="1846"/>
      <c r="C30" s="1846"/>
      <c r="D30" s="1846"/>
      <c r="E30" s="1847"/>
      <c r="F30" s="31"/>
      <c r="G30" s="32">
        <f>SUM(G19:G29)</f>
        <v>8935521.2</v>
      </c>
      <c r="H30" s="17"/>
      <c r="I30" s="59"/>
      <c r="J30" s="60"/>
      <c r="M30" s="52"/>
      <c r="N30" s="52"/>
      <c r="P30" s="53"/>
    </row>
    <row r="31" ht="15.75">
      <c r="A31" s="33"/>
      <c r="B31" s="33"/>
      <c r="C31" s="33"/>
      <c r="D31" s="33"/>
      <c r="E31" s="34"/>
      <c r="F31" s="34"/>
      <c r="G31" s="35"/>
      <c r="H31" s="36"/>
      <c r="J31" s="61"/>
      <c r="L31" s="52"/>
      <c r="M31" s="50"/>
      <c r="N31" s="50"/>
      <c r="P31" s="54"/>
      <c r="S31" s="52"/>
    </row>
    <row r="32" ht="15.75">
      <c r="A32" s="1833" t="s">
        <v>19</v>
      </c>
      <c r="B32" s="1834"/>
      <c r="C32" s="1834"/>
      <c r="D32" s="1834"/>
      <c r="E32" s="1835"/>
      <c r="F32" s="37"/>
      <c r="G32" s="38">
        <f>SUM(G30)</f>
        <v>8935521.2</v>
      </c>
      <c r="H32" s="39"/>
      <c r="I32" s="39"/>
      <c r="J32" s="39"/>
      <c r="K32" s="36"/>
      <c r="M32" s="61"/>
      <c r="S32" s="52"/>
    </row>
    <row r="33" ht="15.75">
      <c r="A33" s="1833" t="s">
        <v>15</v>
      </c>
      <c r="B33" s="1834"/>
      <c r="C33" s="1834"/>
      <c r="D33" s="1834"/>
      <c r="E33" s="1835"/>
      <c r="F33" s="37"/>
      <c r="G33" s="38">
        <v>0</v>
      </c>
      <c r="H33" s="39"/>
      <c r="I33" s="39"/>
      <c r="J33" s="39"/>
      <c r="K33" s="36"/>
      <c r="M33" s="61"/>
      <c r="S33" s="52"/>
    </row>
    <row r="34" ht="15.75">
      <c r="A34" s="1833" t="s">
        <v>890</v>
      </c>
      <c r="B34" s="1834"/>
      <c r="C34" s="1834"/>
      <c r="D34" s="1834"/>
      <c r="E34" s="1835"/>
      <c r="F34" s="37"/>
      <c r="G34" s="40">
        <f>ROUNDDOWN(G32*10%,0)</f>
        <v>893552</v>
      </c>
      <c r="H34" s="41"/>
      <c r="I34" s="62"/>
      <c r="J34" s="41"/>
      <c r="K34" s="36"/>
      <c r="M34" s="25"/>
      <c r="S34" s="52"/>
    </row>
    <row r="35" ht="15.75">
      <c r="A35" s="1836" t="s">
        <v>726</v>
      </c>
      <c r="B35" s="1837"/>
      <c r="C35" s="1837"/>
      <c r="D35" s="1837"/>
      <c r="E35" s="1838"/>
      <c r="F35" s="42"/>
      <c r="G35" s="43">
        <f>G32+G33+G34</f>
        <v>9829073.2</v>
      </c>
      <c r="H35" s="44"/>
      <c r="I35" s="44"/>
      <c r="J35" s="44"/>
      <c r="K35" s="36"/>
      <c r="M35" s="1"/>
      <c r="S35" s="52"/>
    </row>
    <row r="36">
      <c r="A36" s="13"/>
      <c r="B36" s="13"/>
      <c r="C36" s="13"/>
      <c r="D36" s="13"/>
      <c r="E36" s="13"/>
      <c r="F36" s="13"/>
      <c r="G36" s="9"/>
      <c r="H36" s="9"/>
      <c r="I36" s="9"/>
      <c r="J36" s="9"/>
      <c r="K36" s="1"/>
      <c r="M36" s="1"/>
      <c r="S36" s="52"/>
    </row>
    <row r="37">
      <c r="A37" s="45" t="s">
        <v>892</v>
      </c>
      <c r="B37" s="46"/>
      <c r="C37" s="45"/>
      <c r="D37" s="45"/>
      <c r="E37" s="17"/>
      <c r="F37" s="13"/>
      <c r="G37" s="47" t="str">
        <f>+'INVOICE AGUSTUS'!I53</f>
        <v>Karawang, 20 Agustus 2021</v>
      </c>
      <c r="H37" s="9"/>
      <c r="I37" s="52"/>
      <c r="J37" s="9"/>
      <c r="K37" s="1"/>
      <c r="M37" s="1"/>
      <c r="S37" s="52"/>
    </row>
    <row r="38">
      <c r="A38" s="46"/>
      <c r="B38" s="17"/>
      <c r="C38" s="45" t="s">
        <v>893</v>
      </c>
      <c r="D38" s="45"/>
      <c r="E38" s="17"/>
      <c r="F38" s="13"/>
      <c r="G38" s="47"/>
      <c r="H38" s="9"/>
      <c r="I38" s="52"/>
      <c r="J38" s="9"/>
      <c r="K38" s="1"/>
      <c r="S38" s="52"/>
    </row>
    <row r="39">
      <c r="A39" s="46"/>
      <c r="B39" s="17"/>
      <c r="C39" s="45" t="s">
        <v>894</v>
      </c>
      <c r="D39" s="45"/>
      <c r="E39" s="17"/>
      <c r="F39" s="13"/>
      <c r="G39" s="47"/>
      <c r="H39" s="48"/>
      <c r="I39" s="52"/>
      <c r="J39" s="48"/>
      <c r="K39" s="1"/>
      <c r="S39" s="52"/>
    </row>
    <row r="40">
      <c r="A40" s="46"/>
      <c r="B40" s="17"/>
      <c r="C40" s="45" t="s">
        <v>895</v>
      </c>
      <c r="D40" s="45"/>
      <c r="E40" s="17"/>
      <c r="F40" s="13"/>
      <c r="G40" s="47"/>
      <c r="H40" s="48"/>
      <c r="I40" s="52"/>
      <c r="J40" s="48"/>
      <c r="K40" s="1"/>
      <c r="S40" s="52"/>
    </row>
    <row r="41">
      <c r="A41" s="46"/>
      <c r="B41" s="17"/>
      <c r="C41" s="45" t="s">
        <v>896</v>
      </c>
      <c r="D41" s="45"/>
      <c r="E41" s="17"/>
      <c r="F41" s="13"/>
      <c r="G41" s="47"/>
      <c r="H41" s="48"/>
      <c r="I41" s="52"/>
      <c r="J41" s="48"/>
      <c r="K41" s="1"/>
      <c r="S41" s="52"/>
    </row>
    <row r="42">
      <c r="A42" s="46"/>
      <c r="B42" s="17"/>
      <c r="C42" s="45"/>
      <c r="D42" s="45"/>
      <c r="E42" s="17"/>
      <c r="F42" s="13"/>
      <c r="G42" s="47"/>
      <c r="H42" s="48"/>
      <c r="I42" s="52"/>
      <c r="J42" s="48"/>
      <c r="K42" s="1"/>
      <c r="S42" s="52"/>
    </row>
    <row r="43">
      <c r="A43" s="46"/>
      <c r="B43" s="17"/>
      <c r="C43" s="45"/>
      <c r="D43" s="45"/>
      <c r="E43" s="17"/>
      <c r="F43" s="13"/>
      <c r="G43" s="47"/>
      <c r="H43" s="48"/>
      <c r="I43" s="52"/>
      <c r="J43" s="48"/>
      <c r="K43" s="1"/>
      <c r="S43" s="52"/>
    </row>
    <row r="44">
      <c r="A44" s="15"/>
      <c r="B44" s="13"/>
      <c r="C44" s="49"/>
      <c r="D44" s="49"/>
      <c r="E44" s="13"/>
      <c r="F44" s="13"/>
      <c r="G44" s="47"/>
      <c r="H44" s="48"/>
      <c r="I44" s="52"/>
      <c r="J44" s="48"/>
      <c r="K44" s="1"/>
      <c r="S44" s="52"/>
    </row>
    <row r="45">
      <c r="A45" s="13"/>
      <c r="B45" s="13"/>
      <c r="C45" s="13"/>
      <c r="D45" s="13"/>
      <c r="E45" s="13"/>
      <c r="F45" s="13"/>
      <c r="G45" s="47"/>
      <c r="H45" s="48"/>
      <c r="I45" s="52"/>
      <c r="J45" s="48"/>
      <c r="K45" s="1"/>
      <c r="S45" s="52"/>
    </row>
    <row r="46">
      <c r="A46" s="13"/>
      <c r="B46" s="13"/>
      <c r="C46" s="13"/>
      <c r="D46" s="13"/>
      <c r="E46" s="13"/>
      <c r="F46" s="13"/>
      <c r="G46" s="47" t="s">
        <v>897</v>
      </c>
      <c r="H46" s="48"/>
      <c r="I46" s="52"/>
      <c r="J46" s="48"/>
      <c r="K46" s="1"/>
      <c r="S46" s="52"/>
    </row>
    <row r="47">
      <c r="A47" s="13"/>
      <c r="B47" s="13"/>
      <c r="C47" s="13"/>
      <c r="D47" s="13"/>
      <c r="E47" s="13"/>
      <c r="F47" s="13"/>
      <c r="G47" s="47" t="s">
        <v>898</v>
      </c>
      <c r="H47" s="48"/>
      <c r="I47" s="52"/>
      <c r="J47" s="48"/>
      <c r="K47" s="1"/>
      <c r="S47" s="52"/>
    </row>
    <row r="48">
      <c r="A48" s="1"/>
      <c r="B48" s="1"/>
      <c r="C48" s="1"/>
      <c r="D48" s="1"/>
      <c r="E48" s="1"/>
      <c r="F48" s="1"/>
      <c r="G48" s="50"/>
      <c r="H48" s="51"/>
      <c r="I48" s="51"/>
      <c r="J48" s="51"/>
      <c r="K48" s="1"/>
      <c r="S48" s="52"/>
    </row>
    <row r="49">
      <c r="A49" s="1"/>
      <c r="B49" s="1"/>
      <c r="C49" s="1"/>
      <c r="D49" s="1"/>
      <c r="E49" s="1"/>
      <c r="F49" s="1"/>
      <c r="G49" s="52"/>
      <c r="H49" s="51"/>
      <c r="I49" s="51"/>
      <c r="J49" s="51"/>
      <c r="K49" s="1"/>
      <c r="L49" s="52"/>
      <c r="S49" s="52"/>
    </row>
    <row r="50">
      <c r="K50" s="1"/>
      <c r="L50" s="52"/>
      <c r="S50" s="52"/>
    </row>
  </sheetData>
  <mergeCells>
    <mergeCell ref="C3:E3"/>
    <mergeCell ref="A17:F17"/>
    <mergeCell ref="A18:C18"/>
    <mergeCell ref="A19:C19"/>
    <mergeCell ref="A22:C22"/>
    <mergeCell ref="A33:E33"/>
    <mergeCell ref="A34:E34"/>
    <mergeCell ref="A35:E35"/>
    <mergeCell ref="A23:C23"/>
    <mergeCell ref="A26:C26"/>
    <mergeCell ref="A29:C29"/>
    <mergeCell ref="A30:E30"/>
    <mergeCell ref="A32:E32"/>
  </mergeCells>
  <printOptions horizontalCentered="1"/>
  <pageMargins left="0.11874999999999999" right="0.11874999999999999" top="0" bottom="0" header="0.3" footer="0.3"/>
  <pageSetup paperSize="9" scale="72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8"/>
  </sheetPr>
  <dimension ref="A1:Y43"/>
  <sheetViews>
    <sheetView zoomScale="85" zoomScaleNormal="85" workbookViewId="0">
      <pane xSplit="7" ySplit="15" topLeftCell="M28" activePane="bottomRight" state="frozen"/>
      <selection pane="topRight"/>
      <selection pane="bottomLeft"/>
      <selection pane="bottomRight" activeCell="E1" sqref="E1:F1048576"/>
    </sheetView>
  </sheetViews>
  <sheetFormatPr defaultColWidth="9.140625" defaultRowHeight="12" customHeight="1"/>
  <cols>
    <col min="1" max="2" width="4.85546875" customWidth="1"/>
    <col min="3" max="3" width="25.7109375" customWidth="1"/>
    <col min="4" max="4" width="15" customWidth="1"/>
    <col min="5" max="5" hidden="1" width="8.140625" customWidth="1"/>
    <col min="6" max="6" hidden="1" width="9.5703125" customWidth="1"/>
    <col min="7" max="7" bestFit="1" width="11.85546875" customWidth="1"/>
    <col min="8" max="8" width="9.5703125" customWidth="1"/>
    <col min="9" max="9" width="10.5703125" customWidth="1"/>
    <col min="10" max="10" width="10.7109375" customWidth="1"/>
    <col min="11" max="11" width="9.42578125" customWidth="1"/>
    <col min="12" max="12" width="13.140625" customWidth="1"/>
    <col min="13" max="13" width="13.28515625" customWidth="1"/>
    <col min="14" max="14" width="12.42578125" customWidth="1"/>
    <col min="15" max="15" bestFit="1" width="9.42578125" customWidth="1"/>
    <col min="16" max="17" width="10.42578125" customWidth="1"/>
    <col min="18" max="18" width="11.28515625" customWidth="1"/>
    <col min="19" max="19" width="10.42578125" customWidth="1"/>
    <col min="20" max="20" width="12.140625" customWidth="1"/>
    <col min="21" max="21" width="10.28515625" customWidth="1"/>
    <col min="23" max="23" width="73" customWidth="1"/>
  </cols>
  <sheetData>
    <row r="1" ht="12" customHeight="1">
      <c r="A1" s="207" t="s">
        <v>0</v>
      </c>
      <c r="C1" s="209"/>
      <c r="G1" s="210"/>
      <c r="H1" s="210"/>
      <c r="M1" s="210"/>
      <c r="U1" s="317"/>
    </row>
    <row r="2" ht="12" customHeight="1">
      <c r="A2" s="207" t="s">
        <v>1697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80"/>
      <c r="R2" s="280"/>
      <c r="S2" s="280"/>
      <c r="T2" s="318"/>
      <c r="U2" s="318"/>
    </row>
    <row r="3" ht="15">
      <c r="A3" s="1354" t="str">
        <f>+'PROBOLINGGO ANTERAJA AGUST - OK'!A3</f>
        <v>Periode Bulan Agustus  2021</v>
      </c>
      <c r="C3" s="209"/>
      <c r="G3" s="1693">
        <v>4791844</v>
      </c>
      <c r="H3" s="213"/>
      <c r="I3" s="281"/>
      <c r="M3" s="210"/>
      <c r="U3" s="317"/>
    </row>
    <row r="4" ht="15">
      <c r="A4" s="207"/>
      <c r="C4" s="209"/>
      <c r="G4" s="214">
        <v>2970502</v>
      </c>
      <c r="H4" s="214"/>
      <c r="I4" s="281"/>
      <c r="M4" s="210"/>
      <c r="U4" s="317"/>
    </row>
    <row r="5" ht="15">
      <c r="A5" s="207"/>
      <c r="C5" s="209"/>
      <c r="G5" s="214"/>
      <c r="H5" s="214"/>
      <c r="I5" s="281"/>
      <c r="M5" s="210"/>
      <c r="U5" s="317"/>
    </row>
    <row r="6" ht="22.5" customHeight="1">
      <c r="A6" s="1397" t="s">
        <v>2</v>
      </c>
      <c r="B6" s="1398" t="s">
        <v>3</v>
      </c>
      <c r="C6" s="1398" t="s">
        <v>4</v>
      </c>
      <c r="D6" s="1413" t="s">
        <v>5</v>
      </c>
      <c r="E6" s="1413" t="s">
        <v>6</v>
      </c>
      <c r="F6" s="1414" t="s">
        <v>7</v>
      </c>
      <c r="G6" s="219" t="s">
        <v>8</v>
      </c>
      <c r="H6" s="219" t="s">
        <v>9</v>
      </c>
      <c r="I6" s="1403" t="s">
        <v>10</v>
      </c>
      <c r="J6" s="1404" t="s">
        <v>11</v>
      </c>
      <c r="K6" s="1404" t="s">
        <v>12</v>
      </c>
      <c r="L6" s="1405" t="s">
        <v>13</v>
      </c>
      <c r="M6" s="1405" t="s">
        <v>14</v>
      </c>
      <c r="N6" s="1406" t="s">
        <v>15</v>
      </c>
      <c r="O6" s="1406" t="s">
        <v>16</v>
      </c>
      <c r="P6" s="1406" t="s">
        <v>17</v>
      </c>
      <c r="Q6" s="1406" t="s">
        <v>18</v>
      </c>
      <c r="R6" s="1407" t="s">
        <v>19</v>
      </c>
      <c r="S6" s="1408" t="s">
        <v>20</v>
      </c>
      <c r="T6" s="1408" t="s">
        <v>21</v>
      </c>
      <c r="U6" s="1409" t="s">
        <v>22</v>
      </c>
      <c r="V6" s="1410" t="s">
        <v>23</v>
      </c>
    </row>
    <row r="7" ht="18" customHeight="1">
      <c r="A7" s="1415" t="s">
        <v>31</v>
      </c>
      <c r="B7" s="1873" t="s">
        <v>1701</v>
      </c>
      <c r="C7" s="1416" t="s">
        <v>1702</v>
      </c>
      <c r="D7" s="843" t="s">
        <v>26</v>
      </c>
      <c r="E7" s="1417" t="s">
        <v>47</v>
      </c>
      <c r="F7" s="1417" t="s">
        <v>28</v>
      </c>
      <c r="G7" s="1418">
        <f>-2970502/30*10</f>
        <v>-990167.3333333334</v>
      </c>
      <c r="H7" s="1419"/>
      <c r="I7" s="862"/>
      <c r="J7" s="862"/>
      <c r="K7" s="862"/>
      <c r="L7" s="862"/>
      <c r="M7" s="289">
        <f>SUM(G7,I7:L7)-H7</f>
        <v>-990167.3333333334</v>
      </c>
      <c r="N7" s="863">
        <f ref="N7:N9" t="shared" si="0">+M7*8%</f>
        <v>-79213.38666666667</v>
      </c>
      <c r="O7" s="863"/>
      <c r="P7" s="863"/>
      <c r="Q7" s="1432"/>
      <c r="R7" s="873">
        <f ref="R7:R9" t="shared" si="1">SUM(M7:Q7)</f>
        <v>-1069380.72</v>
      </c>
      <c r="S7" s="873">
        <f ref="S7:S9" t="shared" si="2">N7*0.1</f>
        <v>-7921.338666666667</v>
      </c>
      <c r="T7" s="874">
        <f ref="T7:T9" t="shared" si="3">R7+S7</f>
        <v>-1077302.0586666667</v>
      </c>
      <c r="U7" s="876">
        <v>44389</v>
      </c>
      <c r="V7" s="1433">
        <v>44398</v>
      </c>
      <c r="W7" s="1116"/>
    </row>
    <row r="8" ht="18" customHeight="1">
      <c r="A8" s="1420" t="s">
        <v>24</v>
      </c>
      <c r="B8" s="1528" t="s">
        <v>1703</v>
      </c>
      <c r="C8" s="1422" t="s">
        <v>1704</v>
      </c>
      <c r="D8" s="1421" t="s">
        <v>26</v>
      </c>
      <c r="E8" s="732" t="s">
        <v>47</v>
      </c>
      <c r="F8" s="732" t="s">
        <v>28</v>
      </c>
      <c r="G8" s="1423">
        <v>2970502</v>
      </c>
      <c r="H8" s="1424"/>
      <c r="I8" s="1427">
        <f>+$G$4*4.89%</f>
        <v>145257.5478</v>
      </c>
      <c r="J8" s="1427">
        <f>+$G$4*4%</f>
        <v>118820.08</v>
      </c>
      <c r="K8" s="1427">
        <f>+$G$4*2%</f>
        <v>59410.04</v>
      </c>
      <c r="L8" s="1427">
        <v>1667</v>
      </c>
      <c r="M8" s="295">
        <f>SUM(G8:L8)</f>
        <v>3295656.6678</v>
      </c>
      <c r="N8" s="1428">
        <f t="shared" si="0"/>
        <v>263652.533424</v>
      </c>
      <c r="O8" s="1428"/>
      <c r="P8" s="1428"/>
      <c r="Q8" s="1428">
        <f>20*12000</f>
        <v>240000</v>
      </c>
      <c r="R8" s="1434">
        <f t="shared" si="1"/>
        <v>3799309.201224</v>
      </c>
      <c r="S8" s="1434">
        <f t="shared" si="2"/>
        <v>26365.253342400003</v>
      </c>
      <c r="T8" s="1435">
        <f t="shared" si="3"/>
        <v>3825674.4545664</v>
      </c>
      <c r="U8" s="1436">
        <v>44389</v>
      </c>
      <c r="V8" s="1437">
        <v>44469</v>
      </c>
      <c r="W8" s="350"/>
    </row>
    <row r="9" ht="12" customHeight="1" s="1598" customFormat="1">
      <c r="A9" s="227" t="s">
        <v>24</v>
      </c>
      <c r="B9" s="228" t="s">
        <v>1705</v>
      </c>
      <c r="C9" s="590" t="s">
        <v>1706</v>
      </c>
      <c r="D9" s="679" t="s">
        <v>26</v>
      </c>
      <c r="E9" s="679" t="s">
        <v>47</v>
      </c>
      <c r="F9" s="679" t="s">
        <v>177</v>
      </c>
      <c r="G9" s="395">
        <v>2970502</v>
      </c>
      <c r="H9" s="395"/>
      <c r="I9" s="293">
        <f>+'[5]MALANG ANTERAJA'!$G$3*4.89%</f>
        <v>145257.5478</v>
      </c>
      <c r="J9" s="293">
        <f>+'[5]MALANG ANTERAJA'!$G$3*4%</f>
        <v>118820.08</v>
      </c>
      <c r="K9" s="293">
        <f>+'[5]MALANG ANTERAJA'!$G$3*2%</f>
        <v>59410.04</v>
      </c>
      <c r="L9" s="293">
        <v>1667</v>
      </c>
      <c r="M9" s="295">
        <f>SUM(G9,I9:L9)-H9</f>
        <v>3295656.6678</v>
      </c>
      <c r="N9" s="296">
        <f t="shared" si="0"/>
        <v>263652.533424</v>
      </c>
      <c r="O9" s="1595">
        <f>500000</f>
        <v>500000</v>
      </c>
      <c r="P9" s="296">
        <v>100000</v>
      </c>
      <c r="Q9" s="296">
        <f>23*12000</f>
        <v>276000</v>
      </c>
      <c r="R9" s="328">
        <f t="shared" si="1"/>
        <v>4435309.201224</v>
      </c>
      <c r="S9" s="328">
        <f t="shared" si="2"/>
        <v>26365.253342400003</v>
      </c>
      <c r="T9" s="329">
        <f t="shared" si="3"/>
        <v>4461674.4545664005</v>
      </c>
      <c r="U9" s="1596">
        <v>44378</v>
      </c>
      <c r="V9" s="1597">
        <v>44469</v>
      </c>
      <c r="W9" s="1169"/>
      <c r="X9" s="1146"/>
      <c r="Y9" s="1146"/>
    </row>
    <row r="10" ht="18" customHeight="1" s="1575" customFormat="1">
      <c r="A10" s="1576" t="s">
        <v>24</v>
      </c>
      <c r="B10" s="1631">
        <v>2777</v>
      </c>
      <c r="C10" s="1632" t="s">
        <v>1698</v>
      </c>
      <c r="D10" s="1621" t="s">
        <v>26</v>
      </c>
      <c r="E10" s="1633" t="s">
        <v>47</v>
      </c>
      <c r="F10" s="1633" t="s">
        <v>28</v>
      </c>
      <c r="G10" s="1622">
        <v>2970502</v>
      </c>
      <c r="H10" s="1634"/>
      <c r="I10" s="1624">
        <f>+$G$4*4.89%</f>
        <v>145257.5478</v>
      </c>
      <c r="J10" s="1624">
        <f>+$G$4*4%</f>
        <v>118820.08</v>
      </c>
      <c r="K10" s="1624">
        <f>+$G$4*2%</f>
        <v>59410.04</v>
      </c>
      <c r="L10" s="1624">
        <v>1667</v>
      </c>
      <c r="M10" s="1566">
        <f>SUM(G10:L10)</f>
        <v>3295656.6678</v>
      </c>
      <c r="N10" s="1620">
        <f ref="N10:N11" t="shared" si="5">+M10*8%</f>
        <v>263652.533424</v>
      </c>
      <c r="O10" s="1620"/>
      <c r="P10" s="1620"/>
      <c r="Q10" s="1620">
        <f>9*12000</f>
        <v>108000</v>
      </c>
      <c r="R10" s="1626">
        <f ref="R10:R11" t="shared" si="6">SUM(M10:Q10)</f>
        <v>3667309.201224</v>
      </c>
      <c r="S10" s="1626">
        <f ref="S10:S11" t="shared" si="7">N10*0.1</f>
        <v>26365.253342400003</v>
      </c>
      <c r="T10" s="1635">
        <f ref="T10:T11" t="shared" si="8">R10+S10</f>
        <v>3693674.4545664</v>
      </c>
      <c r="U10" s="1636">
        <v>44400</v>
      </c>
      <c r="V10" s="1617">
        <v>44500</v>
      </c>
      <c r="W10" s="1630"/>
    </row>
    <row r="11" ht="18" customHeight="1" s="1600" customFormat="1">
      <c r="A11" s="1599" t="s">
        <v>24</v>
      </c>
      <c r="B11" s="1638" t="s">
        <v>1699</v>
      </c>
      <c r="C11" s="1639" t="s">
        <v>1700</v>
      </c>
      <c r="D11" s="1638" t="s">
        <v>26</v>
      </c>
      <c r="E11" s="1638" t="s">
        <v>47</v>
      </c>
      <c r="F11" s="1638" t="s">
        <v>28</v>
      </c>
      <c r="G11" s="1688">
        <v>4791844</v>
      </c>
      <c r="H11" s="1689"/>
      <c r="I11" s="1694">
        <f>+$G$3*4.89%</f>
        <v>234321.1716</v>
      </c>
      <c r="J11" s="1694">
        <f>+$G$3*4%</f>
        <v>191673.76</v>
      </c>
      <c r="K11" s="1694">
        <f>+$G$3*2%</f>
        <v>95836.88</v>
      </c>
      <c r="L11" s="1641">
        <v>1667</v>
      </c>
      <c r="M11" s="865">
        <f>SUM(G11:L11)</f>
        <v>5315342.8116</v>
      </c>
      <c r="N11" s="1642">
        <f t="shared" si="5"/>
        <v>425227.42492799996</v>
      </c>
      <c r="O11" s="1690"/>
      <c r="P11" s="1690"/>
      <c r="Q11" s="1642">
        <f>11*12000</f>
        <v>132000</v>
      </c>
      <c r="R11" s="1643">
        <f t="shared" si="6"/>
        <v>5872570.236528</v>
      </c>
      <c r="S11" s="1643">
        <f t="shared" si="7"/>
        <v>42522.7424928</v>
      </c>
      <c r="T11" s="1635">
        <f t="shared" si="8"/>
        <v>5915092.9790207995</v>
      </c>
      <c r="U11" s="1691">
        <v>44389</v>
      </c>
      <c r="V11" s="1692"/>
      <c r="W11" s="1019"/>
    </row>
    <row r="12" ht="18" customHeight="1">
      <c r="A12" s="1736" t="s">
        <v>30</v>
      </c>
      <c r="B12" s="1856"/>
      <c r="C12" s="1737"/>
      <c r="D12" s="1737"/>
      <c r="E12" s="1737"/>
      <c r="F12" s="1746"/>
      <c r="G12" s="1425">
        <f ref="G12:T12" t="shared" si="9">SUM(G7:G11)</f>
        <v>12713182.666666666</v>
      </c>
      <c r="H12" s="1425">
        <f t="shared" si="9"/>
        <v>0</v>
      </c>
      <c r="I12" s="1425">
        <f t="shared" si="9"/>
        <v>670093.815</v>
      </c>
      <c r="J12" s="1425">
        <f t="shared" si="9"/>
        <v>548134</v>
      </c>
      <c r="K12" s="1425">
        <f t="shared" si="9"/>
        <v>274067</v>
      </c>
      <c r="L12" s="1425">
        <f t="shared" si="9"/>
        <v>6668</v>
      </c>
      <c r="M12" s="1425">
        <f t="shared" si="9"/>
        <v>14212145.481666666</v>
      </c>
      <c r="N12" s="1425">
        <f t="shared" si="9"/>
        <v>1136971.6385333333</v>
      </c>
      <c r="O12" s="1425">
        <f t="shared" si="9"/>
        <v>500000</v>
      </c>
      <c r="P12" s="1425">
        <f t="shared" si="9"/>
        <v>100000</v>
      </c>
      <c r="Q12" s="1425">
        <f t="shared" si="9"/>
        <v>756000</v>
      </c>
      <c r="R12" s="1425">
        <f t="shared" si="9"/>
        <v>16705117.1202</v>
      </c>
      <c r="S12" s="1425">
        <f t="shared" si="9"/>
        <v>113697.16385333333</v>
      </c>
      <c r="T12" s="1425">
        <f t="shared" si="9"/>
        <v>16818814.284053333</v>
      </c>
      <c r="U12" s="1425"/>
      <c r="V12" s="1438"/>
    </row>
    <row r="13" ht="18" customHeight="1">
      <c r="A13" s="1401" t="s">
        <v>30</v>
      </c>
      <c r="B13" s="1857"/>
      <c r="C13" s="1129"/>
      <c r="D13" s="1129"/>
      <c r="E13" s="1129"/>
      <c r="F13" s="1129"/>
      <c r="G13" s="1402"/>
      <c r="H13" s="1402"/>
      <c r="I13" s="1402"/>
      <c r="J13" s="1402"/>
      <c r="K13" s="1402"/>
      <c r="L13" s="1402"/>
      <c r="M13" s="1402"/>
      <c r="N13" s="1402"/>
      <c r="O13" s="1402"/>
      <c r="P13" s="1402"/>
      <c r="Q13" s="1402"/>
      <c r="R13" s="1402"/>
      <c r="S13" s="1402"/>
      <c r="T13" s="1402"/>
      <c r="U13" s="1402"/>
      <c r="V13" s="1412"/>
    </row>
    <row r="14" ht="18" customHeight="1">
      <c r="A14" s="1401" t="s">
        <v>30</v>
      </c>
      <c r="B14" s="1857"/>
      <c r="C14" s="1129"/>
      <c r="D14" s="1129"/>
      <c r="E14" s="1129"/>
      <c r="F14" s="1129"/>
      <c r="G14" s="1402"/>
      <c r="H14" s="1402"/>
      <c r="I14" s="1402"/>
      <c r="J14" s="1402"/>
      <c r="K14" s="1402"/>
      <c r="L14" s="1402"/>
      <c r="M14" s="1402"/>
      <c r="N14" s="1402"/>
      <c r="O14" s="1402"/>
      <c r="P14" s="1402"/>
      <c r="Q14" s="1402"/>
      <c r="R14" s="1402"/>
      <c r="S14" s="1402"/>
      <c r="T14" s="1402"/>
      <c r="U14" s="1402"/>
      <c r="V14" s="1412"/>
    </row>
    <row r="15" ht="22.5">
      <c r="A15" s="463" t="s">
        <v>31</v>
      </c>
      <c r="B15" s="1872" t="s">
        <v>3</v>
      </c>
      <c r="C15" s="464" t="s">
        <v>4</v>
      </c>
      <c r="D15" s="464" t="s">
        <v>5</v>
      </c>
      <c r="E15" s="464" t="s">
        <v>6</v>
      </c>
      <c r="F15" s="465" t="s">
        <v>7</v>
      </c>
      <c r="G15" s="466" t="s">
        <v>8</v>
      </c>
      <c r="H15" s="219" t="s">
        <v>9</v>
      </c>
      <c r="I15" s="467" t="s">
        <v>10</v>
      </c>
      <c r="J15" s="477" t="s">
        <v>11</v>
      </c>
      <c r="K15" s="477" t="s">
        <v>12</v>
      </c>
      <c r="L15" s="478" t="s">
        <v>13</v>
      </c>
      <c r="M15" s="478" t="s">
        <v>14</v>
      </c>
      <c r="N15" s="286" t="s">
        <v>15</v>
      </c>
      <c r="O15" s="286" t="s">
        <v>32</v>
      </c>
      <c r="P15" s="1406" t="s">
        <v>17</v>
      </c>
      <c r="Q15" s="286" t="s">
        <v>18</v>
      </c>
      <c r="R15" s="483" t="s">
        <v>19</v>
      </c>
      <c r="S15" s="484" t="s">
        <v>20</v>
      </c>
      <c r="T15" s="484" t="s">
        <v>21</v>
      </c>
      <c r="U15" s="485" t="s">
        <v>22</v>
      </c>
      <c r="V15" s="486" t="s">
        <v>23</v>
      </c>
    </row>
    <row r="16" ht="16.5" customHeight="1">
      <c r="A16" s="1355" t="s">
        <v>24</v>
      </c>
      <c r="B16" s="1356" t="s">
        <v>1707</v>
      </c>
      <c r="C16" s="1357" t="s">
        <v>1708</v>
      </c>
      <c r="D16" s="1356" t="s">
        <v>34</v>
      </c>
      <c r="E16" s="1356" t="s">
        <v>47</v>
      </c>
      <c r="F16" s="1356" t="s">
        <v>28</v>
      </c>
      <c r="G16" s="1426">
        <v>2970502</v>
      </c>
      <c r="H16" s="1426"/>
      <c r="I16" s="1429">
        <f ref="I16:I28" t="shared" si="10">+$G$4*4.89%</f>
        <v>145257.5478</v>
      </c>
      <c r="J16" s="1429">
        <f ref="J16:J28" t="shared" si="11">+$G$4*4%</f>
        <v>118820.08</v>
      </c>
      <c r="K16" s="1429">
        <f ref="K16:K28" t="shared" si="12">+$G$4*2%</f>
        <v>59410.04</v>
      </c>
      <c r="L16" s="1430">
        <v>15000</v>
      </c>
      <c r="M16" s="295">
        <f>SUM(G16:L16)</f>
        <v>3308989.6678</v>
      </c>
      <c r="N16" s="1431">
        <f ref="N16:N30" t="shared" si="13">+M16*8%</f>
        <v>264719.173424</v>
      </c>
      <c r="O16" s="304"/>
      <c r="P16" s="479"/>
      <c r="Q16" s="1365"/>
      <c r="R16" s="1439">
        <f ref="R16:R30" t="shared" si="14">SUM(M16:Q16)</f>
        <v>3573708.841224</v>
      </c>
      <c r="S16" s="1439">
        <f ref="S16:S30" t="shared" si="15">N16*0.1</f>
        <v>26471.9173424</v>
      </c>
      <c r="T16" s="1440">
        <f ref="T16:T30" t="shared" si="16">R16+S16</f>
        <v>3600180.7585664</v>
      </c>
      <c r="U16" s="526">
        <v>44389</v>
      </c>
      <c r="V16" s="1437">
        <v>44469</v>
      </c>
    </row>
    <row r="17" ht="16.5" customHeight="1">
      <c r="A17" s="238" t="s">
        <v>24</v>
      </c>
      <c r="B17" s="239" t="s">
        <v>1709</v>
      </c>
      <c r="C17" s="554" t="s">
        <v>1710</v>
      </c>
      <c r="D17" s="239" t="s">
        <v>34</v>
      </c>
      <c r="E17" s="239" t="s">
        <v>47</v>
      </c>
      <c r="F17" s="239" t="s">
        <v>28</v>
      </c>
      <c r="G17" s="244">
        <v>2970502</v>
      </c>
      <c r="H17" s="244"/>
      <c r="I17" s="298">
        <f t="shared" si="10"/>
        <v>145257.5478</v>
      </c>
      <c r="J17" s="298">
        <f t="shared" si="11"/>
        <v>118820.08</v>
      </c>
      <c r="K17" s="298">
        <f t="shared" si="12"/>
        <v>59410.04</v>
      </c>
      <c r="L17" s="304">
        <v>15000</v>
      </c>
      <c r="M17" s="295">
        <f ref="M17:M30" t="shared" si="18">SUM(G17:L17)</f>
        <v>3308989.6678</v>
      </c>
      <c r="N17" s="303">
        <f t="shared" si="13"/>
        <v>264719.173424</v>
      </c>
      <c r="O17" s="304"/>
      <c r="P17" s="304"/>
      <c r="Q17" s="303"/>
      <c r="R17" s="335">
        <f t="shared" si="14"/>
        <v>3573708.841224</v>
      </c>
      <c r="S17" s="335">
        <f t="shared" si="15"/>
        <v>26471.9173424</v>
      </c>
      <c r="T17" s="336">
        <f t="shared" si="16"/>
        <v>3600180.7585664</v>
      </c>
      <c r="U17" s="339">
        <v>44389</v>
      </c>
      <c r="V17" s="1437">
        <v>44469</v>
      </c>
    </row>
    <row r="18" ht="16.5" customHeight="1">
      <c r="A18" s="238" t="s">
        <v>24</v>
      </c>
      <c r="B18" s="239" t="s">
        <v>1711</v>
      </c>
      <c r="C18" s="554" t="s">
        <v>1712</v>
      </c>
      <c r="D18" s="239" t="s">
        <v>34</v>
      </c>
      <c r="E18" s="239" t="s">
        <v>47</v>
      </c>
      <c r="F18" s="239" t="s">
        <v>28</v>
      </c>
      <c r="G18" s="244">
        <v>2970502</v>
      </c>
      <c r="H18" s="471"/>
      <c r="I18" s="1351">
        <f t="shared" si="10"/>
        <v>145257.5478</v>
      </c>
      <c r="J18" s="1351">
        <f t="shared" si="11"/>
        <v>118820.08</v>
      </c>
      <c r="K18" s="1351">
        <f t="shared" si="12"/>
        <v>59410.04</v>
      </c>
      <c r="L18" s="479">
        <v>15000</v>
      </c>
      <c r="M18" s="295">
        <f t="shared" si="18"/>
        <v>3308989.6678</v>
      </c>
      <c r="N18" s="1352">
        <f t="shared" si="13"/>
        <v>264719.173424</v>
      </c>
      <c r="O18" s="304"/>
      <c r="P18" s="304"/>
      <c r="Q18" s="303"/>
      <c r="R18" s="335">
        <f t="shared" si="14"/>
        <v>3573708.841224</v>
      </c>
      <c r="S18" s="335">
        <f t="shared" si="15"/>
        <v>26471.9173424</v>
      </c>
      <c r="T18" s="336">
        <f t="shared" si="16"/>
        <v>3600180.7585664</v>
      </c>
      <c r="U18" s="339">
        <v>44389</v>
      </c>
      <c r="V18" s="1437">
        <v>44469</v>
      </c>
    </row>
    <row r="19" ht="16.5" customHeight="1">
      <c r="A19" s="238" t="s">
        <v>24</v>
      </c>
      <c r="B19" s="239" t="s">
        <v>1713</v>
      </c>
      <c r="C19" s="554" t="s">
        <v>1714</v>
      </c>
      <c r="D19" s="239" t="s">
        <v>34</v>
      </c>
      <c r="E19" s="239" t="s">
        <v>47</v>
      </c>
      <c r="F19" s="239" t="s">
        <v>28</v>
      </c>
      <c r="G19" s="244">
        <v>2970502</v>
      </c>
      <c r="H19" s="244"/>
      <c r="I19" s="298">
        <f t="shared" si="10"/>
        <v>145257.5478</v>
      </c>
      <c r="J19" s="298">
        <f t="shared" si="11"/>
        <v>118820.08</v>
      </c>
      <c r="K19" s="298">
        <f t="shared" si="12"/>
        <v>59410.04</v>
      </c>
      <c r="L19" s="304">
        <v>15000</v>
      </c>
      <c r="M19" s="295">
        <f t="shared" si="18"/>
        <v>3308989.6678</v>
      </c>
      <c r="N19" s="303">
        <f t="shared" si="13"/>
        <v>264719.173424</v>
      </c>
      <c r="O19" s="304"/>
      <c r="P19" s="304"/>
      <c r="Q19" s="303"/>
      <c r="R19" s="335">
        <f t="shared" si="14"/>
        <v>3573708.841224</v>
      </c>
      <c r="S19" s="335">
        <f t="shared" si="15"/>
        <v>26471.9173424</v>
      </c>
      <c r="T19" s="336">
        <f t="shared" si="16"/>
        <v>3600180.7585664</v>
      </c>
      <c r="U19" s="339">
        <v>44389</v>
      </c>
      <c r="V19" s="1437">
        <v>44469</v>
      </c>
    </row>
    <row r="20" ht="16.5" customHeight="1" s="1575" customFormat="1">
      <c r="A20" s="1557" t="s">
        <v>24</v>
      </c>
      <c r="B20" s="1558">
        <v>2853</v>
      </c>
      <c r="C20" s="1559" t="s">
        <v>1715</v>
      </c>
      <c r="D20" s="1558" t="s">
        <v>34</v>
      </c>
      <c r="E20" s="1558" t="s">
        <v>47</v>
      </c>
      <c r="F20" s="1558" t="s">
        <v>28</v>
      </c>
      <c r="G20" s="1618">
        <f>2970502/31*14</f>
        <v>1341517.0322580645</v>
      </c>
      <c r="H20" s="1618"/>
      <c r="I20" s="1564">
        <f t="shared" si="10"/>
        <v>145257.5478</v>
      </c>
      <c r="J20" s="1564">
        <f t="shared" si="11"/>
        <v>118820.08</v>
      </c>
      <c r="K20" s="1564">
        <f t="shared" si="12"/>
        <v>59410.04</v>
      </c>
      <c r="L20" s="1565">
        <v>15000</v>
      </c>
      <c r="M20" s="1566">
        <f t="shared" si="18"/>
        <v>1680004.7000580647</v>
      </c>
      <c r="N20" s="1567">
        <f t="shared" si="13"/>
        <v>134400.37600464516</v>
      </c>
      <c r="O20" s="1565"/>
      <c r="P20" s="1565"/>
      <c r="Q20" s="1567"/>
      <c r="R20" s="1571">
        <f t="shared" si="14"/>
        <v>1814405.0760627098</v>
      </c>
      <c r="S20" s="1571">
        <f t="shared" si="15"/>
        <v>13440.037600464517</v>
      </c>
      <c r="T20" s="1572">
        <f t="shared" si="16"/>
        <v>1827845.1136631742</v>
      </c>
      <c r="U20" s="1619">
        <v>44410</v>
      </c>
      <c r="V20" s="1617">
        <v>44500</v>
      </c>
    </row>
    <row r="21" ht="16.5" customHeight="1" s="1575" customFormat="1">
      <c r="A21" s="1557" t="s">
        <v>24</v>
      </c>
      <c r="B21" s="1558">
        <v>2854</v>
      </c>
      <c r="C21" s="1559" t="s">
        <v>1716</v>
      </c>
      <c r="D21" s="1558" t="s">
        <v>34</v>
      </c>
      <c r="E21" s="1558" t="s">
        <v>47</v>
      </c>
      <c r="F21" s="1558" t="s">
        <v>28</v>
      </c>
      <c r="G21" s="1618">
        <f>2970502/31*7</f>
        <v>670758.5161290322</v>
      </c>
      <c r="H21" s="1618"/>
      <c r="I21" s="1564">
        <f t="shared" si="10"/>
        <v>145257.5478</v>
      </c>
      <c r="J21" s="1564">
        <f t="shared" si="11"/>
        <v>118820.08</v>
      </c>
      <c r="K21" s="1564">
        <f t="shared" si="12"/>
        <v>59410.04</v>
      </c>
      <c r="L21" s="1565">
        <v>15000</v>
      </c>
      <c r="M21" s="1566">
        <f t="shared" si="18"/>
        <v>1009246.1839290323</v>
      </c>
      <c r="N21" s="1567">
        <f t="shared" si="13"/>
        <v>80739.69471432258</v>
      </c>
      <c r="O21" s="1565"/>
      <c r="P21" s="1565"/>
      <c r="Q21" s="1567"/>
      <c r="R21" s="1571">
        <f t="shared" si="14"/>
        <v>1089985.8786433549</v>
      </c>
      <c r="S21" s="1571">
        <f t="shared" si="15"/>
        <v>8073.969471432259</v>
      </c>
      <c r="T21" s="1572">
        <f t="shared" si="16"/>
        <v>1098059.8481147871</v>
      </c>
      <c r="U21" s="1619">
        <v>44417</v>
      </c>
      <c r="V21" s="1617">
        <v>44500</v>
      </c>
    </row>
    <row r="22" ht="16.5" customHeight="1" s="1575" customFormat="1">
      <c r="A22" s="1557" t="s">
        <v>24</v>
      </c>
      <c r="B22" s="1558">
        <v>2855</v>
      </c>
      <c r="C22" s="1559" t="s">
        <v>1717</v>
      </c>
      <c r="D22" s="1558" t="s">
        <v>34</v>
      </c>
      <c r="E22" s="1558" t="s">
        <v>47</v>
      </c>
      <c r="F22" s="1558" t="s">
        <v>28</v>
      </c>
      <c r="G22" s="1618">
        <f ref="G22:G23" t="shared" si="19">2970502/31*7</f>
        <v>670758.5161290322</v>
      </c>
      <c r="H22" s="1618"/>
      <c r="I22" s="1564">
        <f t="shared" si="10"/>
        <v>145257.5478</v>
      </c>
      <c r="J22" s="1564">
        <f t="shared" si="11"/>
        <v>118820.08</v>
      </c>
      <c r="K22" s="1564">
        <f t="shared" si="12"/>
        <v>59410.04</v>
      </c>
      <c r="L22" s="1565">
        <v>15000</v>
      </c>
      <c r="M22" s="1566">
        <f t="shared" si="18"/>
        <v>1009246.1839290323</v>
      </c>
      <c r="N22" s="1567">
        <f t="shared" si="13"/>
        <v>80739.69471432258</v>
      </c>
      <c r="O22" s="1565"/>
      <c r="P22" s="1565"/>
      <c r="Q22" s="1567"/>
      <c r="R22" s="1571">
        <f t="shared" si="14"/>
        <v>1089985.8786433549</v>
      </c>
      <c r="S22" s="1571">
        <f t="shared" si="15"/>
        <v>8073.969471432259</v>
      </c>
      <c r="T22" s="1572">
        <f t="shared" si="16"/>
        <v>1098059.8481147871</v>
      </c>
      <c r="U22" s="1619">
        <v>44417</v>
      </c>
      <c r="V22" s="1617">
        <v>44500</v>
      </c>
    </row>
    <row r="23" ht="16.5" customHeight="1" s="1575" customFormat="1">
      <c r="A23" s="1557" t="s">
        <v>24</v>
      </c>
      <c r="B23" s="1558">
        <v>2856</v>
      </c>
      <c r="C23" s="1559" t="s">
        <v>1718</v>
      </c>
      <c r="D23" s="1558" t="s">
        <v>34</v>
      </c>
      <c r="E23" s="1558" t="s">
        <v>47</v>
      </c>
      <c r="F23" s="1558" t="s">
        <v>28</v>
      </c>
      <c r="G23" s="1618">
        <f t="shared" si="19"/>
        <v>670758.5161290322</v>
      </c>
      <c r="H23" s="1618"/>
      <c r="I23" s="1564">
        <f t="shared" si="10"/>
        <v>145257.5478</v>
      </c>
      <c r="J23" s="1564">
        <f t="shared" si="11"/>
        <v>118820.08</v>
      </c>
      <c r="K23" s="1564">
        <f t="shared" si="12"/>
        <v>59410.04</v>
      </c>
      <c r="L23" s="1565">
        <v>15000</v>
      </c>
      <c r="M23" s="1566">
        <f t="shared" si="18"/>
        <v>1009246.1839290323</v>
      </c>
      <c r="N23" s="1567">
        <f t="shared" si="13"/>
        <v>80739.69471432258</v>
      </c>
      <c r="O23" s="1565"/>
      <c r="P23" s="1565"/>
      <c r="Q23" s="1567"/>
      <c r="R23" s="1571">
        <f t="shared" si="14"/>
        <v>1089985.8786433549</v>
      </c>
      <c r="S23" s="1571">
        <f t="shared" si="15"/>
        <v>8073.969471432259</v>
      </c>
      <c r="T23" s="1572">
        <f t="shared" si="16"/>
        <v>1098059.8481147871</v>
      </c>
      <c r="U23" s="1619">
        <v>44417</v>
      </c>
      <c r="V23" s="1617">
        <v>44500</v>
      </c>
    </row>
    <row r="24" ht="16.5" customHeight="1" s="1592" customFormat="1">
      <c r="A24" s="1576" t="s">
        <v>30</v>
      </c>
      <c r="B24" s="1874"/>
      <c r="C24" s="1614" t="s">
        <v>1719</v>
      </c>
      <c r="D24" s="1578" t="s">
        <v>34</v>
      </c>
      <c r="E24" s="1578" t="s">
        <v>47</v>
      </c>
      <c r="F24" s="1578" t="s">
        <v>28</v>
      </c>
      <c r="G24" s="1615">
        <f>2970502/31*21</f>
        <v>2012275.5483870967</v>
      </c>
      <c r="H24" s="1615"/>
      <c r="I24" s="1582">
        <f t="shared" si="10"/>
        <v>145257.5478</v>
      </c>
      <c r="J24" s="1582">
        <f t="shared" si="11"/>
        <v>118820.08</v>
      </c>
      <c r="K24" s="1582">
        <f t="shared" si="12"/>
        <v>59410.04</v>
      </c>
      <c r="L24" s="1583">
        <v>15000</v>
      </c>
      <c r="M24" s="1566">
        <f t="shared" si="18"/>
        <v>2350763.2161870967</v>
      </c>
      <c r="N24" s="1584">
        <f t="shared" si="13"/>
        <v>188061.05729496773</v>
      </c>
      <c r="O24" s="1583"/>
      <c r="P24" s="1583"/>
      <c r="Q24" s="1584"/>
      <c r="R24" s="1588">
        <f t="shared" si="14"/>
        <v>2538824.2734820643</v>
      </c>
      <c r="S24" s="1588">
        <f t="shared" si="15"/>
        <v>18806.105729496772</v>
      </c>
      <c r="T24" s="1589">
        <f t="shared" si="16"/>
        <v>2557630.379211561</v>
      </c>
      <c r="U24" s="1616">
        <v>44403</v>
      </c>
      <c r="V24" s="1617"/>
      <c r="W24" s="1592" t="s">
        <v>1720</v>
      </c>
      <c r="X24" s="1592" t="s">
        <v>1721</v>
      </c>
    </row>
    <row r="25" ht="16.5" customHeight="1" s="1592" customFormat="1">
      <c r="A25" s="1576" t="s">
        <v>30</v>
      </c>
      <c r="B25" s="1874"/>
      <c r="C25" s="1614" t="s">
        <v>1722</v>
      </c>
      <c r="D25" s="1578" t="s">
        <v>34</v>
      </c>
      <c r="E25" s="1578" t="s">
        <v>47</v>
      </c>
      <c r="F25" s="1578" t="s">
        <v>28</v>
      </c>
      <c r="G25" s="1615">
        <f>2970502/31*24</f>
        <v>2299743.4838709678</v>
      </c>
      <c r="H25" s="1615"/>
      <c r="I25" s="1582">
        <f t="shared" si="10"/>
        <v>145257.5478</v>
      </c>
      <c r="J25" s="1582">
        <f t="shared" si="11"/>
        <v>118820.08</v>
      </c>
      <c r="K25" s="1582">
        <f t="shared" si="12"/>
        <v>59410.04</v>
      </c>
      <c r="L25" s="1583">
        <v>15000</v>
      </c>
      <c r="M25" s="1566">
        <f t="shared" si="18"/>
        <v>2638231.1516709677</v>
      </c>
      <c r="N25" s="1584">
        <f t="shared" si="13"/>
        <v>211058.4921336774</v>
      </c>
      <c r="O25" s="1583"/>
      <c r="P25" s="1583"/>
      <c r="Q25" s="1584"/>
      <c r="R25" s="1588">
        <f t="shared" si="14"/>
        <v>2849289.643804645</v>
      </c>
      <c r="S25" s="1588">
        <f t="shared" si="15"/>
        <v>21105.849213367743</v>
      </c>
      <c r="T25" s="1589">
        <f t="shared" si="16"/>
        <v>2870395.493018013</v>
      </c>
      <c r="U25" s="1616">
        <v>44400</v>
      </c>
      <c r="V25" s="1617"/>
      <c r="W25" s="1592" t="s">
        <v>1720</v>
      </c>
      <c r="X25" s="1592" t="s">
        <v>1723</v>
      </c>
    </row>
    <row r="26" ht="16.5" customHeight="1" s="1592" customFormat="1">
      <c r="A26" s="1576" t="s">
        <v>30</v>
      </c>
      <c r="B26" s="1874"/>
      <c r="C26" s="1614" t="s">
        <v>1659</v>
      </c>
      <c r="D26" s="1578" t="s">
        <v>34</v>
      </c>
      <c r="E26" s="1578" t="s">
        <v>47</v>
      </c>
      <c r="F26" s="1578" t="s">
        <v>28</v>
      </c>
      <c r="G26" s="1615">
        <f>2970502/31*24</f>
        <v>2299743.4838709678</v>
      </c>
      <c r="H26" s="1615"/>
      <c r="I26" s="1582">
        <f t="shared" si="10"/>
        <v>145257.5478</v>
      </c>
      <c r="J26" s="1582">
        <f t="shared" si="11"/>
        <v>118820.08</v>
      </c>
      <c r="K26" s="1582">
        <f t="shared" si="12"/>
        <v>59410.04</v>
      </c>
      <c r="L26" s="1583">
        <v>15000</v>
      </c>
      <c r="M26" s="1566">
        <f t="shared" si="18"/>
        <v>2638231.1516709677</v>
      </c>
      <c r="N26" s="1584">
        <f t="shared" si="13"/>
        <v>211058.4921336774</v>
      </c>
      <c r="O26" s="1583"/>
      <c r="P26" s="1583"/>
      <c r="Q26" s="1584"/>
      <c r="R26" s="1588">
        <f t="shared" si="14"/>
        <v>2849289.643804645</v>
      </c>
      <c r="S26" s="1588">
        <f t="shared" si="15"/>
        <v>21105.849213367743</v>
      </c>
      <c r="T26" s="1589">
        <f t="shared" si="16"/>
        <v>2870395.493018013</v>
      </c>
      <c r="U26" s="1616">
        <v>44400</v>
      </c>
      <c r="V26" s="1617"/>
      <c r="W26" s="1592" t="s">
        <v>1720</v>
      </c>
      <c r="X26" s="1592" t="s">
        <v>1724</v>
      </c>
    </row>
    <row r="27" ht="16.5" customHeight="1" s="1592" customFormat="1">
      <c r="A27" s="1576" t="s">
        <v>30</v>
      </c>
      <c r="B27" s="1874"/>
      <c r="C27" s="1614" t="s">
        <v>1725</v>
      </c>
      <c r="D27" s="1578" t="s">
        <v>34</v>
      </c>
      <c r="E27" s="1578" t="s">
        <v>47</v>
      </c>
      <c r="F27" s="1578" t="s">
        <v>28</v>
      </c>
      <c r="G27" s="1615">
        <f ref="G27:G28" t="shared" si="20">2970502/31*3</f>
        <v>287467.93548387097</v>
      </c>
      <c r="H27" s="1615"/>
      <c r="I27" s="1582">
        <f t="shared" si="10"/>
        <v>145257.5478</v>
      </c>
      <c r="J27" s="1582">
        <f t="shared" si="11"/>
        <v>118820.08</v>
      </c>
      <c r="K27" s="1582">
        <f t="shared" si="12"/>
        <v>59410.04</v>
      </c>
      <c r="L27" s="1583">
        <v>15000</v>
      </c>
      <c r="M27" s="1566">
        <f t="shared" si="18"/>
        <v>625955.603283871</v>
      </c>
      <c r="N27" s="1584">
        <f t="shared" si="13"/>
        <v>50076.44826270968</v>
      </c>
      <c r="O27" s="1583"/>
      <c r="P27" s="1583"/>
      <c r="Q27" s="1584"/>
      <c r="R27" s="1588">
        <f t="shared" si="14"/>
        <v>676032.0515465806</v>
      </c>
      <c r="S27" s="1588">
        <f t="shared" si="15"/>
        <v>5007.644826270968</v>
      </c>
      <c r="T27" s="1589">
        <f t="shared" si="16"/>
        <v>681039.6963728516</v>
      </c>
      <c r="U27" s="1616">
        <v>44421</v>
      </c>
      <c r="V27" s="1617"/>
      <c r="W27" s="1592" t="s">
        <v>1720</v>
      </c>
      <c r="X27" s="1592" t="s">
        <v>1726</v>
      </c>
    </row>
    <row r="28" ht="16.5" customHeight="1" s="1592" customFormat="1">
      <c r="A28" s="1576" t="s">
        <v>30</v>
      </c>
      <c r="B28" s="1874"/>
      <c r="C28" s="1614" t="s">
        <v>1727</v>
      </c>
      <c r="D28" s="1578" t="s">
        <v>34</v>
      </c>
      <c r="E28" s="1578" t="s">
        <v>47</v>
      </c>
      <c r="F28" s="1578" t="s">
        <v>28</v>
      </c>
      <c r="G28" s="1615">
        <f t="shared" si="20"/>
        <v>287467.93548387097</v>
      </c>
      <c r="H28" s="1615"/>
      <c r="I28" s="1582">
        <f t="shared" si="10"/>
        <v>145257.5478</v>
      </c>
      <c r="J28" s="1582">
        <f t="shared" si="11"/>
        <v>118820.08</v>
      </c>
      <c r="K28" s="1582">
        <f t="shared" si="12"/>
        <v>59410.04</v>
      </c>
      <c r="L28" s="1583">
        <v>15000</v>
      </c>
      <c r="M28" s="1566">
        <f t="shared" si="18"/>
        <v>625955.603283871</v>
      </c>
      <c r="N28" s="1584">
        <f t="shared" si="13"/>
        <v>50076.44826270968</v>
      </c>
      <c r="O28" s="1583"/>
      <c r="P28" s="1583"/>
      <c r="Q28" s="1584"/>
      <c r="R28" s="1588">
        <f t="shared" si="14"/>
        <v>676032.0515465806</v>
      </c>
      <c r="S28" s="1588">
        <f t="shared" si="15"/>
        <v>5007.644826270968</v>
      </c>
      <c r="T28" s="1589">
        <f t="shared" si="16"/>
        <v>681039.6963728516</v>
      </c>
      <c r="U28" s="1616">
        <v>44421</v>
      </c>
      <c r="V28" s="1617"/>
      <c r="W28" s="1592" t="s">
        <v>1720</v>
      </c>
      <c r="X28" s="1592" t="s">
        <v>1728</v>
      </c>
    </row>
    <row r="29" ht="16.5" customHeight="1" s="1613" customFormat="1">
      <c r="A29" s="238" t="s">
        <v>31</v>
      </c>
      <c r="B29" s="1875" t="s">
        <v>1729</v>
      </c>
      <c r="C29" s="1603" t="s">
        <v>1730</v>
      </c>
      <c r="D29" s="1602" t="s">
        <v>34</v>
      </c>
      <c r="E29" s="1602" t="s">
        <v>47</v>
      </c>
      <c r="F29" s="1602" t="s">
        <v>28</v>
      </c>
      <c r="G29" s="1604">
        <f>2970502/31*7</f>
        <v>670758.5161290322</v>
      </c>
      <c r="H29" s="1604"/>
      <c r="I29" s="1605"/>
      <c r="J29" s="1605"/>
      <c r="K29" s="1605"/>
      <c r="L29" s="1606"/>
      <c r="M29" s="1607">
        <f>SUM(G29:L29)</f>
        <v>670758.5161290322</v>
      </c>
      <c r="N29" s="1608">
        <f>+M29*8%</f>
        <v>53660.68129032258</v>
      </c>
      <c r="O29" s="1606"/>
      <c r="P29" s="1606"/>
      <c r="Q29" s="1608"/>
      <c r="R29" s="1609">
        <f>SUM(M29:Q29)</f>
        <v>724419.1974193548</v>
      </c>
      <c r="S29" s="1609">
        <f>N29*0.1</f>
        <v>5366.068129032258</v>
      </c>
      <c r="T29" s="1610">
        <f>R29+S29</f>
        <v>729785.2655483871</v>
      </c>
      <c r="U29" s="1611">
        <v>44389</v>
      </c>
      <c r="V29" s="1612">
        <v>44399</v>
      </c>
      <c r="W29" s="1613" t="s">
        <v>1731</v>
      </c>
    </row>
    <row r="30" ht="16.5" customHeight="1" s="1613" customFormat="1">
      <c r="A30" s="1601" t="s">
        <v>31</v>
      </c>
      <c r="B30" s="1875" t="s">
        <v>1732</v>
      </c>
      <c r="C30" s="1603" t="s">
        <v>1733</v>
      </c>
      <c r="D30" s="1602" t="s">
        <v>34</v>
      </c>
      <c r="E30" s="1602" t="s">
        <v>47</v>
      </c>
      <c r="F30" s="1602" t="s">
        <v>28</v>
      </c>
      <c r="G30" s="1604">
        <f>2970502/31*4</f>
        <v>383290.5806451613</v>
      </c>
      <c r="H30" s="1604"/>
      <c r="I30" s="1605"/>
      <c r="J30" s="1605"/>
      <c r="K30" s="1605"/>
      <c r="L30" s="1606"/>
      <c r="M30" s="1607">
        <f t="shared" si="18"/>
        <v>383290.5806451613</v>
      </c>
      <c r="N30" s="1608">
        <f t="shared" si="13"/>
        <v>30663.246451612904</v>
      </c>
      <c r="O30" s="1606"/>
      <c r="P30" s="1606"/>
      <c r="Q30" s="1608"/>
      <c r="R30" s="1609">
        <f t="shared" si="14"/>
        <v>413953.8270967742</v>
      </c>
      <c r="S30" s="1609">
        <f t="shared" si="15"/>
        <v>3066.3246451612904</v>
      </c>
      <c r="T30" s="1610">
        <f t="shared" si="16"/>
        <v>417020.15174193546</v>
      </c>
      <c r="U30" s="1611">
        <v>44389</v>
      </c>
      <c r="V30" s="1612">
        <v>44396</v>
      </c>
      <c r="W30" s="1613" t="s">
        <v>1734</v>
      </c>
    </row>
    <row r="31" ht="16.5" customHeight="1">
      <c r="A31" s="1744" t="s">
        <v>30</v>
      </c>
      <c r="B31" s="1867"/>
      <c r="C31" s="1745"/>
      <c r="D31" s="1745"/>
      <c r="E31" s="1745"/>
      <c r="F31" s="1745"/>
      <c r="G31" s="234">
        <f ref="G31:T31" t="shared" si="21">SUM(G16:G30)</f>
        <v>23476548.064516123</v>
      </c>
      <c r="H31" s="234">
        <f t="shared" si="21"/>
        <v>0</v>
      </c>
      <c r="I31" s="234">
        <f t="shared" si="21"/>
        <v>1888348.1214000005</v>
      </c>
      <c r="J31" s="234">
        <f t="shared" si="21"/>
        <v>1544661.0400000003</v>
      </c>
      <c r="K31" s="234">
        <f t="shared" si="21"/>
        <v>772330.5200000001</v>
      </c>
      <c r="L31" s="234">
        <f t="shared" si="21"/>
        <v>195000</v>
      </c>
      <c r="M31" s="234">
        <f t="shared" si="21"/>
        <v>27876887.74591613</v>
      </c>
      <c r="N31" s="234">
        <f t="shared" si="21"/>
        <v>2230151.0196732907</v>
      </c>
      <c r="O31" s="234">
        <f t="shared" si="21"/>
        <v>0</v>
      </c>
      <c r="P31" s="234">
        <f t="shared" si="21"/>
        <v>0</v>
      </c>
      <c r="Q31" s="234">
        <f t="shared" si="21"/>
        <v>0</v>
      </c>
      <c r="R31" s="234">
        <f t="shared" si="21"/>
        <v>30107038.765589427</v>
      </c>
      <c r="S31" s="234">
        <f t="shared" si="21"/>
        <v>223015.101967329</v>
      </c>
      <c r="T31" s="234">
        <f t="shared" si="21"/>
        <v>30330053.86755675</v>
      </c>
      <c r="U31" s="332"/>
      <c r="V31" s="333"/>
    </row>
    <row r="32" ht="12" customHeight="1">
      <c r="A32" s="0" t="s">
        <v>30</v>
      </c>
      <c r="B32" s="1861"/>
      <c r="C32" s="209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U32" s="317"/>
    </row>
    <row r="33" ht="12" customHeight="1">
      <c r="A33" s="1744" t="s">
        <v>30</v>
      </c>
      <c r="B33" s="1867"/>
      <c r="C33" s="1745"/>
      <c r="D33" s="1745"/>
      <c r="E33" s="1745"/>
      <c r="F33" s="1745"/>
      <c r="G33" s="234">
        <f ref="G33:T33" t="shared" si="22">+G31+G12</f>
        <v>36189730.73118279</v>
      </c>
      <c r="H33" s="234">
        <f t="shared" si="22"/>
        <v>0</v>
      </c>
      <c r="I33" s="234">
        <f t="shared" si="22"/>
        <v>2558441.9364000005</v>
      </c>
      <c r="J33" s="234">
        <f t="shared" si="22"/>
        <v>2092795.0400000003</v>
      </c>
      <c r="K33" s="234">
        <f t="shared" si="22"/>
        <v>1046397.5200000001</v>
      </c>
      <c r="L33" s="234">
        <f t="shared" si="22"/>
        <v>201668</v>
      </c>
      <c r="M33" s="234">
        <f t="shared" si="22"/>
        <v>42089033.2275828</v>
      </c>
      <c r="N33" s="234">
        <f t="shared" si="22"/>
        <v>3367122.658206624</v>
      </c>
      <c r="O33" s="234">
        <f t="shared" si="22"/>
        <v>500000</v>
      </c>
      <c r="P33" s="234">
        <f t="shared" si="22"/>
        <v>100000</v>
      </c>
      <c r="Q33" s="234">
        <f t="shared" si="22"/>
        <v>756000</v>
      </c>
      <c r="R33" s="234">
        <f t="shared" si="22"/>
        <v>46812155.885789424</v>
      </c>
      <c r="S33" s="234">
        <f t="shared" si="22"/>
        <v>336712.2658206624</v>
      </c>
      <c r="T33" s="234">
        <f t="shared" si="22"/>
        <v>47148868.151610084</v>
      </c>
      <c r="U33" s="332"/>
      <c r="V33" s="333"/>
    </row>
    <row r="34" ht="12" customHeight="1">
      <c r="A34" s="0" t="s">
        <v>30</v>
      </c>
      <c r="B34" s="1861"/>
      <c r="C34" s="387"/>
      <c r="D34" s="262"/>
      <c r="E34" s="263"/>
      <c r="F34" s="264"/>
      <c r="G34" s="210"/>
      <c r="H34" s="210"/>
      <c r="I34" s="310"/>
      <c r="J34" s="310"/>
      <c r="K34" s="310"/>
      <c r="L34" s="310"/>
      <c r="M34" s="310"/>
      <c r="N34" s="310"/>
      <c r="O34" s="310"/>
      <c r="P34" s="310"/>
      <c r="Q34" s="310"/>
      <c r="R34" s="310"/>
      <c r="S34" s="310"/>
      <c r="T34" s="348"/>
      <c r="U34" s="317"/>
    </row>
    <row r="35" ht="12" customHeight="1">
      <c r="A35" s="0" t="s">
        <v>30</v>
      </c>
      <c r="B35" s="1869"/>
      <c r="C35" s="264" t="str">
        <f>+'MALANG BAT 2 AGUSTUS - OK'!C11</f>
        <v>Karawang, 16 Agustus 2021</v>
      </c>
      <c r="D35" s="270"/>
      <c r="E35" s="270"/>
      <c r="F35" s="270"/>
      <c r="G35" s="271"/>
      <c r="H35" s="271"/>
      <c r="I35" s="310"/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48"/>
    </row>
    <row r="36" ht="12" customHeight="1">
      <c r="A36" s="0" t="s">
        <v>30</v>
      </c>
      <c r="B36" s="1870"/>
      <c r="C36" s="264" t="s">
        <v>38</v>
      </c>
      <c r="D36" s="263"/>
      <c r="E36" s="264"/>
      <c r="F36" s="264"/>
      <c r="G36" s="210"/>
      <c r="H36" s="210"/>
      <c r="I36" s="270"/>
      <c r="J36" s="270"/>
      <c r="K36" s="270"/>
      <c r="L36" s="270"/>
      <c r="M36" s="270"/>
      <c r="N36" s="310"/>
      <c r="O36" s="310"/>
      <c r="P36" s="310"/>
      <c r="Q36" s="310"/>
      <c r="R36" s="270"/>
      <c r="S36" s="270"/>
      <c r="T36" s="310"/>
      <c r="U36" s="348"/>
    </row>
    <row r="37" ht="12" customHeight="1">
      <c r="A37" s="0" t="s">
        <v>30</v>
      </c>
      <c r="B37" s="1869"/>
      <c r="C37" s="445"/>
      <c r="D37" s="274"/>
      <c r="E37" s="264"/>
      <c r="F37" s="264"/>
      <c r="G37" s="275"/>
      <c r="H37" s="275"/>
      <c r="I37" s="262"/>
      <c r="J37" s="262"/>
      <c r="K37" s="262"/>
      <c r="L37" s="312"/>
      <c r="M37" s="263" t="s">
        <v>39</v>
      </c>
      <c r="N37" s="313"/>
      <c r="O37" s="313"/>
      <c r="R37" s="349"/>
      <c r="S37" s="270"/>
      <c r="T37" s="313"/>
      <c r="U37" s="348"/>
    </row>
    <row r="38" ht="12" customHeight="1">
      <c r="A38" s="0" t="s">
        <v>30</v>
      </c>
      <c r="B38" s="1871"/>
      <c r="C38" s="446"/>
      <c r="D38" s="209"/>
      <c r="G38" s="275"/>
      <c r="H38" s="275"/>
      <c r="I38" s="262"/>
      <c r="J38" s="315"/>
      <c r="K38" s="262"/>
      <c r="L38" s="312"/>
      <c r="M38" s="262"/>
      <c r="N38" s="270"/>
      <c r="O38" s="270"/>
      <c r="P38" s="270"/>
      <c r="Q38" s="270"/>
      <c r="R38" s="349"/>
      <c r="S38" s="270"/>
      <c r="T38" s="270"/>
      <c r="U38" s="348"/>
    </row>
    <row r="39" ht="12" customHeight="1">
      <c r="A39" s="0" t="s">
        <v>30</v>
      </c>
      <c r="B39" s="1871"/>
      <c r="C39" s="446"/>
      <c r="D39" s="209"/>
      <c r="G39" s="210"/>
      <c r="H39" s="210"/>
      <c r="I39" s="210"/>
      <c r="J39" s="270"/>
      <c r="K39" s="270"/>
      <c r="L39" s="310"/>
      <c r="M39" s="270"/>
      <c r="N39" s="270"/>
      <c r="O39" s="270"/>
      <c r="P39" s="270"/>
      <c r="Q39" s="270"/>
      <c r="R39" s="208"/>
      <c r="S39" s="270"/>
      <c r="T39" s="270"/>
      <c r="U39" s="348"/>
    </row>
    <row r="40" ht="12" customHeight="1">
      <c r="A40" s="0" t="s">
        <v>30</v>
      </c>
      <c r="B40" s="1869"/>
      <c r="C40" s="445"/>
      <c r="D40" s="274"/>
      <c r="E40" s="264"/>
      <c r="F40" s="264"/>
      <c r="G40" s="275"/>
      <c r="H40" s="275"/>
      <c r="I40" s="275"/>
      <c r="J40" s="262"/>
      <c r="K40" s="262"/>
      <c r="L40" s="312"/>
      <c r="M40" s="262"/>
      <c r="N40" s="262"/>
      <c r="O40" s="262"/>
      <c r="P40" s="262"/>
      <c r="Q40" s="262"/>
      <c r="R40" s="264"/>
      <c r="S40" s="270"/>
      <c r="T40" s="270"/>
      <c r="U40" s="348"/>
    </row>
    <row r="41" ht="12" customHeight="1">
      <c r="A41" s="0" t="s">
        <v>30</v>
      </c>
      <c r="B41" s="1870"/>
      <c r="C41" s="264"/>
      <c r="D41" s="264"/>
      <c r="E41" s="264"/>
      <c r="F41" s="264"/>
      <c r="G41" s="275"/>
      <c r="H41" s="275"/>
      <c r="I41" s="275"/>
      <c r="J41" s="262"/>
      <c r="K41" s="262"/>
      <c r="L41" s="312"/>
      <c r="M41" s="262"/>
      <c r="N41" s="262"/>
      <c r="O41" s="262"/>
      <c r="P41" s="262"/>
      <c r="Q41" s="262"/>
      <c r="R41" s="264"/>
      <c r="S41" s="208"/>
      <c r="T41" s="270"/>
      <c r="U41" s="348"/>
    </row>
    <row r="42" ht="12" customHeight="1">
      <c r="A42" s="0" t="s">
        <v>30</v>
      </c>
      <c r="B42" s="1870"/>
      <c r="C42" s="264"/>
      <c r="D42" s="264"/>
      <c r="E42" s="264"/>
      <c r="F42" s="264"/>
      <c r="G42" s="275"/>
      <c r="H42" s="275"/>
      <c r="I42" s="275"/>
      <c r="J42" s="262"/>
      <c r="K42" s="262"/>
      <c r="L42" s="312"/>
      <c r="M42" s="262"/>
      <c r="N42" s="262"/>
      <c r="O42" s="262"/>
      <c r="P42" s="262"/>
      <c r="Q42" s="262"/>
      <c r="R42" s="264"/>
      <c r="S42" s="270"/>
      <c r="T42" s="387"/>
      <c r="U42" s="348"/>
    </row>
    <row r="43" ht="12" customHeight="1">
      <c r="A43" s="0" t="s">
        <v>30</v>
      </c>
      <c r="B43" s="1870"/>
      <c r="C43" s="264" t="s">
        <v>40</v>
      </c>
      <c r="D43" s="568"/>
      <c r="E43" s="264"/>
      <c r="F43" s="264"/>
      <c r="G43" s="275"/>
      <c r="H43" s="275"/>
      <c r="I43" s="275"/>
      <c r="J43" s="312" t="s">
        <v>41</v>
      </c>
      <c r="K43" s="263"/>
      <c r="L43" s="263"/>
      <c r="M43" s="263" t="s">
        <v>42</v>
      </c>
      <c r="P43" s="264" t="s">
        <v>43</v>
      </c>
      <c r="Q43" s="263"/>
      <c r="T43" s="387"/>
      <c r="U43" s="350"/>
    </row>
  </sheetData>
  <mergeCells>
    <mergeCell ref="A12:F12"/>
    <mergeCell ref="A31:F31"/>
    <mergeCell ref="A33:F33"/>
  </mergeCells>
  <printOptions horizontalCentered="1"/>
  <pageMargins left="0" right="0" top="0.75" bottom="0.75" header="0.3" footer="0.3"/>
  <pageSetup paperSize="9" scale="6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 tint="-0.499984740745262"/>
  </sheetPr>
  <dimension ref="A1:W21"/>
  <sheetViews>
    <sheetView zoomScale="55" zoomScaleNormal="55" workbookViewId="0">
      <pane xSplit="7" ySplit="11" topLeftCell="H12" activePane="bottomRight" state="frozen"/>
      <selection pane="topRight"/>
      <selection pane="bottomLeft"/>
      <selection pane="bottomRight" activeCell="M34" sqref="M34"/>
    </sheetView>
  </sheetViews>
  <sheetFormatPr defaultColWidth="9.140625" defaultRowHeight="12" customHeight="1"/>
  <cols>
    <col min="1" max="2" width="4.85546875" customWidth="1"/>
    <col min="3" max="3" width="25.7109375" customWidth="1"/>
    <col min="4" max="4" width="17.5703125" customWidth="1"/>
    <col min="5" max="5" width="8.140625" customWidth="1"/>
    <col min="6" max="6" width="9.5703125" customWidth="1"/>
    <col min="7" max="7" width="10.85546875" customWidth="1"/>
    <col min="8" max="8" width="9.5703125" customWidth="1"/>
    <col min="9" max="9" width="10.5703125" customWidth="1"/>
    <col min="10" max="10" width="10.7109375" customWidth="1"/>
    <col min="11" max="11" width="9.42578125" customWidth="1"/>
    <col min="12" max="12" width="13.140625" customWidth="1"/>
    <col min="13" max="13" width="13.28515625" customWidth="1"/>
    <col min="14" max="14" width="12.42578125" customWidth="1"/>
    <col min="15" max="15" width="8.42578125" customWidth="1"/>
    <col min="16" max="17" width="10.42578125" customWidth="1"/>
    <col min="18" max="18" width="11.28515625" customWidth="1"/>
    <col min="19" max="19" width="13.140625" customWidth="1"/>
    <col min="20" max="20" width="12.140625" customWidth="1"/>
    <col min="21" max="21" width="10.28515625" customWidth="1"/>
  </cols>
  <sheetData>
    <row r="1" ht="12" customHeight="1">
      <c r="A1" s="207" t="s">
        <v>0</v>
      </c>
      <c r="C1" s="209"/>
      <c r="G1" s="210"/>
      <c r="H1" s="210"/>
      <c r="M1" s="210"/>
      <c r="U1" s="317"/>
    </row>
    <row r="2" ht="12" customHeight="1">
      <c r="A2" s="207" t="s">
        <v>1697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80"/>
      <c r="R2" s="280"/>
      <c r="S2" s="280"/>
      <c r="T2" s="318"/>
      <c r="U2" s="318"/>
    </row>
    <row r="3" ht="15">
      <c r="A3" s="1354" t="str">
        <f>+'PROBOLINGGO ANTERAJA AGUST - OK'!A3</f>
        <v>Periode Bulan Agustus  2021</v>
      </c>
      <c r="C3" s="209"/>
      <c r="G3" s="1693">
        <v>4791844</v>
      </c>
      <c r="H3" s="213"/>
      <c r="I3" s="281"/>
      <c r="M3" s="210"/>
      <c r="U3" s="317"/>
    </row>
    <row r="4" ht="15">
      <c r="A4" s="207"/>
      <c r="C4" s="209"/>
      <c r="G4" s="214">
        <v>2970502</v>
      </c>
      <c r="H4" s="214"/>
      <c r="I4" s="281"/>
      <c r="M4" s="210"/>
      <c r="U4" s="317"/>
    </row>
    <row r="5" ht="15">
      <c r="A5" s="207"/>
      <c r="C5" s="209"/>
      <c r="G5" s="214"/>
      <c r="H5" s="214"/>
      <c r="I5" s="281"/>
      <c r="M5" s="210"/>
      <c r="U5" s="317"/>
    </row>
    <row r="6" ht="22.5" customHeight="1">
      <c r="A6" s="1397" t="s">
        <v>2</v>
      </c>
      <c r="B6" s="1398" t="s">
        <v>3</v>
      </c>
      <c r="C6" s="1398" t="s">
        <v>4</v>
      </c>
      <c r="D6" s="1398" t="s">
        <v>5</v>
      </c>
      <c r="E6" s="1398" t="s">
        <v>6</v>
      </c>
      <c r="F6" s="1399" t="s">
        <v>7</v>
      </c>
      <c r="G6" s="219" t="s">
        <v>8</v>
      </c>
      <c r="H6" s="219" t="s">
        <v>9</v>
      </c>
      <c r="I6" s="1403" t="s">
        <v>10</v>
      </c>
      <c r="J6" s="1404" t="s">
        <v>11</v>
      </c>
      <c r="K6" s="1404" t="s">
        <v>12</v>
      </c>
      <c r="L6" s="1405" t="s">
        <v>13</v>
      </c>
      <c r="M6" s="1405" t="s">
        <v>14</v>
      </c>
      <c r="N6" s="1406" t="s">
        <v>15</v>
      </c>
      <c r="O6" s="1406" t="s">
        <v>16</v>
      </c>
      <c r="P6" s="1406" t="s">
        <v>17</v>
      </c>
      <c r="Q6" s="1406" t="s">
        <v>18</v>
      </c>
      <c r="R6" s="1407" t="s">
        <v>19</v>
      </c>
      <c r="S6" s="1408" t="s">
        <v>20</v>
      </c>
      <c r="T6" s="1408" t="s">
        <v>21</v>
      </c>
      <c r="U6" s="1409" t="s">
        <v>22</v>
      </c>
      <c r="V6" s="1410" t="s">
        <v>23</v>
      </c>
    </row>
    <row r="7" ht="18" customHeight="1" s="1575" customFormat="1">
      <c r="A7" s="1646" t="s">
        <v>24</v>
      </c>
      <c r="B7" s="1631">
        <v>2777</v>
      </c>
      <c r="C7" s="1647" t="s">
        <v>1698</v>
      </c>
      <c r="D7" s="1631" t="s">
        <v>26</v>
      </c>
      <c r="E7" s="1648" t="s">
        <v>47</v>
      </c>
      <c r="F7" s="1648" t="s">
        <v>28</v>
      </c>
      <c r="G7" s="1623">
        <f>2970502/31*9</f>
        <v>862403.806451613</v>
      </c>
      <c r="H7" s="1623"/>
      <c r="I7" s="1649"/>
      <c r="J7" s="1649"/>
      <c r="K7" s="1649"/>
      <c r="L7" s="1649"/>
      <c r="M7" s="1650">
        <f>SUM(G7,I7:L7)-H7</f>
        <v>862403.806451613</v>
      </c>
      <c r="N7" s="1625">
        <f ref="N7:N8" t="shared" si="0">+M7*8%</f>
        <v>68992.304516129</v>
      </c>
      <c r="O7" s="1625"/>
      <c r="P7" s="1625"/>
      <c r="Q7" s="1625"/>
      <c r="R7" s="1651">
        <f ref="R7:R8" t="shared" si="1">SUM(M7:Q7)</f>
        <v>931396.110967742</v>
      </c>
      <c r="S7" s="1651">
        <f ref="S7:S8" t="shared" si="2">N7*0.1</f>
        <v>6899.2304516129</v>
      </c>
      <c r="T7" s="1627">
        <f ref="T7:T8" t="shared" si="3">R7+S7</f>
        <v>938295.341419355</v>
      </c>
      <c r="U7" s="1628">
        <v>44400</v>
      </c>
      <c r="V7" s="1629">
        <v>44500</v>
      </c>
      <c r="W7" s="1630"/>
    </row>
    <row r="8" ht="18" customHeight="1" s="1600" customFormat="1">
      <c r="A8" s="1637" t="s">
        <v>24</v>
      </c>
      <c r="B8" s="1638" t="s">
        <v>1699</v>
      </c>
      <c r="C8" s="1639" t="s">
        <v>1700</v>
      </c>
      <c r="D8" s="1638" t="s">
        <v>26</v>
      </c>
      <c r="E8" s="1638" t="s">
        <v>47</v>
      </c>
      <c r="F8" s="1638" t="s">
        <v>28</v>
      </c>
      <c r="G8" s="1640">
        <f>4791844/31*19</f>
        <v>2936936.6451612907</v>
      </c>
      <c r="H8" s="1640"/>
      <c r="I8" s="1641">
        <f>+$G$3*4.89%</f>
        <v>234321.1716</v>
      </c>
      <c r="J8" s="1641">
        <f>+$G$3*4%</f>
        <v>191673.76</v>
      </c>
      <c r="K8" s="1641">
        <f>+$G$3*2%</f>
        <v>95836.88</v>
      </c>
      <c r="L8" s="1641">
        <v>1667</v>
      </c>
      <c r="M8" s="865">
        <f>SUM(G8,I8:L8)-H8</f>
        <v>3460435.4567612903</v>
      </c>
      <c r="N8" s="1642">
        <f t="shared" si="0"/>
        <v>276834.83654090326</v>
      </c>
      <c r="O8" s="1642"/>
      <c r="P8" s="1642"/>
      <c r="Q8" s="1642"/>
      <c r="R8" s="1643">
        <f t="shared" si="1"/>
        <v>3737270.2933021937</v>
      </c>
      <c r="S8" s="1643">
        <f t="shared" si="2"/>
        <v>27683.483654090327</v>
      </c>
      <c r="T8" s="1644">
        <f t="shared" si="3"/>
        <v>3764953.776956284</v>
      </c>
      <c r="U8" s="1645">
        <v>44389</v>
      </c>
      <c r="V8" s="1645"/>
      <c r="W8" s="1019"/>
    </row>
    <row r="9" ht="18" customHeight="1">
      <c r="A9" s="1736" t="s">
        <v>30</v>
      </c>
      <c r="B9" s="1856"/>
      <c r="C9" s="1737"/>
      <c r="D9" s="1737"/>
      <c r="E9" s="1737"/>
      <c r="F9" s="1746"/>
      <c r="G9" s="1400">
        <f>SUM(G7:G8)</f>
        <v>3799340.4516129037</v>
      </c>
      <c r="H9" s="1400">
        <f ref="H9:T9" t="shared" si="4">SUM(H7:H8)</f>
        <v>0</v>
      </c>
      <c r="I9" s="1400">
        <f t="shared" si="4"/>
        <v>234321.1716</v>
      </c>
      <c r="J9" s="1400">
        <f t="shared" si="4"/>
        <v>191673.76</v>
      </c>
      <c r="K9" s="1400">
        <f t="shared" si="4"/>
        <v>95836.88</v>
      </c>
      <c r="L9" s="1400">
        <f t="shared" si="4"/>
        <v>1667</v>
      </c>
      <c r="M9" s="1400">
        <f t="shared" si="4"/>
        <v>4322839.263212903</v>
      </c>
      <c r="N9" s="1400">
        <f t="shared" si="4"/>
        <v>345827.1410570323</v>
      </c>
      <c r="O9" s="1400">
        <f t="shared" si="4"/>
        <v>0</v>
      </c>
      <c r="P9" s="1400">
        <f t="shared" si="4"/>
        <v>0</v>
      </c>
      <c r="Q9" s="1400">
        <f t="shared" si="4"/>
        <v>0</v>
      </c>
      <c r="R9" s="1400">
        <f t="shared" si="4"/>
        <v>4668666.404269936</v>
      </c>
      <c r="S9" s="1400">
        <f t="shared" si="4"/>
        <v>34582.71410570323</v>
      </c>
      <c r="T9" s="1400">
        <f t="shared" si="4"/>
        <v>4703249.1183756385</v>
      </c>
      <c r="U9" s="1400"/>
      <c r="V9" s="1411"/>
    </row>
    <row r="10" ht="18" customHeight="1">
      <c r="A10" s="1401" t="s">
        <v>30</v>
      </c>
      <c r="B10" s="1857"/>
      <c r="C10" s="1129"/>
      <c r="D10" s="1129"/>
      <c r="E10" s="1129"/>
      <c r="F10" s="1129"/>
      <c r="G10" s="1402"/>
      <c r="H10" s="1402"/>
      <c r="I10" s="1402"/>
      <c r="J10" s="1402"/>
      <c r="K10" s="1402"/>
      <c r="L10" s="1402"/>
      <c r="M10" s="1402"/>
      <c r="N10" s="1402"/>
      <c r="O10" s="1402"/>
      <c r="P10" s="1402"/>
      <c r="Q10" s="1402"/>
      <c r="R10" s="1402"/>
      <c r="S10" s="1402"/>
      <c r="T10" s="1402"/>
      <c r="U10" s="1402"/>
      <c r="V10" s="1412"/>
    </row>
    <row r="11" ht="18" customHeight="1">
      <c r="A11" s="1401" t="s">
        <v>30</v>
      </c>
      <c r="B11" s="1857"/>
      <c r="C11" s="1129"/>
      <c r="D11" s="1129"/>
      <c r="E11" s="1129"/>
      <c r="F11" s="1129"/>
      <c r="G11" s="1402"/>
      <c r="H11" s="1402"/>
      <c r="I11" s="1402"/>
      <c r="J11" s="1402"/>
      <c r="K11" s="1402"/>
      <c r="L11" s="1402"/>
      <c r="M11" s="1402"/>
      <c r="N11" s="1402"/>
      <c r="O11" s="1402"/>
      <c r="P11" s="1402"/>
      <c r="Q11" s="1402"/>
      <c r="R11" s="1402"/>
      <c r="S11" s="1402"/>
      <c r="T11" s="1402"/>
      <c r="U11" s="1402"/>
      <c r="V11" s="1412"/>
    </row>
    <row r="12" ht="12" customHeight="1">
      <c r="A12" s="0" t="s">
        <v>30</v>
      </c>
      <c r="B12" s="1861"/>
      <c r="C12" s="387"/>
      <c r="D12" s="262"/>
      <c r="E12" s="263"/>
      <c r="F12" s="264"/>
      <c r="G12" s="210"/>
      <c r="H12" s="2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48"/>
      <c r="U12" s="317"/>
    </row>
    <row r="13" ht="12" customHeight="1">
      <c r="A13" s="0" t="s">
        <v>30</v>
      </c>
      <c r="B13" s="1869"/>
      <c r="C13" s="264" t="str">
        <f>+'MALANG BAT 2 AGUSTUS - OK'!C11</f>
        <v>Karawang, 16 Agustus 2021</v>
      </c>
      <c r="D13" s="270"/>
      <c r="E13" s="270"/>
      <c r="F13" s="270"/>
      <c r="G13" s="271"/>
      <c r="H13" s="271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48"/>
    </row>
    <row r="14" ht="12" customHeight="1">
      <c r="A14" s="0" t="s">
        <v>30</v>
      </c>
      <c r="B14" s="1870"/>
      <c r="C14" s="264" t="s">
        <v>38</v>
      </c>
      <c r="D14" s="263"/>
      <c r="E14" s="264"/>
      <c r="F14" s="264"/>
      <c r="G14" s="210"/>
      <c r="H14" s="210"/>
      <c r="I14" s="270"/>
      <c r="J14" s="270"/>
      <c r="K14" s="270"/>
      <c r="L14" s="270"/>
      <c r="M14" s="270"/>
      <c r="N14" s="310"/>
      <c r="O14" s="310"/>
      <c r="P14" s="310"/>
      <c r="Q14" s="310"/>
      <c r="R14" s="270"/>
      <c r="S14" s="270"/>
      <c r="T14" s="310"/>
      <c r="U14" s="348"/>
    </row>
    <row r="15" ht="12" customHeight="1">
      <c r="A15" s="0" t="s">
        <v>30</v>
      </c>
      <c r="B15" s="1869"/>
      <c r="C15" s="445"/>
      <c r="D15" s="274"/>
      <c r="E15" s="264"/>
      <c r="F15" s="264"/>
      <c r="G15" s="275"/>
      <c r="H15" s="275"/>
      <c r="I15" s="262"/>
      <c r="J15" s="262"/>
      <c r="K15" s="262"/>
      <c r="L15" s="312"/>
      <c r="M15" s="263" t="s">
        <v>39</v>
      </c>
      <c r="N15" s="313"/>
      <c r="O15" s="313"/>
      <c r="R15" s="349"/>
      <c r="S15" s="270"/>
      <c r="T15" s="313"/>
      <c r="U15" s="348"/>
    </row>
    <row r="16" ht="12" customHeight="1">
      <c r="A16" s="0" t="s">
        <v>30</v>
      </c>
      <c r="B16" s="1871"/>
      <c r="C16" s="446"/>
      <c r="D16" s="209"/>
      <c r="G16" s="275"/>
      <c r="H16" s="275"/>
      <c r="I16" s="262"/>
      <c r="J16" s="315"/>
      <c r="K16" s="262"/>
      <c r="L16" s="312"/>
      <c r="M16" s="262"/>
      <c r="N16" s="270"/>
      <c r="O16" s="270"/>
      <c r="P16" s="270"/>
      <c r="Q16" s="270"/>
      <c r="R16" s="349"/>
      <c r="S16" s="270"/>
      <c r="T16" s="270"/>
      <c r="U16" s="348"/>
    </row>
    <row r="17" ht="12" customHeight="1">
      <c r="A17" s="0" t="s">
        <v>30</v>
      </c>
      <c r="B17" s="1871"/>
      <c r="C17" s="446"/>
      <c r="D17" s="209"/>
      <c r="G17" s="210"/>
      <c r="H17" s="210"/>
      <c r="I17" s="210"/>
      <c r="J17" s="270"/>
      <c r="K17" s="270"/>
      <c r="L17" s="310"/>
      <c r="M17" s="270"/>
      <c r="N17" s="270"/>
      <c r="O17" s="270"/>
      <c r="P17" s="270"/>
      <c r="Q17" s="270"/>
      <c r="R17" s="208"/>
      <c r="S17" s="270"/>
      <c r="T17" s="270"/>
      <c r="U17" s="348"/>
    </row>
    <row r="18" ht="12" customHeight="1">
      <c r="A18" s="0" t="s">
        <v>30</v>
      </c>
      <c r="B18" s="1869"/>
      <c r="C18" s="445"/>
      <c r="D18" s="27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4"/>
      <c r="S18" s="270"/>
      <c r="T18" s="270"/>
      <c r="U18" s="348"/>
    </row>
    <row r="19" ht="12" customHeight="1">
      <c r="A19" s="0" t="s">
        <v>30</v>
      </c>
      <c r="B19" s="1870"/>
      <c r="C19" s="264"/>
      <c r="D19" s="264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262"/>
      <c r="P19" s="262"/>
      <c r="Q19" s="262"/>
      <c r="R19" s="264"/>
      <c r="S19" s="208"/>
      <c r="T19" s="270"/>
      <c r="U19" s="348"/>
    </row>
    <row r="20" ht="12" customHeight="1">
      <c r="A20" s="0" t="s">
        <v>30</v>
      </c>
      <c r="B20" s="1870"/>
      <c r="C20" s="264"/>
      <c r="D20" s="264"/>
      <c r="E20" s="264"/>
      <c r="F20" s="264"/>
      <c r="G20" s="275"/>
      <c r="H20" s="275"/>
      <c r="I20" s="275"/>
      <c r="J20" s="262"/>
      <c r="K20" s="262"/>
      <c r="L20" s="312"/>
      <c r="M20" s="262"/>
      <c r="N20" s="262"/>
      <c r="O20" s="262"/>
      <c r="P20" s="262"/>
      <c r="Q20" s="262"/>
      <c r="R20" s="264"/>
      <c r="S20" s="270"/>
      <c r="T20" s="387"/>
      <c r="U20" s="348"/>
    </row>
    <row r="21" ht="12" customHeight="1">
      <c r="A21" s="0" t="s">
        <v>30</v>
      </c>
      <c r="B21" s="1870"/>
      <c r="C21" s="264" t="s">
        <v>40</v>
      </c>
      <c r="D21" s="568"/>
      <c r="E21" s="264"/>
      <c r="F21" s="264"/>
      <c r="G21" s="275"/>
      <c r="H21" s="275"/>
      <c r="I21" s="275"/>
      <c r="J21" s="312" t="s">
        <v>41</v>
      </c>
      <c r="K21" s="263"/>
      <c r="L21" s="263"/>
      <c r="M21" s="263" t="s">
        <v>42</v>
      </c>
      <c r="P21" s="264" t="s">
        <v>43</v>
      </c>
      <c r="Q21" s="263"/>
      <c r="T21" s="387"/>
      <c r="U21" s="350"/>
    </row>
  </sheetData>
  <mergeCells>
    <mergeCell ref="A9:F9"/>
  </mergeCells>
  <printOptions horizontalCentered="1"/>
  <pageMargins left="0" right="0" top="0.75" bottom="0.75" header="0.3" footer="0.3"/>
  <pageSetup paperSize="9" scale="65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W37"/>
  <sheetViews>
    <sheetView zoomScale="115" zoomScaleNormal="115" workbookViewId="0">
      <pane xSplit="7" ySplit="6" topLeftCell="H16" activePane="bottomRight" state="frozen"/>
      <selection pane="topRight"/>
      <selection pane="bottomLeft"/>
      <selection pane="bottomRight" activeCell="M17" sqref="M17"/>
    </sheetView>
  </sheetViews>
  <sheetFormatPr defaultColWidth="9.140625" defaultRowHeight="12" customHeight="1"/>
  <cols>
    <col min="1" max="2" width="4.85546875" customWidth="1"/>
    <col min="3" max="3" width="25.7109375" customWidth="1"/>
    <col min="4" max="4" width="9.5703125" customWidth="1"/>
    <col min="5" max="5" width="6" customWidth="1"/>
    <col min="6" max="6" width="7.42578125" customWidth="1"/>
    <col min="7" max="7" width="9.5703125" customWidth="1"/>
    <col min="8" max="9" width="8.7109375" customWidth="1"/>
    <col min="10" max="10" width="9.7109375" customWidth="1"/>
    <col min="11" max="14" width="10.42578125" customWidth="1"/>
    <col min="15" max="15" width="8.7109375" customWidth="1"/>
    <col min="16" max="17" hidden="1" width="10.42578125" customWidth="1"/>
    <col min="18" max="18" width="10.42578125" customWidth="1"/>
    <col min="19" max="19" width="9.5703125" customWidth="1"/>
    <col min="20" max="20" width="10" customWidth="1"/>
    <col min="21" max="21" width="8.42578125" customWidth="1"/>
    <col min="22" max="22" width="10.28515625" customWidth="1"/>
    <col min="23" max="23" width="4" customWidth="1"/>
  </cols>
  <sheetData>
    <row r="1" ht="12" customHeight="1">
      <c r="A1" s="207" t="s">
        <v>0</v>
      </c>
      <c r="C1" s="209"/>
      <c r="G1" s="210"/>
      <c r="H1" s="210"/>
      <c r="M1" s="210"/>
      <c r="V1" s="317"/>
    </row>
    <row r="2" ht="12" customHeight="1">
      <c r="A2" s="207" t="s">
        <v>1662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 ht="15">
      <c r="A3" s="1354" t="str">
        <f>+'PROBOLINGGO ANTERAJA AGUST - OK'!A3</f>
        <v>Periode Bulan Agustus  2021</v>
      </c>
      <c r="C3" s="209"/>
      <c r="G3" s="213"/>
      <c r="H3" s="213"/>
      <c r="I3" s="281"/>
      <c r="M3" s="210"/>
      <c r="V3" s="317"/>
    </row>
    <row r="4" ht="15">
      <c r="A4" s="207"/>
      <c r="C4" s="209"/>
      <c r="G4" s="214">
        <v>1954705</v>
      </c>
      <c r="H4" s="214"/>
      <c r="I4" s="281"/>
      <c r="M4" s="210"/>
      <c r="V4" s="317"/>
    </row>
    <row r="5" ht="15">
      <c r="A5" s="207"/>
      <c r="C5" s="209"/>
      <c r="G5" s="214"/>
      <c r="H5" s="214"/>
      <c r="I5" s="281"/>
      <c r="M5" s="210"/>
      <c r="V5" s="317"/>
    </row>
    <row r="6" ht="22.5">
      <c r="A6" s="463" t="s">
        <v>2</v>
      </c>
      <c r="B6" s="464" t="s">
        <v>3</v>
      </c>
      <c r="C6" s="464" t="s">
        <v>4</v>
      </c>
      <c r="D6" s="464" t="s">
        <v>5</v>
      </c>
      <c r="E6" s="464" t="s">
        <v>6</v>
      </c>
      <c r="F6" s="465" t="s">
        <v>7</v>
      </c>
      <c r="G6" s="466" t="s">
        <v>8</v>
      </c>
      <c r="H6" s="219" t="s">
        <v>9</v>
      </c>
      <c r="I6" s="467" t="s">
        <v>10</v>
      </c>
      <c r="J6" s="477" t="s">
        <v>11</v>
      </c>
      <c r="K6" s="477" t="s">
        <v>12</v>
      </c>
      <c r="L6" s="478" t="s">
        <v>13</v>
      </c>
      <c r="M6" s="478" t="s">
        <v>14</v>
      </c>
      <c r="N6" s="286" t="s">
        <v>15</v>
      </c>
      <c r="O6" s="286" t="s">
        <v>32</v>
      </c>
      <c r="P6" s="286" t="s">
        <v>17</v>
      </c>
      <c r="Q6" s="286" t="s">
        <v>18</v>
      </c>
      <c r="R6" s="483" t="s">
        <v>19</v>
      </c>
      <c r="S6" s="484" t="s">
        <v>20</v>
      </c>
      <c r="T6" s="484" t="s">
        <v>21</v>
      </c>
      <c r="U6" s="485" t="s">
        <v>22</v>
      </c>
      <c r="V6" s="486" t="s">
        <v>23</v>
      </c>
    </row>
    <row r="7" ht="12" customHeight="1">
      <c r="A7" s="1373" t="s">
        <v>24</v>
      </c>
      <c r="B7" s="1374" t="s">
        <v>1667</v>
      </c>
      <c r="C7" s="1375" t="s">
        <v>1668</v>
      </c>
      <c r="D7" s="1374" t="s">
        <v>34</v>
      </c>
      <c r="E7" s="1374" t="s">
        <v>771</v>
      </c>
      <c r="F7" s="1374" t="s">
        <v>87</v>
      </c>
      <c r="G7" s="1376">
        <v>1954705</v>
      </c>
      <c r="H7" s="1376"/>
      <c r="I7" s="1381">
        <f ref="I7:I20" t="shared" si="0">+$G$4*4.89%</f>
        <v>95585.0745</v>
      </c>
      <c r="J7" s="1381">
        <f ref="J7:J20" t="shared" si="1">+$G$4*4%</f>
        <v>78188.2</v>
      </c>
      <c r="K7" s="1381">
        <f ref="K7:K20" t="shared" si="2">+$G$4*2%</f>
        <v>39094.1</v>
      </c>
      <c r="L7" s="1382">
        <v>15000</v>
      </c>
      <c r="M7" s="295">
        <f>SUM(G7:L7)</f>
        <v>2182572.3745000004</v>
      </c>
      <c r="N7" s="1383">
        <f ref="N7:N20" t="shared" si="3">+M7*8%</f>
        <v>174605.78996000002</v>
      </c>
      <c r="O7" s="304">
        <v>585000</v>
      </c>
      <c r="P7" s="479"/>
      <c r="Q7" s="1387"/>
      <c r="R7" s="1388">
        <f ref="R7:R20" t="shared" si="4">SUM(M7:Q7)</f>
        <v>2942178.1644600006</v>
      </c>
      <c r="S7" s="1388">
        <f ref="S7:S20" t="shared" si="5">N7*0.1</f>
        <v>17460.578996000004</v>
      </c>
      <c r="T7" s="1389">
        <f ref="T7:T20" t="shared" si="6">R7+S7</f>
        <v>2959638.7434560005</v>
      </c>
      <c r="U7" s="1390">
        <v>44378</v>
      </c>
      <c r="V7" s="1391">
        <v>44469</v>
      </c>
    </row>
    <row r="8" ht="12" customHeight="1">
      <c r="A8" s="1377" t="s">
        <v>24</v>
      </c>
      <c r="B8" s="239" t="s">
        <v>1669</v>
      </c>
      <c r="C8" s="554" t="s">
        <v>1670</v>
      </c>
      <c r="D8" s="239" t="s">
        <v>34</v>
      </c>
      <c r="E8" s="239" t="s">
        <v>771</v>
      </c>
      <c r="F8" s="239" t="s">
        <v>87</v>
      </c>
      <c r="G8" s="244">
        <v>1954705</v>
      </c>
      <c r="H8" s="244"/>
      <c r="I8" s="298">
        <f t="shared" si="0"/>
        <v>95585.0745</v>
      </c>
      <c r="J8" s="298">
        <f t="shared" si="1"/>
        <v>78188.2</v>
      </c>
      <c r="K8" s="298">
        <f t="shared" si="2"/>
        <v>39094.1</v>
      </c>
      <c r="L8" s="304">
        <v>15000</v>
      </c>
      <c r="M8" s="295">
        <f ref="M8:M25" t="shared" si="7">SUM(G8:L8)</f>
        <v>2182572.3745000004</v>
      </c>
      <c r="N8" s="303">
        <f t="shared" si="3"/>
        <v>174605.78996000002</v>
      </c>
      <c r="O8" s="303">
        <v>845000</v>
      </c>
      <c r="P8" s="303"/>
      <c r="Q8" s="303"/>
      <c r="R8" s="335">
        <f t="shared" si="4"/>
        <v>3202178.1644600006</v>
      </c>
      <c r="S8" s="335">
        <f t="shared" si="5"/>
        <v>17460.578996000004</v>
      </c>
      <c r="T8" s="336">
        <f t="shared" si="6"/>
        <v>3219638.7434560005</v>
      </c>
      <c r="U8" s="339">
        <v>44336</v>
      </c>
      <c r="V8" s="340">
        <v>44439</v>
      </c>
      <c r="W8" s="419"/>
    </row>
    <row r="9" ht="12" customHeight="1">
      <c r="A9" s="1377" t="s">
        <v>24</v>
      </c>
      <c r="B9" s="239" t="s">
        <v>1671</v>
      </c>
      <c r="C9" s="554" t="s">
        <v>1672</v>
      </c>
      <c r="D9" s="239" t="s">
        <v>34</v>
      </c>
      <c r="E9" s="239" t="s">
        <v>771</v>
      </c>
      <c r="F9" s="239" t="s">
        <v>87</v>
      </c>
      <c r="G9" s="244">
        <v>1954705</v>
      </c>
      <c r="H9" s="471"/>
      <c r="I9" s="1351">
        <f t="shared" si="0"/>
        <v>95585.0745</v>
      </c>
      <c r="J9" s="1351">
        <f t="shared" si="1"/>
        <v>78188.2</v>
      </c>
      <c r="K9" s="1351">
        <f t="shared" si="2"/>
        <v>39094.1</v>
      </c>
      <c r="L9" s="479">
        <v>15000</v>
      </c>
      <c r="M9" s="295">
        <f t="shared" si="7"/>
        <v>2182572.3745000004</v>
      </c>
      <c r="N9" s="1352">
        <f t="shared" si="3"/>
        <v>174605.78996000002</v>
      </c>
      <c r="O9" s="304">
        <v>895000</v>
      </c>
      <c r="P9" s="304"/>
      <c r="Q9" s="303"/>
      <c r="R9" s="335">
        <f t="shared" si="4"/>
        <v>3252178.1644600006</v>
      </c>
      <c r="S9" s="335">
        <f t="shared" si="5"/>
        <v>17460.578996000004</v>
      </c>
      <c r="T9" s="336">
        <f t="shared" si="6"/>
        <v>3269638.7434560005</v>
      </c>
      <c r="U9" s="339">
        <v>44378</v>
      </c>
      <c r="V9" s="340">
        <v>44469</v>
      </c>
    </row>
    <row r="10" ht="12" customHeight="1">
      <c r="A10" s="1377" t="s">
        <v>24</v>
      </c>
      <c r="B10" s="239" t="s">
        <v>1673</v>
      </c>
      <c r="C10" s="554" t="s">
        <v>1674</v>
      </c>
      <c r="D10" s="239" t="s">
        <v>34</v>
      </c>
      <c r="E10" s="239" t="s">
        <v>771</v>
      </c>
      <c r="F10" s="239" t="s">
        <v>87</v>
      </c>
      <c r="G10" s="244">
        <v>1954705</v>
      </c>
      <c r="H10" s="244"/>
      <c r="I10" s="298">
        <f t="shared" si="0"/>
        <v>95585.0745</v>
      </c>
      <c r="J10" s="298">
        <f t="shared" si="1"/>
        <v>78188.2</v>
      </c>
      <c r="K10" s="298">
        <f t="shared" si="2"/>
        <v>39094.1</v>
      </c>
      <c r="L10" s="304">
        <v>15000</v>
      </c>
      <c r="M10" s="295">
        <f t="shared" si="7"/>
        <v>2182572.3745000004</v>
      </c>
      <c r="N10" s="303">
        <f t="shared" si="3"/>
        <v>174605.78996000002</v>
      </c>
      <c r="O10" s="303">
        <v>922500</v>
      </c>
      <c r="P10" s="303"/>
      <c r="Q10" s="303"/>
      <c r="R10" s="335">
        <f t="shared" si="4"/>
        <v>3279678.1644600006</v>
      </c>
      <c r="S10" s="335">
        <f t="shared" si="5"/>
        <v>17460.578996000004</v>
      </c>
      <c r="T10" s="336">
        <f t="shared" si="6"/>
        <v>3297138.7434560005</v>
      </c>
      <c r="U10" s="339">
        <v>44336</v>
      </c>
      <c r="V10" s="340">
        <v>44439</v>
      </c>
    </row>
    <row r="11" ht="12" customHeight="1">
      <c r="A11" s="1377" t="s">
        <v>24</v>
      </c>
      <c r="B11" s="239" t="s">
        <v>1675</v>
      </c>
      <c r="C11" s="554" t="s">
        <v>1676</v>
      </c>
      <c r="D11" s="239" t="s">
        <v>34</v>
      </c>
      <c r="E11" s="239" t="s">
        <v>771</v>
      </c>
      <c r="F11" s="239" t="s">
        <v>87</v>
      </c>
      <c r="G11" s="244">
        <v>1954705</v>
      </c>
      <c r="H11" s="471"/>
      <c r="I11" s="1351">
        <f t="shared" si="0"/>
        <v>95585.0745</v>
      </c>
      <c r="J11" s="1351">
        <f t="shared" si="1"/>
        <v>78188.2</v>
      </c>
      <c r="K11" s="1351">
        <f t="shared" si="2"/>
        <v>39094.1</v>
      </c>
      <c r="L11" s="479">
        <v>15000</v>
      </c>
      <c r="M11" s="295">
        <f t="shared" si="7"/>
        <v>2182572.3745000004</v>
      </c>
      <c r="N11" s="1352">
        <f t="shared" si="3"/>
        <v>174605.78996000002</v>
      </c>
      <c r="O11" s="304">
        <v>595000</v>
      </c>
      <c r="P11" s="304"/>
      <c r="Q11" s="303"/>
      <c r="R11" s="335">
        <f t="shared" si="4"/>
        <v>2952178.1644600006</v>
      </c>
      <c r="S11" s="335">
        <f t="shared" si="5"/>
        <v>17460.578996000004</v>
      </c>
      <c r="T11" s="336">
        <f t="shared" si="6"/>
        <v>2969638.7434560005</v>
      </c>
      <c r="U11" s="339">
        <v>44378</v>
      </c>
      <c r="V11" s="340">
        <v>44469</v>
      </c>
    </row>
    <row r="12" ht="12" customHeight="1">
      <c r="A12" s="1377" t="s">
        <v>24</v>
      </c>
      <c r="B12" s="239">
        <v>2214</v>
      </c>
      <c r="C12" s="554" t="s">
        <v>1677</v>
      </c>
      <c r="D12" s="239" t="s">
        <v>34</v>
      </c>
      <c r="E12" s="239" t="s">
        <v>771</v>
      </c>
      <c r="F12" s="239" t="s">
        <v>87</v>
      </c>
      <c r="G12" s="244">
        <v>1954705</v>
      </c>
      <c r="H12" s="244"/>
      <c r="I12" s="298">
        <f t="shared" si="0"/>
        <v>95585.0745</v>
      </c>
      <c r="J12" s="298">
        <f t="shared" si="1"/>
        <v>78188.2</v>
      </c>
      <c r="K12" s="298">
        <f t="shared" si="2"/>
        <v>39094.1</v>
      </c>
      <c r="L12" s="304">
        <v>15000</v>
      </c>
      <c r="M12" s="295">
        <f t="shared" si="7"/>
        <v>2182572.3745000004</v>
      </c>
      <c r="N12" s="303">
        <f t="shared" si="3"/>
        <v>174605.78996000002</v>
      </c>
      <c r="O12" s="304">
        <v>920000</v>
      </c>
      <c r="P12" s="304"/>
      <c r="Q12" s="303"/>
      <c r="R12" s="335">
        <f t="shared" si="4"/>
        <v>3277178.1644600006</v>
      </c>
      <c r="S12" s="335">
        <f t="shared" si="5"/>
        <v>17460.578996000004</v>
      </c>
      <c r="T12" s="336">
        <f t="shared" si="6"/>
        <v>3294638.7434560005</v>
      </c>
      <c r="U12" s="339">
        <v>44378</v>
      </c>
      <c r="V12" s="340">
        <v>44469</v>
      </c>
    </row>
    <row r="13" ht="12" customHeight="1">
      <c r="A13" s="1377" t="s">
        <v>24</v>
      </c>
      <c r="B13" s="239">
        <v>2216</v>
      </c>
      <c r="C13" s="554" t="s">
        <v>1678</v>
      </c>
      <c r="D13" s="239" t="s">
        <v>34</v>
      </c>
      <c r="E13" s="239" t="s">
        <v>771</v>
      </c>
      <c r="F13" s="239" t="s">
        <v>87</v>
      </c>
      <c r="G13" s="244">
        <v>1954705</v>
      </c>
      <c r="H13" s="244"/>
      <c r="I13" s="298">
        <f t="shared" si="0"/>
        <v>95585.0745</v>
      </c>
      <c r="J13" s="298">
        <f t="shared" si="1"/>
        <v>78188.2</v>
      </c>
      <c r="K13" s="298">
        <f t="shared" si="2"/>
        <v>39094.1</v>
      </c>
      <c r="L13" s="304">
        <v>15000</v>
      </c>
      <c r="M13" s="295">
        <f t="shared" si="7"/>
        <v>2182572.3745000004</v>
      </c>
      <c r="N13" s="303">
        <f t="shared" si="3"/>
        <v>174605.78996000002</v>
      </c>
      <c r="O13" s="304">
        <v>750000</v>
      </c>
      <c r="P13" s="304"/>
      <c r="Q13" s="303"/>
      <c r="R13" s="335">
        <f t="shared" si="4"/>
        <v>3107178.1644600006</v>
      </c>
      <c r="S13" s="335">
        <f t="shared" si="5"/>
        <v>17460.578996000004</v>
      </c>
      <c r="T13" s="336">
        <f t="shared" si="6"/>
        <v>3124638.7434560005</v>
      </c>
      <c r="U13" s="339">
        <v>44378</v>
      </c>
      <c r="V13" s="340">
        <v>44469</v>
      </c>
    </row>
    <row r="14" ht="12" customHeight="1">
      <c r="A14" s="1377" t="s">
        <v>24</v>
      </c>
      <c r="B14" s="239">
        <v>2213</v>
      </c>
      <c r="C14" s="554" t="s">
        <v>1679</v>
      </c>
      <c r="D14" s="239" t="s">
        <v>34</v>
      </c>
      <c r="E14" s="239" t="s">
        <v>771</v>
      </c>
      <c r="F14" s="239" t="s">
        <v>87</v>
      </c>
      <c r="G14" s="244">
        <v>1954705</v>
      </c>
      <c r="H14" s="244"/>
      <c r="I14" s="298">
        <f t="shared" si="0"/>
        <v>95585.0745</v>
      </c>
      <c r="J14" s="298">
        <f t="shared" si="1"/>
        <v>78188.2</v>
      </c>
      <c r="K14" s="298">
        <f t="shared" si="2"/>
        <v>39094.1</v>
      </c>
      <c r="L14" s="304">
        <v>15000</v>
      </c>
      <c r="M14" s="295">
        <f t="shared" si="7"/>
        <v>2182572.3745000004</v>
      </c>
      <c r="N14" s="303">
        <f t="shared" si="3"/>
        <v>174605.78996000002</v>
      </c>
      <c r="O14" s="304">
        <v>825000</v>
      </c>
      <c r="P14" s="304"/>
      <c r="Q14" s="303"/>
      <c r="R14" s="335">
        <f t="shared" si="4"/>
        <v>3182178.1644600006</v>
      </c>
      <c r="S14" s="335">
        <f t="shared" si="5"/>
        <v>17460.578996000004</v>
      </c>
      <c r="T14" s="336">
        <f t="shared" si="6"/>
        <v>3199638.7434560005</v>
      </c>
      <c r="U14" s="339">
        <v>44378</v>
      </c>
      <c r="V14" s="340">
        <v>44469</v>
      </c>
    </row>
    <row r="15" ht="12" customHeight="1">
      <c r="A15" s="1377" t="s">
        <v>24</v>
      </c>
      <c r="B15" s="1378" t="s">
        <v>1680</v>
      </c>
      <c r="C15" s="1379" t="s">
        <v>1681</v>
      </c>
      <c r="D15" s="1378" t="s">
        <v>34</v>
      </c>
      <c r="E15" s="1378" t="s">
        <v>771</v>
      </c>
      <c r="F15" s="1378" t="s">
        <v>87</v>
      </c>
      <c r="G15" s="1380">
        <v>1954705</v>
      </c>
      <c r="H15" s="1380"/>
      <c r="I15" s="1384">
        <f t="shared" si="0"/>
        <v>95585.0745</v>
      </c>
      <c r="J15" s="1384">
        <f t="shared" si="1"/>
        <v>78188.2</v>
      </c>
      <c r="K15" s="1384">
        <f t="shared" si="2"/>
        <v>39094.1</v>
      </c>
      <c r="L15" s="1385">
        <v>15000</v>
      </c>
      <c r="M15" s="295">
        <f t="shared" si="7"/>
        <v>2182572.3745000004</v>
      </c>
      <c r="N15" s="1386">
        <f t="shared" si="3"/>
        <v>174605.78996000002</v>
      </c>
      <c r="O15" s="304">
        <v>920000</v>
      </c>
      <c r="P15" s="304"/>
      <c r="Q15" s="1386"/>
      <c r="R15" s="1392">
        <f t="shared" si="4"/>
        <v>3277178.1644600006</v>
      </c>
      <c r="S15" s="1392">
        <f t="shared" si="5"/>
        <v>17460.578996000004</v>
      </c>
      <c r="T15" s="1393">
        <f t="shared" si="6"/>
        <v>3294638.7434560005</v>
      </c>
      <c r="U15" s="1394">
        <v>44378</v>
      </c>
      <c r="V15" s="1395">
        <v>44469</v>
      </c>
      <c r="W15" s="1396"/>
    </row>
    <row r="16" ht="12" customHeight="1">
      <c r="A16" s="1377" t="s">
        <v>24</v>
      </c>
      <c r="B16" s="239" t="s">
        <v>1682</v>
      </c>
      <c r="C16" s="554" t="s">
        <v>1683</v>
      </c>
      <c r="D16" s="239" t="s">
        <v>34</v>
      </c>
      <c r="E16" s="239" t="s">
        <v>771</v>
      </c>
      <c r="F16" s="239" t="s">
        <v>87</v>
      </c>
      <c r="G16" s="471">
        <v>1954705</v>
      </c>
      <c r="H16" s="471"/>
      <c r="I16" s="298">
        <f t="shared" si="0"/>
        <v>95585.0745</v>
      </c>
      <c r="J16" s="298">
        <f t="shared" si="1"/>
        <v>78188.2</v>
      </c>
      <c r="K16" s="298">
        <f t="shared" si="2"/>
        <v>39094.1</v>
      </c>
      <c r="L16" s="304">
        <v>15000</v>
      </c>
      <c r="M16" s="295">
        <f t="shared" si="7"/>
        <v>2182572.3745000004</v>
      </c>
      <c r="N16" s="303">
        <f t="shared" si="3"/>
        <v>174605.78996000002</v>
      </c>
      <c r="O16" s="303">
        <v>855000</v>
      </c>
      <c r="P16" s="303"/>
      <c r="Q16" s="303"/>
      <c r="R16" s="335">
        <f t="shared" si="4"/>
        <v>3212178.1644600006</v>
      </c>
      <c r="S16" s="335">
        <f t="shared" si="5"/>
        <v>17460.578996000004</v>
      </c>
      <c r="T16" s="336">
        <f t="shared" si="6"/>
        <v>3229638.7434560005</v>
      </c>
      <c r="U16" s="339">
        <v>44335</v>
      </c>
      <c r="V16" s="340">
        <v>44439</v>
      </c>
    </row>
    <row r="17" ht="12" customHeight="1">
      <c r="A17" s="1377" t="s">
        <v>24</v>
      </c>
      <c r="B17" s="239" t="s">
        <v>1684</v>
      </c>
      <c r="C17" s="554" t="s">
        <v>1685</v>
      </c>
      <c r="D17" s="239" t="s">
        <v>34</v>
      </c>
      <c r="E17" s="239" t="s">
        <v>771</v>
      </c>
      <c r="F17" s="239" t="s">
        <v>87</v>
      </c>
      <c r="G17" s="471">
        <v>1954705</v>
      </c>
      <c r="H17" s="471"/>
      <c r="I17" s="298">
        <f t="shared" si="0"/>
        <v>95585.0745</v>
      </c>
      <c r="J17" s="298">
        <f t="shared" si="1"/>
        <v>78188.2</v>
      </c>
      <c r="K17" s="298">
        <f t="shared" si="2"/>
        <v>39094.1</v>
      </c>
      <c r="L17" s="304">
        <v>15000</v>
      </c>
      <c r="M17" s="295">
        <f t="shared" si="7"/>
        <v>2182572.3745000004</v>
      </c>
      <c r="N17" s="303">
        <f t="shared" si="3"/>
        <v>174605.78996000002</v>
      </c>
      <c r="O17" s="303">
        <v>730000</v>
      </c>
      <c r="P17" s="303"/>
      <c r="Q17" s="303"/>
      <c r="R17" s="335">
        <f t="shared" si="4"/>
        <v>3087178.1644600006</v>
      </c>
      <c r="S17" s="335">
        <f t="shared" si="5"/>
        <v>17460.578996000004</v>
      </c>
      <c r="T17" s="336">
        <f t="shared" si="6"/>
        <v>3104638.7434560005</v>
      </c>
      <c r="U17" s="339">
        <v>44336</v>
      </c>
      <c r="V17" s="340">
        <v>44439</v>
      </c>
    </row>
    <row r="18" ht="12" customHeight="1">
      <c r="A18" s="1377" t="s">
        <v>24</v>
      </c>
      <c r="B18" s="239" t="s">
        <v>1686</v>
      </c>
      <c r="C18" s="554" t="s">
        <v>1687</v>
      </c>
      <c r="D18" s="239" t="s">
        <v>34</v>
      </c>
      <c r="E18" s="239" t="s">
        <v>771</v>
      </c>
      <c r="F18" s="239" t="s">
        <v>87</v>
      </c>
      <c r="G18" s="471">
        <v>1954705</v>
      </c>
      <c r="H18" s="471"/>
      <c r="I18" s="298">
        <f t="shared" si="0"/>
        <v>95585.0745</v>
      </c>
      <c r="J18" s="298">
        <f t="shared" si="1"/>
        <v>78188.2</v>
      </c>
      <c r="K18" s="298">
        <f t="shared" si="2"/>
        <v>39094.1</v>
      </c>
      <c r="L18" s="304">
        <v>15000</v>
      </c>
      <c r="M18" s="295">
        <f t="shared" si="7"/>
        <v>2182572.3745000004</v>
      </c>
      <c r="N18" s="303">
        <f t="shared" si="3"/>
        <v>174605.78996000002</v>
      </c>
      <c r="O18" s="304">
        <v>705000</v>
      </c>
      <c r="P18" s="304"/>
      <c r="Q18" s="303"/>
      <c r="R18" s="335">
        <f t="shared" si="4"/>
        <v>3062178.1644600006</v>
      </c>
      <c r="S18" s="335">
        <f t="shared" si="5"/>
        <v>17460.578996000004</v>
      </c>
      <c r="T18" s="336">
        <f t="shared" si="6"/>
        <v>3079638.7434560005</v>
      </c>
      <c r="U18" s="339">
        <v>44378</v>
      </c>
      <c r="V18" s="340">
        <v>44469</v>
      </c>
    </row>
    <row r="19" ht="12" customHeight="1">
      <c r="A19" s="1377" t="s">
        <v>24</v>
      </c>
      <c r="B19" s="239">
        <v>2215</v>
      </c>
      <c r="C19" s="554" t="s">
        <v>1688</v>
      </c>
      <c r="D19" s="239" t="s">
        <v>34</v>
      </c>
      <c r="E19" s="239" t="s">
        <v>771</v>
      </c>
      <c r="F19" s="239" t="s">
        <v>87</v>
      </c>
      <c r="G19" s="471">
        <v>1954705</v>
      </c>
      <c r="H19" s="471"/>
      <c r="I19" s="298">
        <f t="shared" si="0"/>
        <v>95585.0745</v>
      </c>
      <c r="J19" s="298">
        <f t="shared" si="1"/>
        <v>78188.2</v>
      </c>
      <c r="K19" s="298">
        <f t="shared" si="2"/>
        <v>39094.1</v>
      </c>
      <c r="L19" s="304">
        <v>15000</v>
      </c>
      <c r="M19" s="295">
        <f t="shared" si="7"/>
        <v>2182572.3745000004</v>
      </c>
      <c r="N19" s="303">
        <f t="shared" si="3"/>
        <v>174605.78996000002</v>
      </c>
      <c r="O19" s="304">
        <v>970000</v>
      </c>
      <c r="P19" s="304"/>
      <c r="Q19" s="303"/>
      <c r="R19" s="335">
        <f t="shared" si="4"/>
        <v>3327178.1644600006</v>
      </c>
      <c r="S19" s="335">
        <f t="shared" si="5"/>
        <v>17460.578996000004</v>
      </c>
      <c r="T19" s="336">
        <f t="shared" si="6"/>
        <v>3344638.7434560005</v>
      </c>
      <c r="U19" s="339">
        <v>44378</v>
      </c>
      <c r="V19" s="340">
        <v>44469</v>
      </c>
    </row>
    <row r="20" ht="12" customHeight="1">
      <c r="A20" s="1377" t="s">
        <v>24</v>
      </c>
      <c r="B20" s="239" t="s">
        <v>1689</v>
      </c>
      <c r="C20" s="554" t="s">
        <v>1690</v>
      </c>
      <c r="D20" s="239" t="s">
        <v>34</v>
      </c>
      <c r="E20" s="239" t="s">
        <v>771</v>
      </c>
      <c r="F20" s="239" t="s">
        <v>87</v>
      </c>
      <c r="G20" s="471">
        <v>1954705</v>
      </c>
      <c r="H20" s="471"/>
      <c r="I20" s="298">
        <f t="shared" si="0"/>
        <v>95585.0745</v>
      </c>
      <c r="J20" s="298">
        <f t="shared" si="1"/>
        <v>78188.2</v>
      </c>
      <c r="K20" s="298">
        <f t="shared" si="2"/>
        <v>39094.1</v>
      </c>
      <c r="L20" s="304">
        <v>15000</v>
      </c>
      <c r="M20" s="295">
        <f t="shared" si="7"/>
        <v>2182572.3745000004</v>
      </c>
      <c r="N20" s="303">
        <f t="shared" si="3"/>
        <v>174605.78996000002</v>
      </c>
      <c r="O20" s="303">
        <v>600000</v>
      </c>
      <c r="P20" s="303"/>
      <c r="Q20" s="303"/>
      <c r="R20" s="335">
        <f t="shared" si="4"/>
        <v>2957178.1644600006</v>
      </c>
      <c r="S20" s="335">
        <f t="shared" si="5"/>
        <v>17460.578996000004</v>
      </c>
      <c r="T20" s="336">
        <f t="shared" si="6"/>
        <v>2974638.7434560005</v>
      </c>
      <c r="U20" s="339">
        <v>44341</v>
      </c>
      <c r="V20" s="340">
        <v>44439</v>
      </c>
    </row>
    <row r="21" ht="12" customHeight="1" s="1592" customFormat="1">
      <c r="A21" s="1576" t="s">
        <v>24</v>
      </c>
      <c r="B21" s="1578" t="s">
        <v>1663</v>
      </c>
      <c r="C21" s="1614" t="s">
        <v>1664</v>
      </c>
      <c r="D21" s="1578" t="s">
        <v>34</v>
      </c>
      <c r="E21" s="1578" t="s">
        <v>771</v>
      </c>
      <c r="F21" s="1578" t="s">
        <v>87</v>
      </c>
      <c r="G21" s="1653">
        <v>1954705</v>
      </c>
      <c r="H21" s="1653"/>
      <c r="I21" s="1582">
        <f ref="I21:I25" t="shared" si="9">+$G$4*4.89%</f>
        <v>95585.0745</v>
      </c>
      <c r="J21" s="1582">
        <f ref="J21:J25" t="shared" si="10">+$G$4*4%</f>
        <v>78188.2</v>
      </c>
      <c r="K21" s="1582">
        <f ref="K21:K25" t="shared" si="11">+$G$4*2%</f>
        <v>39094.1</v>
      </c>
      <c r="L21" s="1583">
        <v>15000</v>
      </c>
      <c r="M21" s="295">
        <f t="shared" si="7"/>
        <v>2182572.3745000004</v>
      </c>
      <c r="N21" s="1584">
        <f ref="N21:N24" t="shared" si="12">+M21*8%</f>
        <v>174605.78996000002</v>
      </c>
      <c r="O21" s="1584">
        <v>375000</v>
      </c>
      <c r="P21" s="1584"/>
      <c r="Q21" s="1584"/>
      <c r="R21" s="1588">
        <f ref="R21:R24" t="shared" si="13">SUM(M21:Q21)</f>
        <v>2732178.1644600006</v>
      </c>
      <c r="S21" s="1588">
        <f ref="S21:S24" t="shared" si="14">N21*0.1</f>
        <v>17460.578996000004</v>
      </c>
      <c r="T21" s="1589">
        <f ref="T21:T24" t="shared" si="15">R21+S21</f>
        <v>2749638.7434560005</v>
      </c>
      <c r="U21" s="1616">
        <v>44385</v>
      </c>
      <c r="V21" s="1654">
        <v>44469</v>
      </c>
    </row>
    <row r="22" ht="12" customHeight="1" s="1592" customFormat="1">
      <c r="A22" s="1576" t="s">
        <v>24</v>
      </c>
      <c r="B22" s="1578" t="s">
        <v>1665</v>
      </c>
      <c r="C22" s="1614" t="s">
        <v>1666</v>
      </c>
      <c r="D22" s="1578" t="s">
        <v>34</v>
      </c>
      <c r="E22" s="1578" t="s">
        <v>771</v>
      </c>
      <c r="F22" s="1578" t="s">
        <v>87</v>
      </c>
      <c r="G22" s="1653">
        <v>1954705</v>
      </c>
      <c r="H22" s="1653"/>
      <c r="I22" s="1582">
        <f t="shared" si="9"/>
        <v>95585.0745</v>
      </c>
      <c r="J22" s="1582">
        <f t="shared" si="10"/>
        <v>78188.2</v>
      </c>
      <c r="K22" s="1582">
        <f t="shared" si="11"/>
        <v>39094.1</v>
      </c>
      <c r="L22" s="1583">
        <v>15000</v>
      </c>
      <c r="M22" s="295">
        <f t="shared" si="7"/>
        <v>2182572.3745000004</v>
      </c>
      <c r="N22" s="1584">
        <f t="shared" si="12"/>
        <v>174605.78996000002</v>
      </c>
      <c r="O22" s="1584">
        <v>300000</v>
      </c>
      <c r="P22" s="1584"/>
      <c r="Q22" s="1584"/>
      <c r="R22" s="1588">
        <f t="shared" si="13"/>
        <v>2657178.1644600006</v>
      </c>
      <c r="S22" s="1588">
        <f t="shared" si="14"/>
        <v>17460.578996000004</v>
      </c>
      <c r="T22" s="1589">
        <f t="shared" si="15"/>
        <v>2674638.7434560005</v>
      </c>
      <c r="U22" s="1616">
        <v>44385</v>
      </c>
      <c r="V22" s="1654">
        <v>44469</v>
      </c>
    </row>
    <row r="23" ht="12" customHeight="1" s="1592" customFormat="1">
      <c r="A23" s="1576" t="s">
        <v>24</v>
      </c>
      <c r="B23" s="1578" t="s">
        <v>1691</v>
      </c>
      <c r="C23" s="1614" t="s">
        <v>1692</v>
      </c>
      <c r="D23" s="1578" t="s">
        <v>34</v>
      </c>
      <c r="E23" s="1578" t="s">
        <v>771</v>
      </c>
      <c r="F23" s="1578" t="s">
        <v>87</v>
      </c>
      <c r="G23" s="1653">
        <v>1954705</v>
      </c>
      <c r="H23" s="1653"/>
      <c r="I23" s="1582">
        <f t="shared" si="9"/>
        <v>95585.0745</v>
      </c>
      <c r="J23" s="1582">
        <f t="shared" si="10"/>
        <v>78188.2</v>
      </c>
      <c r="K23" s="1582">
        <f t="shared" si="11"/>
        <v>39094.1</v>
      </c>
      <c r="L23" s="1583">
        <v>15000</v>
      </c>
      <c r="M23" s="295">
        <f t="shared" si="7"/>
        <v>2182572.3745000004</v>
      </c>
      <c r="N23" s="1584">
        <f t="shared" si="12"/>
        <v>174605.78996000002</v>
      </c>
      <c r="O23" s="1584">
        <v>205000</v>
      </c>
      <c r="P23" s="1584"/>
      <c r="Q23" s="1584"/>
      <c r="R23" s="1588">
        <f t="shared" si="13"/>
        <v>2562178.1644600006</v>
      </c>
      <c r="S23" s="1588">
        <f t="shared" si="14"/>
        <v>17460.578996000004</v>
      </c>
      <c r="T23" s="1589">
        <f t="shared" si="15"/>
        <v>2579638.7434560005</v>
      </c>
      <c r="U23" s="1616">
        <v>44392</v>
      </c>
      <c r="V23" s="1654">
        <v>44469</v>
      </c>
    </row>
    <row r="24" ht="12" customHeight="1" s="1592" customFormat="1">
      <c r="A24" s="1576" t="s">
        <v>24</v>
      </c>
      <c r="B24" s="1578" t="s">
        <v>1693</v>
      </c>
      <c r="C24" s="1614" t="s">
        <v>1694</v>
      </c>
      <c r="D24" s="1578" t="s">
        <v>34</v>
      </c>
      <c r="E24" s="1578" t="s">
        <v>771</v>
      </c>
      <c r="F24" s="1578" t="s">
        <v>87</v>
      </c>
      <c r="G24" s="1653">
        <v>1954705</v>
      </c>
      <c r="H24" s="1653"/>
      <c r="I24" s="1582">
        <f t="shared" si="9"/>
        <v>95585.0745</v>
      </c>
      <c r="J24" s="1582">
        <f t="shared" si="10"/>
        <v>78188.2</v>
      </c>
      <c r="K24" s="1582">
        <f t="shared" si="11"/>
        <v>39094.1</v>
      </c>
      <c r="L24" s="1583">
        <v>15000</v>
      </c>
      <c r="M24" s="295">
        <f t="shared" si="7"/>
        <v>2182572.3745000004</v>
      </c>
      <c r="N24" s="1584">
        <f t="shared" si="12"/>
        <v>174605.78996000002</v>
      </c>
      <c r="O24" s="1584">
        <v>275000</v>
      </c>
      <c r="P24" s="1584"/>
      <c r="Q24" s="1584"/>
      <c r="R24" s="1588">
        <f t="shared" si="13"/>
        <v>2632178.1644600006</v>
      </c>
      <c r="S24" s="1588">
        <f t="shared" si="14"/>
        <v>17460.578996000004</v>
      </c>
      <c r="T24" s="1589">
        <f t="shared" si="15"/>
        <v>2649638.7434560005</v>
      </c>
      <c r="U24" s="1616">
        <v>44392</v>
      </c>
      <c r="V24" s="1654">
        <v>44469</v>
      </c>
    </row>
    <row r="25" ht="12" customHeight="1" s="1592" customFormat="1">
      <c r="A25" s="1576" t="s">
        <v>24</v>
      </c>
      <c r="B25" s="1578">
        <v>2861</v>
      </c>
      <c r="C25" s="1614" t="s">
        <v>1695</v>
      </c>
      <c r="D25" s="1578" t="s">
        <v>34</v>
      </c>
      <c r="E25" s="1578" t="s">
        <v>771</v>
      </c>
      <c r="F25" s="1578" t="s">
        <v>87</v>
      </c>
      <c r="G25" s="1653">
        <f>1954705/31*5</f>
        <v>315275</v>
      </c>
      <c r="H25" s="1653"/>
      <c r="I25" s="1582">
        <f t="shared" si="9"/>
        <v>95585.0745</v>
      </c>
      <c r="J25" s="1582">
        <f t="shared" si="10"/>
        <v>78188.2</v>
      </c>
      <c r="K25" s="1582">
        <f t="shared" si="11"/>
        <v>39094.1</v>
      </c>
      <c r="L25" s="1583">
        <v>15000</v>
      </c>
      <c r="M25" s="295">
        <f t="shared" si="7"/>
        <v>543142.3745</v>
      </c>
      <c r="N25" s="1584">
        <f>+M25*8%</f>
        <v>43451.38996</v>
      </c>
      <c r="O25" s="1584"/>
      <c r="P25" s="1584"/>
      <c r="Q25" s="1584"/>
      <c r="R25" s="1588">
        <f>SUM(M25:Q25)</f>
        <v>586593.76446</v>
      </c>
      <c r="S25" s="1588">
        <f>N25*0.1</f>
        <v>4345.138996000001</v>
      </c>
      <c r="T25" s="1589">
        <f>R25+S25</f>
        <v>590938.903456</v>
      </c>
      <c r="U25" s="1616">
        <v>44419</v>
      </c>
      <c r="V25" s="1654">
        <v>44500</v>
      </c>
      <c r="W25" s="1592" t="s">
        <v>1696</v>
      </c>
    </row>
    <row r="26" ht="12" customHeight="1">
      <c r="A26" s="1744" t="s">
        <v>30</v>
      </c>
      <c r="B26" s="1867"/>
      <c r="C26" s="1745"/>
      <c r="D26" s="1745"/>
      <c r="E26" s="1745"/>
      <c r="F26" s="1745"/>
      <c r="G26" s="234">
        <f ref="G26:T26" t="shared" si="20">SUM(G7:G25)</f>
        <v>35499965</v>
      </c>
      <c r="H26" s="234">
        <f t="shared" si="20"/>
        <v>0</v>
      </c>
      <c r="I26" s="234">
        <f t="shared" si="20"/>
        <v>1816116.4155000008</v>
      </c>
      <c r="J26" s="234">
        <f t="shared" si="20"/>
        <v>1485575.7999999996</v>
      </c>
      <c r="K26" s="234">
        <f t="shared" si="20"/>
        <v>742787.8999999998</v>
      </c>
      <c r="L26" s="234">
        <f t="shared" si="20"/>
        <v>285000</v>
      </c>
      <c r="M26" s="234">
        <f t="shared" si="20"/>
        <v>39829445.115499996</v>
      </c>
      <c r="N26" s="234">
        <f t="shared" si="20"/>
        <v>3186355.6092400006</v>
      </c>
      <c r="O26" s="234">
        <f t="shared" si="20"/>
        <v>12272500</v>
      </c>
      <c r="P26" s="234">
        <f t="shared" si="20"/>
        <v>0</v>
      </c>
      <c r="Q26" s="234">
        <f t="shared" si="20"/>
        <v>0</v>
      </c>
      <c r="R26" s="234">
        <f t="shared" si="20"/>
        <v>55288300.72474002</v>
      </c>
      <c r="S26" s="234">
        <f t="shared" si="20"/>
        <v>318635.560924</v>
      </c>
      <c r="T26" s="234">
        <f t="shared" si="20"/>
        <v>55606936.28566399</v>
      </c>
      <c r="U26" s="332"/>
      <c r="V26" s="333"/>
    </row>
    <row r="27" ht="12" customHeight="1">
      <c r="A27" s="0" t="s">
        <v>30</v>
      </c>
      <c r="B27" s="1861"/>
      <c r="C27" s="209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V27" s="317"/>
    </row>
    <row r="28" ht="12" customHeight="1">
      <c r="A28" s="0" t="s">
        <v>30</v>
      </c>
      <c r="B28" s="1861"/>
      <c r="C28" s="387"/>
      <c r="D28" s="262"/>
      <c r="E28" s="263"/>
      <c r="F28" s="264"/>
      <c r="G28" s="210"/>
      <c r="H28" s="2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48"/>
      <c r="V28" s="317"/>
    </row>
    <row r="29" ht="12" customHeight="1">
      <c r="A29" s="0" t="s">
        <v>30</v>
      </c>
      <c r="B29" s="1869"/>
      <c r="C29" s="264" t="str">
        <f>+'MALANG BAT 2 AGUSTUS - OK'!C11</f>
        <v>Karawang, 16 Agustus 2021</v>
      </c>
      <c r="D29" s="270"/>
      <c r="E29" s="270"/>
      <c r="F29" s="270"/>
      <c r="G29" s="271"/>
      <c r="H29" s="271"/>
      <c r="I29" s="310"/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48"/>
    </row>
    <row r="30" ht="12" customHeight="1">
      <c r="A30" s="0" t="s">
        <v>30</v>
      </c>
      <c r="B30" s="1870"/>
      <c r="C30" s="264" t="s">
        <v>38</v>
      </c>
      <c r="D30" s="263"/>
      <c r="E30" s="264"/>
      <c r="F30" s="264"/>
      <c r="G30" s="210"/>
      <c r="H30" s="210"/>
      <c r="I30" s="270"/>
      <c r="J30" s="270"/>
      <c r="K30" s="270"/>
      <c r="L30" s="270"/>
      <c r="M30" s="270"/>
      <c r="N30" s="310"/>
      <c r="O30" s="310"/>
      <c r="P30" s="310"/>
      <c r="Q30" s="310"/>
      <c r="R30" s="310"/>
      <c r="S30" s="270"/>
      <c r="T30" s="270"/>
      <c r="U30" s="310"/>
      <c r="V30" s="348"/>
    </row>
    <row r="31" ht="12" customHeight="1">
      <c r="A31" s="0" t="s">
        <v>30</v>
      </c>
      <c r="B31" s="1869"/>
      <c r="C31" s="445"/>
      <c r="D31" s="274"/>
      <c r="E31" s="264"/>
      <c r="F31" s="264"/>
      <c r="G31" s="275"/>
      <c r="H31" s="275"/>
      <c r="I31" s="262"/>
      <c r="J31" s="262"/>
      <c r="K31" s="262"/>
      <c r="L31" s="312"/>
      <c r="M31" s="263" t="s">
        <v>39</v>
      </c>
      <c r="N31" s="313"/>
      <c r="O31" s="313"/>
      <c r="P31" s="313"/>
      <c r="S31" s="349"/>
      <c r="T31" s="270"/>
      <c r="U31" s="313"/>
      <c r="V31" s="348"/>
    </row>
    <row r="32" ht="12" customHeight="1">
      <c r="A32" s="0" t="s">
        <v>30</v>
      </c>
      <c r="B32" s="1871"/>
      <c r="C32" s="446"/>
      <c r="D32" s="209"/>
      <c r="G32" s="275"/>
      <c r="H32" s="275"/>
      <c r="I32" s="262"/>
      <c r="J32" s="315"/>
      <c r="K32" s="262"/>
      <c r="L32" s="312"/>
      <c r="M32" s="262"/>
      <c r="N32" s="270"/>
      <c r="O32" s="270"/>
      <c r="P32" s="270"/>
      <c r="Q32" s="270"/>
      <c r="R32" s="270"/>
      <c r="S32" s="349"/>
      <c r="T32" s="270"/>
      <c r="U32" s="270"/>
      <c r="V32" s="348"/>
    </row>
    <row r="33" ht="12" customHeight="1">
      <c r="A33" s="0" t="s">
        <v>30</v>
      </c>
      <c r="B33" s="1871"/>
      <c r="C33" s="446"/>
      <c r="D33" s="209"/>
      <c r="G33" s="210"/>
      <c r="H33" s="210"/>
      <c r="I33" s="210"/>
      <c r="J33" s="270"/>
      <c r="K33" s="270"/>
      <c r="L33" s="310"/>
      <c r="M33" s="270"/>
      <c r="N33" s="270"/>
      <c r="O33" s="270"/>
      <c r="P33" s="270"/>
      <c r="Q33" s="270"/>
      <c r="R33" s="270"/>
      <c r="S33" s="208"/>
      <c r="T33" s="270"/>
      <c r="U33" s="270"/>
      <c r="V33" s="348"/>
    </row>
    <row r="34" ht="12" customHeight="1">
      <c r="A34" s="0" t="s">
        <v>30</v>
      </c>
      <c r="B34" s="1869"/>
      <c r="C34" s="445"/>
      <c r="D34" s="274"/>
      <c r="E34" s="264"/>
      <c r="F34" s="264"/>
      <c r="G34" s="275"/>
      <c r="H34" s="275"/>
      <c r="I34" s="275"/>
      <c r="J34" s="262"/>
      <c r="K34" s="262"/>
      <c r="L34" s="312"/>
      <c r="M34" s="262"/>
      <c r="N34" s="262"/>
      <c r="O34" s="262"/>
      <c r="P34" s="262"/>
      <c r="Q34" s="262"/>
      <c r="R34" s="262"/>
      <c r="S34" s="264"/>
      <c r="T34" s="270"/>
      <c r="U34" s="270"/>
      <c r="V34" s="348"/>
    </row>
    <row r="35" ht="12" customHeight="1">
      <c r="A35" s="0" t="s">
        <v>30</v>
      </c>
      <c r="B35" s="1870"/>
      <c r="C35" s="264"/>
      <c r="D35" s="264"/>
      <c r="E35" s="264"/>
      <c r="F35" s="264"/>
      <c r="G35" s="275"/>
      <c r="H35" s="275"/>
      <c r="I35" s="275"/>
      <c r="J35" s="262"/>
      <c r="K35" s="262"/>
      <c r="L35" s="312"/>
      <c r="M35" s="262"/>
      <c r="N35" s="262"/>
      <c r="O35" s="262"/>
      <c r="P35" s="262"/>
      <c r="Q35" s="262"/>
      <c r="R35" s="262"/>
      <c r="S35" s="264"/>
      <c r="T35" s="208"/>
      <c r="U35" s="270"/>
      <c r="V35" s="348"/>
    </row>
    <row r="36" ht="12" customHeight="1">
      <c r="A36" s="0" t="s">
        <v>30</v>
      </c>
      <c r="B36" s="1870"/>
      <c r="C36" s="264"/>
      <c r="D36" s="264"/>
      <c r="E36" s="264"/>
      <c r="F36" s="264"/>
      <c r="G36" s="275"/>
      <c r="H36" s="275"/>
      <c r="I36" s="275"/>
      <c r="J36" s="262"/>
      <c r="K36" s="262"/>
      <c r="L36" s="312"/>
      <c r="M36" s="262"/>
      <c r="N36" s="262"/>
      <c r="O36" s="262"/>
      <c r="P36" s="262"/>
      <c r="Q36" s="262"/>
      <c r="R36" s="262"/>
      <c r="S36" s="264"/>
      <c r="T36" s="270"/>
      <c r="U36" s="387"/>
      <c r="V36" s="348"/>
    </row>
    <row r="37" ht="12" customHeight="1">
      <c r="A37" s="0" t="s">
        <v>30</v>
      </c>
      <c r="B37" s="1870"/>
      <c r="C37" s="264" t="s">
        <v>40</v>
      </c>
      <c r="D37" s="568"/>
      <c r="E37" s="264"/>
      <c r="F37" s="264"/>
      <c r="G37" s="275"/>
      <c r="H37" s="275"/>
      <c r="I37" s="275"/>
      <c r="J37" s="312" t="s">
        <v>41</v>
      </c>
      <c r="K37" s="263"/>
      <c r="L37" s="263"/>
      <c r="M37" s="263" t="s">
        <v>42</v>
      </c>
      <c r="O37" s="264" t="s">
        <v>43</v>
      </c>
      <c r="R37" s="263"/>
      <c r="U37" s="387"/>
      <c r="V37" s="350"/>
    </row>
  </sheetData>
  <sortState ref="A7:Y20">
    <sortCondition ref="C7:C20"/>
  </sortState>
  <mergeCells>
    <mergeCell ref="A26:F26"/>
  </mergeCells>
  <printOptions horizontalCentered="1"/>
  <pageMargins left="0" right="0" top="0.75" bottom="0.75" header="0.3" footer="0.3"/>
  <pageSetup paperSize="9" scale="75" orientation="landscape"/>
  <headerFooter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 tint="-0.499984740745262"/>
  </sheetPr>
  <dimension ref="A1:V20"/>
  <sheetViews>
    <sheetView workbookViewId="0">
      <pane xSplit="7" ySplit="6" topLeftCell="J7" activePane="bottomRight" state="frozen"/>
      <selection pane="topRight"/>
      <selection pane="bottomLeft"/>
      <selection pane="bottomRight" activeCell="T9" sqref="T9"/>
    </sheetView>
  </sheetViews>
  <sheetFormatPr defaultColWidth="9.140625" defaultRowHeight="12" customHeight="1"/>
  <cols>
    <col min="1" max="2" width="4.85546875" customWidth="1"/>
    <col min="3" max="3" width="25.7109375" customWidth="1"/>
    <col min="4" max="4" width="6" customWidth="1"/>
    <col min="5" max="5" hidden="1" width="6" customWidth="1"/>
    <col min="6" max="6" hidden="1" width="7.42578125" customWidth="1"/>
    <col min="7" max="8" width="9.5703125" customWidth="1"/>
    <col min="9" max="9" width="7.7109375" customWidth="1"/>
    <col min="10" max="15" width="10.42578125" customWidth="1"/>
    <col min="16" max="17" hidden="1" width="10.42578125" customWidth="1"/>
    <col min="18" max="19" width="10.42578125" customWidth="1"/>
    <col min="20" max="20" width="13.140625" customWidth="1"/>
    <col min="21" max="21" width="8.42578125" customWidth="1"/>
    <col min="22" max="22" width="10.28515625" customWidth="1"/>
    <col min="23" max="23" width="4" customWidth="1"/>
  </cols>
  <sheetData>
    <row r="1" ht="12" customHeight="1">
      <c r="A1" s="207" t="s">
        <v>0</v>
      </c>
      <c r="C1" s="209"/>
      <c r="G1" s="210"/>
      <c r="H1" s="210"/>
      <c r="M1" s="210"/>
      <c r="V1" s="317"/>
    </row>
    <row r="2" ht="12" customHeight="1">
      <c r="A2" s="207" t="s">
        <v>1662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 ht="15">
      <c r="A3" s="1354" t="str">
        <f>+'PROBOLINGGO ANTERAJA AGUST - OK'!A3</f>
        <v>Periode Bulan Agustus  2021</v>
      </c>
      <c r="C3" s="209"/>
      <c r="G3" s="213"/>
      <c r="H3" s="213"/>
      <c r="I3" s="281"/>
      <c r="M3" s="210"/>
      <c r="V3" s="317"/>
    </row>
    <row r="4" ht="15">
      <c r="A4" s="207"/>
      <c r="C4" s="209"/>
      <c r="G4" s="214">
        <v>1954705</v>
      </c>
      <c r="H4" s="214"/>
      <c r="I4" s="281"/>
      <c r="M4" s="210"/>
      <c r="V4" s="317"/>
    </row>
    <row r="5" ht="15">
      <c r="A5" s="207"/>
      <c r="C5" s="209"/>
      <c r="G5" s="214"/>
      <c r="H5" s="214"/>
      <c r="I5" s="281"/>
      <c r="M5" s="210"/>
      <c r="V5" s="317"/>
    </row>
    <row r="6" ht="22.5">
      <c r="A6" s="463" t="s">
        <v>2</v>
      </c>
      <c r="B6" s="464" t="s">
        <v>3</v>
      </c>
      <c r="C6" s="464" t="s">
        <v>4</v>
      </c>
      <c r="D6" s="464" t="s">
        <v>5</v>
      </c>
      <c r="E6" s="464" t="s">
        <v>6</v>
      </c>
      <c r="F6" s="465" t="s">
        <v>7</v>
      </c>
      <c r="G6" s="466" t="s">
        <v>8</v>
      </c>
      <c r="H6" s="219" t="s">
        <v>9</v>
      </c>
      <c r="I6" s="467" t="s">
        <v>10</v>
      </c>
      <c r="J6" s="477" t="s">
        <v>11</v>
      </c>
      <c r="K6" s="477" t="s">
        <v>12</v>
      </c>
      <c r="L6" s="478" t="s">
        <v>13</v>
      </c>
      <c r="M6" s="478" t="s">
        <v>14</v>
      </c>
      <c r="N6" s="286" t="s">
        <v>15</v>
      </c>
      <c r="O6" s="286" t="s">
        <v>32</v>
      </c>
      <c r="P6" s="286" t="s">
        <v>17</v>
      </c>
      <c r="Q6" s="286" t="s">
        <v>18</v>
      </c>
      <c r="R6" s="483" t="s">
        <v>19</v>
      </c>
      <c r="S6" s="484" t="s">
        <v>20</v>
      </c>
      <c r="T6" s="484" t="s">
        <v>21</v>
      </c>
      <c r="U6" s="485" t="s">
        <v>22</v>
      </c>
      <c r="V6" s="486" t="s">
        <v>23</v>
      </c>
    </row>
    <row r="7" ht="12" customHeight="1" s="1575" customFormat="1">
      <c r="A7" s="1557" t="s">
        <v>24</v>
      </c>
      <c r="B7" s="1558" t="s">
        <v>1663</v>
      </c>
      <c r="C7" s="1559" t="s">
        <v>1664</v>
      </c>
      <c r="D7" s="1558" t="s">
        <v>34</v>
      </c>
      <c r="E7" s="1558" t="s">
        <v>771</v>
      </c>
      <c r="F7" s="1558" t="s">
        <v>87</v>
      </c>
      <c r="G7" s="1652">
        <f>1954705/31*8</f>
        <v>504440</v>
      </c>
      <c r="H7" s="1652"/>
      <c r="I7" s="1564">
        <f ref="I7:I8" t="shared" si="0">+$G$4*4.89%</f>
        <v>95585.0745</v>
      </c>
      <c r="J7" s="1564">
        <f ref="J7:J8" t="shared" si="1">+$G$4*4%</f>
        <v>78188.2</v>
      </c>
      <c r="K7" s="1564">
        <f ref="K7:K8" t="shared" si="2">+$G$4*2%</f>
        <v>39094.1</v>
      </c>
      <c r="L7" s="1565">
        <v>15000</v>
      </c>
      <c r="M7" s="1566">
        <f ref="M7:M8" t="shared" si="3">SUM(G7,I7:L7)-H7</f>
        <v>732307.3745</v>
      </c>
      <c r="N7" s="1567">
        <f ref="N7:N8" t="shared" si="4">+M7*8%</f>
        <v>58584.58996</v>
      </c>
      <c r="O7" s="1567"/>
      <c r="P7" s="1567"/>
      <c r="Q7" s="1567"/>
      <c r="R7" s="1571">
        <f ref="R7:R8" t="shared" si="5">SUM(M7:Q7)</f>
        <v>790891.96446</v>
      </c>
      <c r="S7" s="1571">
        <f ref="S7:S8" t="shared" si="6">N7*0.1</f>
        <v>5858.458996</v>
      </c>
      <c r="T7" s="1572">
        <f ref="T7:T8" t="shared" si="7">R7+S7</f>
        <v>796750.423456</v>
      </c>
      <c r="U7" s="1619">
        <v>44385</v>
      </c>
      <c r="V7" s="1574">
        <v>44469</v>
      </c>
    </row>
    <row r="8" ht="12" customHeight="1" s="1575" customFormat="1">
      <c r="A8" s="1557" t="s">
        <v>24</v>
      </c>
      <c r="B8" s="1558" t="s">
        <v>1665</v>
      </c>
      <c r="C8" s="1559" t="s">
        <v>1666</v>
      </c>
      <c r="D8" s="1558" t="s">
        <v>34</v>
      </c>
      <c r="E8" s="1558" t="s">
        <v>771</v>
      </c>
      <c r="F8" s="1558" t="s">
        <v>87</v>
      </c>
      <c r="G8" s="1652">
        <f>1954705/31*8</f>
        <v>504440</v>
      </c>
      <c r="H8" s="1652"/>
      <c r="I8" s="1564">
        <f t="shared" si="0"/>
        <v>95585.0745</v>
      </c>
      <c r="J8" s="1564">
        <f t="shared" si="1"/>
        <v>78188.2</v>
      </c>
      <c r="K8" s="1564">
        <f t="shared" si="2"/>
        <v>39094.1</v>
      </c>
      <c r="L8" s="1565">
        <v>15000</v>
      </c>
      <c r="M8" s="1566">
        <f t="shared" si="3"/>
        <v>732307.3745</v>
      </c>
      <c r="N8" s="1567">
        <f t="shared" si="4"/>
        <v>58584.58996</v>
      </c>
      <c r="O8" s="1567"/>
      <c r="P8" s="1567"/>
      <c r="Q8" s="1567"/>
      <c r="R8" s="1571">
        <f t="shared" si="5"/>
        <v>790891.96446</v>
      </c>
      <c r="S8" s="1571">
        <f t="shared" si="6"/>
        <v>5858.458996</v>
      </c>
      <c r="T8" s="1572">
        <f t="shared" si="7"/>
        <v>796750.423456</v>
      </c>
      <c r="U8" s="1619">
        <v>44385</v>
      </c>
      <c r="V8" s="1574">
        <v>44469</v>
      </c>
    </row>
    <row r="9" ht="12" customHeight="1">
      <c r="A9" s="1744" t="s">
        <v>30</v>
      </c>
      <c r="B9" s="1867"/>
      <c r="C9" s="1745"/>
      <c r="D9" s="1745"/>
      <c r="E9" s="1745"/>
      <c r="F9" s="1745"/>
      <c r="G9" s="234">
        <f>SUM(G7:G8)</f>
        <v>1008880</v>
      </c>
      <c r="H9" s="234">
        <f ref="H9:T9" t="shared" si="9">SUM(H7:H8)</f>
        <v>0</v>
      </c>
      <c r="I9" s="234">
        <f t="shared" si="9"/>
        <v>191170.149</v>
      </c>
      <c r="J9" s="234">
        <f t="shared" si="9"/>
        <v>156376.4</v>
      </c>
      <c r="K9" s="234">
        <f t="shared" si="9"/>
        <v>78188.2</v>
      </c>
      <c r="L9" s="234">
        <f t="shared" si="9"/>
        <v>30000</v>
      </c>
      <c r="M9" s="234">
        <f t="shared" si="9"/>
        <v>1464614.749</v>
      </c>
      <c r="N9" s="234">
        <f t="shared" si="9"/>
        <v>117169.17992</v>
      </c>
      <c r="O9" s="234">
        <f t="shared" si="9"/>
        <v>0</v>
      </c>
      <c r="P9" s="234">
        <f t="shared" si="9"/>
        <v>0</v>
      </c>
      <c r="Q9" s="234">
        <f t="shared" si="9"/>
        <v>0</v>
      </c>
      <c r="R9" s="234">
        <f t="shared" si="9"/>
        <v>1581783.92892</v>
      </c>
      <c r="S9" s="234">
        <f t="shared" si="9"/>
        <v>11716.917992</v>
      </c>
      <c r="T9" s="234">
        <f t="shared" si="9"/>
        <v>1593500.846912</v>
      </c>
      <c r="U9" s="332"/>
      <c r="V9" s="333"/>
    </row>
    <row r="10" ht="12" customHeight="1">
      <c r="A10" s="0" t="s">
        <v>30</v>
      </c>
      <c r="B10" s="1861"/>
      <c r="C10" s="209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V10" s="317"/>
    </row>
    <row r="11" ht="12" customHeight="1">
      <c r="A11" s="0" t="s">
        <v>30</v>
      </c>
      <c r="B11" s="1861"/>
      <c r="C11" s="387"/>
      <c r="D11" s="262"/>
      <c r="E11" s="263"/>
      <c r="F11" s="264"/>
      <c r="G11" s="210"/>
      <c r="H11" s="2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48"/>
      <c r="V11" s="317"/>
    </row>
    <row r="12" ht="12" customHeight="1">
      <c r="A12" s="0" t="s">
        <v>30</v>
      </c>
      <c r="B12" s="1869"/>
      <c r="C12" s="264" t="str">
        <f>+'MALANG BAT 2 AGUSTUS - OK'!C11</f>
        <v>Karawang, 16 Agustus 2021</v>
      </c>
      <c r="D12" s="270"/>
      <c r="E12" s="270"/>
      <c r="F12" s="270"/>
      <c r="G12" s="271"/>
      <c r="H12" s="271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48"/>
    </row>
    <row r="13" ht="12" customHeight="1">
      <c r="A13" s="0" t="s">
        <v>30</v>
      </c>
      <c r="B13" s="1870"/>
      <c r="C13" s="264" t="s">
        <v>38</v>
      </c>
      <c r="D13" s="263"/>
      <c r="E13" s="264"/>
      <c r="F13" s="264"/>
      <c r="G13" s="210"/>
      <c r="H13" s="210"/>
      <c r="I13" s="270"/>
      <c r="J13" s="270"/>
      <c r="K13" s="270"/>
      <c r="L13" s="270"/>
      <c r="M13" s="270"/>
      <c r="N13" s="310"/>
      <c r="O13" s="310"/>
      <c r="P13" s="310"/>
      <c r="Q13" s="310"/>
      <c r="R13" s="310"/>
      <c r="S13" s="270"/>
      <c r="T13" s="270"/>
      <c r="U13" s="310"/>
      <c r="V13" s="348"/>
    </row>
    <row r="14" ht="12" customHeight="1">
      <c r="A14" s="0" t="s">
        <v>30</v>
      </c>
      <c r="B14" s="1869"/>
      <c r="C14" s="445"/>
      <c r="D14" s="274"/>
      <c r="E14" s="264"/>
      <c r="F14" s="264"/>
      <c r="G14" s="275"/>
      <c r="H14" s="275"/>
      <c r="I14" s="262"/>
      <c r="J14" s="262"/>
      <c r="K14" s="262"/>
      <c r="L14" s="312"/>
      <c r="M14" s="263" t="s">
        <v>39</v>
      </c>
      <c r="N14" s="313"/>
      <c r="O14" s="313"/>
      <c r="P14" s="313"/>
      <c r="S14" s="349"/>
      <c r="T14" s="270"/>
      <c r="U14" s="313"/>
      <c r="V14" s="348"/>
    </row>
    <row r="15" ht="12" customHeight="1">
      <c r="A15" s="0" t="s">
        <v>30</v>
      </c>
      <c r="B15" s="1871"/>
      <c r="C15" s="446"/>
      <c r="D15" s="209"/>
      <c r="G15" s="275"/>
      <c r="H15" s="275"/>
      <c r="I15" s="262"/>
      <c r="J15" s="315"/>
      <c r="K15" s="262"/>
      <c r="L15" s="312"/>
      <c r="M15" s="262"/>
      <c r="N15" s="270"/>
      <c r="O15" s="270"/>
      <c r="P15" s="270"/>
      <c r="Q15" s="270"/>
      <c r="R15" s="270"/>
      <c r="S15" s="349"/>
      <c r="T15" s="270"/>
      <c r="U15" s="270"/>
      <c r="V15" s="348"/>
    </row>
    <row r="16" ht="12" customHeight="1">
      <c r="A16" s="0" t="s">
        <v>30</v>
      </c>
      <c r="B16" s="1871"/>
      <c r="C16" s="446"/>
      <c r="D16" s="209"/>
      <c r="G16" s="210"/>
      <c r="H16" s="210"/>
      <c r="I16" s="210"/>
      <c r="J16" s="270"/>
      <c r="K16" s="270"/>
      <c r="L16" s="310"/>
      <c r="M16" s="270"/>
      <c r="N16" s="270"/>
      <c r="O16" s="270"/>
      <c r="P16" s="270"/>
      <c r="Q16" s="270"/>
      <c r="R16" s="270"/>
      <c r="S16" s="208"/>
      <c r="T16" s="270"/>
      <c r="U16" s="270"/>
      <c r="V16" s="348"/>
    </row>
    <row r="17" ht="12" customHeight="1">
      <c r="A17" s="0" t="s">
        <v>30</v>
      </c>
      <c r="B17" s="1869"/>
      <c r="C17" s="445"/>
      <c r="D17" s="274"/>
      <c r="E17" s="264"/>
      <c r="F17" s="264"/>
      <c r="G17" s="275"/>
      <c r="H17" s="275"/>
      <c r="I17" s="275"/>
      <c r="J17" s="262"/>
      <c r="K17" s="262"/>
      <c r="L17" s="312"/>
      <c r="M17" s="262"/>
      <c r="N17" s="262"/>
      <c r="O17" s="262"/>
      <c r="P17" s="262"/>
      <c r="Q17" s="262"/>
      <c r="R17" s="262"/>
      <c r="S17" s="264"/>
      <c r="T17" s="270"/>
      <c r="U17" s="270"/>
      <c r="V17" s="348"/>
    </row>
    <row r="18" ht="12" customHeight="1">
      <c r="A18" s="0" t="s">
        <v>30</v>
      </c>
      <c r="B18" s="1870"/>
      <c r="C18" s="264"/>
      <c r="D18" s="264"/>
      <c r="E18" s="264"/>
      <c r="F18" s="264"/>
      <c r="G18" s="275"/>
      <c r="H18" s="275"/>
      <c r="I18" s="275"/>
      <c r="J18" s="262"/>
      <c r="K18" s="262"/>
      <c r="L18" s="312"/>
      <c r="M18" s="262"/>
      <c r="N18" s="262"/>
      <c r="O18" s="262"/>
      <c r="P18" s="262"/>
      <c r="Q18" s="262"/>
      <c r="R18" s="262"/>
      <c r="S18" s="264"/>
      <c r="T18" s="208"/>
      <c r="U18" s="270"/>
      <c r="V18" s="348"/>
    </row>
    <row r="19" ht="12" customHeight="1">
      <c r="A19" s="0" t="s">
        <v>30</v>
      </c>
      <c r="B19" s="1870"/>
      <c r="C19" s="264"/>
      <c r="D19" s="264"/>
      <c r="E19" s="264"/>
      <c r="F19" s="264"/>
      <c r="G19" s="275"/>
      <c r="H19" s="275"/>
      <c r="I19" s="275"/>
      <c r="J19" s="262"/>
      <c r="K19" s="262"/>
      <c r="L19" s="312"/>
      <c r="M19" s="262"/>
      <c r="N19" s="262"/>
      <c r="O19" s="262"/>
      <c r="P19" s="262"/>
      <c r="Q19" s="262"/>
      <c r="R19" s="262"/>
      <c r="S19" s="264"/>
      <c r="T19" s="270"/>
      <c r="U19" s="387"/>
      <c r="V19" s="348"/>
    </row>
    <row r="20" ht="12" customHeight="1">
      <c r="A20" s="0" t="s">
        <v>30</v>
      </c>
      <c r="B20" s="1870"/>
      <c r="C20" s="264" t="s">
        <v>40</v>
      </c>
      <c r="D20" s="568"/>
      <c r="E20" s="264"/>
      <c r="F20" s="264"/>
      <c r="G20" s="275"/>
      <c r="H20" s="275"/>
      <c r="I20" s="275"/>
      <c r="J20" s="312" t="s">
        <v>41</v>
      </c>
      <c r="K20" s="263"/>
      <c r="L20" s="263"/>
      <c r="M20" s="263" t="s">
        <v>42</v>
      </c>
      <c r="N20" s="264" t="s">
        <v>43</v>
      </c>
      <c r="Q20" s="264"/>
      <c r="R20" s="263"/>
      <c r="U20" s="387"/>
      <c r="V20" s="350"/>
    </row>
  </sheetData>
  <mergeCells>
    <mergeCell ref="A9:F9"/>
  </mergeCells>
  <printOptions horizontalCentered="1"/>
  <pageMargins left="0" right="0" top="0.75" bottom="0.75" header="0.3" footer="0.3"/>
  <pageSetup paperSize="9" scale="75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W55"/>
  <sheetViews>
    <sheetView zoomScale="85" zoomScaleNormal="85" workbookViewId="0">
      <pane xSplit="7" ySplit="9" topLeftCell="H31" activePane="bottomRight" state="frozen"/>
      <selection pane="topRight"/>
      <selection pane="bottomLeft"/>
      <selection pane="bottomRight" activeCell="D47" sqref="D47"/>
    </sheetView>
  </sheetViews>
  <sheetFormatPr defaultColWidth="9.140625" defaultRowHeight="12" customHeight="1"/>
  <cols>
    <col min="1" max="2" width="4.85546875" customWidth="1"/>
    <col min="3" max="3" width="27" customWidth="1"/>
    <col min="4" max="4" width="10.7109375" customWidth="1"/>
    <col min="5" max="5" hidden="1" width="6" customWidth="1"/>
    <col min="6" max="6" hidden="1" width="7.42578125" customWidth="1"/>
    <col min="7" max="7" width="13.85546875" customWidth="1"/>
    <col min="8" max="8" width="8.7109375" customWidth="1"/>
    <col min="9" max="17" width="10.42578125" customWidth="1"/>
    <col min="18" max="18" bestFit="1" width="11.5703125" customWidth="1"/>
    <col min="19" max="19" width="10.42578125" customWidth="1"/>
    <col min="20" max="20" width="13.140625" customWidth="1"/>
    <col min="21" max="21" width="8.42578125" customWidth="1"/>
    <col min="22" max="22" width="10.28515625" customWidth="1"/>
  </cols>
  <sheetData>
    <row r="1" ht="12" customHeight="1">
      <c r="A1" s="207" t="s">
        <v>0</v>
      </c>
      <c r="C1" s="209"/>
      <c r="G1" s="210"/>
      <c r="H1" s="210"/>
      <c r="M1" s="210"/>
      <c r="V1" s="317"/>
    </row>
    <row r="2" ht="12" customHeight="1">
      <c r="A2" s="207" t="s">
        <v>1763</v>
      </c>
      <c r="B2" s="211"/>
      <c r="C2" s="212"/>
      <c r="D2" s="211"/>
      <c r="E2" s="211"/>
      <c r="F2" s="211"/>
      <c r="G2" s="213"/>
      <c r="H2" s="213"/>
      <c r="I2" s="280"/>
      <c r="J2" s="280"/>
      <c r="K2" s="280"/>
      <c r="L2" s="280"/>
      <c r="M2" s="213"/>
      <c r="N2" s="213"/>
      <c r="O2" s="213"/>
      <c r="P2" s="213"/>
      <c r="Q2" s="213"/>
      <c r="R2" s="280"/>
      <c r="S2" s="280"/>
      <c r="T2" s="280"/>
      <c r="U2" s="318"/>
      <c r="V2" s="318"/>
    </row>
    <row r="3" ht="15">
      <c r="A3" s="1354" t="str">
        <f>+'MALANG BAT AGUSTUS - OK'!A3</f>
        <v>Periode Bulan Agustus  2021</v>
      </c>
      <c r="C3" s="209"/>
      <c r="G3" s="213"/>
      <c r="H3" s="213"/>
      <c r="I3" s="281"/>
      <c r="M3" s="210"/>
      <c r="V3" s="317"/>
    </row>
    <row r="4" ht="15">
      <c r="A4" s="207"/>
      <c r="C4" s="209"/>
      <c r="G4" s="214">
        <v>2355663</v>
      </c>
      <c r="H4" s="214"/>
      <c r="I4" s="281"/>
      <c r="M4" s="210"/>
      <c r="V4" s="317"/>
    </row>
    <row r="5" ht="22.5">
      <c r="A5" s="602" t="s">
        <v>2</v>
      </c>
      <c r="B5" s="603" t="s">
        <v>3</v>
      </c>
      <c r="C5" s="603" t="s">
        <v>4</v>
      </c>
      <c r="D5" s="603" t="s">
        <v>5</v>
      </c>
      <c r="E5" s="603" t="s">
        <v>6</v>
      </c>
      <c r="F5" s="604" t="s">
        <v>7</v>
      </c>
      <c r="G5" s="218" t="s">
        <v>8</v>
      </c>
      <c r="H5" s="219" t="s">
        <v>9</v>
      </c>
      <c r="I5" s="638" t="s">
        <v>10</v>
      </c>
      <c r="J5" s="283" t="s">
        <v>11</v>
      </c>
      <c r="K5" s="283" t="s">
        <v>12</v>
      </c>
      <c r="L5" s="640" t="s">
        <v>13</v>
      </c>
      <c r="M5" s="641" t="s">
        <v>14</v>
      </c>
      <c r="N5" s="285" t="s">
        <v>15</v>
      </c>
      <c r="O5" s="285" t="s">
        <v>882</v>
      </c>
      <c r="P5" s="285" t="s">
        <v>918</v>
      </c>
      <c r="Q5" s="285" t="s">
        <v>18</v>
      </c>
      <c r="R5" s="319" t="s">
        <v>19</v>
      </c>
      <c r="S5" s="320" t="s">
        <v>20</v>
      </c>
      <c r="T5" s="320" t="s">
        <v>21</v>
      </c>
      <c r="U5" s="321" t="s">
        <v>22</v>
      </c>
      <c r="V5" s="322" t="s">
        <v>23</v>
      </c>
    </row>
    <row r="6" ht="12" customHeight="1" s="351" customFormat="1">
      <c r="A6" s="1088" t="s">
        <v>31</v>
      </c>
      <c r="B6" s="1876" t="s">
        <v>1764</v>
      </c>
      <c r="C6" s="1032" t="s">
        <v>313</v>
      </c>
      <c r="D6" s="228" t="s">
        <v>1765</v>
      </c>
      <c r="E6" s="1030" t="s">
        <v>314</v>
      </c>
      <c r="F6" s="1032" t="s">
        <v>87</v>
      </c>
      <c r="G6" s="233">
        <v>2553266</v>
      </c>
      <c r="H6" s="233"/>
      <c r="I6" s="395">
        <f>+'PROBOLINGGO ANTERAJA AGUST - OK'!$G$5*4.89%</f>
        <v>124854.7074</v>
      </c>
      <c r="J6" s="395">
        <f>+'PROBOLINGGO ANTERAJA AGUST - OK'!$G$5*4%</f>
        <v>102130.64</v>
      </c>
      <c r="K6" s="395">
        <f>+'PROBOLINGGO ANTERAJA AGUST - OK'!$G$5*2%</f>
        <v>51065.32</v>
      </c>
      <c r="L6" s="395">
        <v>1667</v>
      </c>
      <c r="M6" s="295">
        <f>SUM(G6,I6:L6)-H6</f>
        <v>2832983.6674</v>
      </c>
      <c r="N6" s="396">
        <f>+M6*8%</f>
        <v>226638.69339200002</v>
      </c>
      <c r="O6" s="396">
        <f>500000+500000+20000+130000</f>
        <v>1150000</v>
      </c>
      <c r="P6" s="396">
        <v>100000</v>
      </c>
      <c r="Q6" s="396">
        <f>24*12000</f>
        <v>288000</v>
      </c>
      <c r="R6" s="396">
        <f>SUM(M6:Q6)</f>
        <v>4597622.360792</v>
      </c>
      <c r="S6" s="396">
        <f>N6*0.1</f>
        <v>22663.869339200002</v>
      </c>
      <c r="T6" s="413">
        <f>R6+S6</f>
        <v>4620286.2301312</v>
      </c>
      <c r="U6" s="579">
        <v>44409</v>
      </c>
      <c r="V6" s="580">
        <v>44439</v>
      </c>
      <c r="W6" s="1169"/>
    </row>
    <row r="7" ht="12" customHeight="1">
      <c r="A7" s="1744" t="s">
        <v>30</v>
      </c>
      <c r="B7" s="1867"/>
      <c r="C7" s="1745"/>
      <c r="D7" s="1745"/>
      <c r="E7" s="1745"/>
      <c r="F7" s="1745"/>
      <c r="G7" s="234">
        <f ref="G7:T7" t="shared" si="0">SUM(G6:G6)</f>
        <v>2553266</v>
      </c>
      <c r="H7" s="234">
        <f t="shared" si="0"/>
        <v>0</v>
      </c>
      <c r="I7" s="234">
        <f t="shared" si="0"/>
        <v>124854.7074</v>
      </c>
      <c r="J7" s="234">
        <f t="shared" si="0"/>
        <v>102130.64</v>
      </c>
      <c r="K7" s="234">
        <f t="shared" si="0"/>
        <v>51065.32</v>
      </c>
      <c r="L7" s="234">
        <f t="shared" si="0"/>
        <v>1667</v>
      </c>
      <c r="M7" s="234">
        <f t="shared" si="0"/>
        <v>2832983.6674</v>
      </c>
      <c r="N7" s="234">
        <f t="shared" si="0"/>
        <v>226638.69339200002</v>
      </c>
      <c r="O7" s="234">
        <f t="shared" si="0"/>
        <v>1150000</v>
      </c>
      <c r="P7" s="234">
        <f t="shared" si="0"/>
        <v>100000</v>
      </c>
      <c r="Q7" s="234">
        <f t="shared" si="0"/>
        <v>288000</v>
      </c>
      <c r="R7" s="234">
        <f t="shared" si="0"/>
        <v>4597622.360792</v>
      </c>
      <c r="S7" s="234">
        <f t="shared" si="0"/>
        <v>22663.869339200002</v>
      </c>
      <c r="T7" s="234">
        <f t="shared" si="0"/>
        <v>4620286.2301312</v>
      </c>
      <c r="U7" s="660"/>
      <c r="V7" s="661"/>
    </row>
    <row r="8" ht="15">
      <c r="A8" s="207" t="s">
        <v>30</v>
      </c>
      <c r="B8" s="1861"/>
      <c r="C8" s="209"/>
      <c r="G8" s="214"/>
      <c r="H8" s="214"/>
      <c r="I8" s="281"/>
      <c r="M8" s="210"/>
      <c r="V8" s="317"/>
    </row>
    <row r="9" ht="22.5">
      <c r="A9" s="463" t="s">
        <v>31</v>
      </c>
      <c r="B9" s="1872" t="s">
        <v>3</v>
      </c>
      <c r="C9" s="464" t="s">
        <v>4</v>
      </c>
      <c r="D9" s="464" t="s">
        <v>5</v>
      </c>
      <c r="E9" s="464" t="s">
        <v>6</v>
      </c>
      <c r="F9" s="465" t="s">
        <v>7</v>
      </c>
      <c r="G9" s="466" t="s">
        <v>8</v>
      </c>
      <c r="H9" s="219" t="s">
        <v>9</v>
      </c>
      <c r="I9" s="467" t="s">
        <v>10</v>
      </c>
      <c r="J9" s="477" t="s">
        <v>11</v>
      </c>
      <c r="K9" s="477" t="s">
        <v>12</v>
      </c>
      <c r="L9" s="478" t="s">
        <v>13</v>
      </c>
      <c r="M9" s="478" t="s">
        <v>14</v>
      </c>
      <c r="N9" s="286" t="s">
        <v>15</v>
      </c>
      <c r="O9" s="286" t="s">
        <v>32</v>
      </c>
      <c r="P9" s="286" t="s">
        <v>17</v>
      </c>
      <c r="Q9" s="286" t="s">
        <v>18</v>
      </c>
      <c r="R9" s="483" t="s">
        <v>19</v>
      </c>
      <c r="S9" s="484" t="s">
        <v>20</v>
      </c>
      <c r="T9" s="484" t="s">
        <v>21</v>
      </c>
      <c r="U9" s="485" t="s">
        <v>22</v>
      </c>
      <c r="V9" s="486" t="s">
        <v>23</v>
      </c>
    </row>
    <row r="10" ht="12" customHeight="1">
      <c r="A10" s="1355" t="s">
        <v>24</v>
      </c>
      <c r="B10" s="1356" t="s">
        <v>468</v>
      </c>
      <c r="C10" s="1357" t="s">
        <v>491</v>
      </c>
      <c r="D10" s="1358" t="s">
        <v>34</v>
      </c>
      <c r="E10" s="1359" t="s">
        <v>27</v>
      </c>
      <c r="F10" s="1360" t="s">
        <v>87</v>
      </c>
      <c r="G10" s="1361">
        <v>2355663</v>
      </c>
      <c r="H10" s="1362"/>
      <c r="I10" s="1364">
        <f>+$G$4*4.89%</f>
        <v>115191.9207</v>
      </c>
      <c r="J10" s="1364">
        <f>+$G$4*4%</f>
        <v>94226.52</v>
      </c>
      <c r="K10" s="1364">
        <f>+$G$4*2%</f>
        <v>47113.26</v>
      </c>
      <c r="L10" s="304">
        <v>15000</v>
      </c>
      <c r="M10" s="295">
        <f>SUM(G10:L10)</f>
        <v>2627194.7007</v>
      </c>
      <c r="N10" s="1365">
        <f ref="N10:N13" t="shared" si="1">+M10*8%</f>
        <v>210175.576056</v>
      </c>
      <c r="O10" s="1353">
        <v>695000</v>
      </c>
      <c r="P10" s="1366"/>
      <c r="Q10" s="1368"/>
      <c r="R10" s="335">
        <f ref="R10:R13" t="shared" si="2">SUM(M10:Q10)</f>
        <v>3532370.276756</v>
      </c>
      <c r="S10" s="335">
        <f ref="S10:S13" t="shared" si="3">N10*0.1</f>
        <v>21017.5576056</v>
      </c>
      <c r="T10" s="336">
        <f ref="T10:T13" t="shared" si="4">R10+S10</f>
        <v>3553387.8343615998</v>
      </c>
      <c r="U10" s="1369">
        <v>44348</v>
      </c>
      <c r="V10" s="527">
        <v>44439</v>
      </c>
      <c r="W10" s="420"/>
    </row>
    <row r="11" ht="12" customHeight="1">
      <c r="A11" s="238" t="s">
        <v>24</v>
      </c>
      <c r="B11" s="239" t="s">
        <v>470</v>
      </c>
      <c r="C11" s="554" t="s">
        <v>1766</v>
      </c>
      <c r="D11" s="1363" t="s">
        <v>34</v>
      </c>
      <c r="E11" s="239" t="s">
        <v>27</v>
      </c>
      <c r="F11" s="913" t="s">
        <v>87</v>
      </c>
      <c r="G11" s="1361">
        <v>2355663</v>
      </c>
      <c r="H11" s="1362"/>
      <c r="I11" s="298">
        <f>+$G$4*4.89%</f>
        <v>115191.9207</v>
      </c>
      <c r="J11" s="298">
        <f>+$G$4*4%</f>
        <v>94226.52</v>
      </c>
      <c r="K11" s="298">
        <f>+$G$4*2%</f>
        <v>47113.26</v>
      </c>
      <c r="L11" s="304">
        <v>15000</v>
      </c>
      <c r="M11" s="295">
        <f ref="M11:M40" t="shared" si="6">SUM(G11:L11)</f>
        <v>2627194.7007</v>
      </c>
      <c r="N11" s="303">
        <f t="shared" si="1"/>
        <v>210175.576056</v>
      </c>
      <c r="O11" s="1353">
        <v>700000</v>
      </c>
      <c r="P11" s="1367"/>
      <c r="Q11" s="921"/>
      <c r="R11" s="335">
        <f t="shared" si="2"/>
        <v>3537370.276756</v>
      </c>
      <c r="S11" s="335">
        <f t="shared" si="3"/>
        <v>21017.5576056</v>
      </c>
      <c r="T11" s="336">
        <f t="shared" si="4"/>
        <v>3558387.8343615998</v>
      </c>
      <c r="U11" s="922">
        <v>44348</v>
      </c>
      <c r="V11" s="340">
        <v>44439</v>
      </c>
      <c r="W11" s="420"/>
    </row>
    <row r="12" ht="12" customHeight="1">
      <c r="A12" s="238" t="s">
        <v>24</v>
      </c>
      <c r="B12" s="239" t="s">
        <v>1767</v>
      </c>
      <c r="C12" s="554" t="s">
        <v>1768</v>
      </c>
      <c r="D12" s="1363" t="s">
        <v>34</v>
      </c>
      <c r="E12" s="239" t="s">
        <v>27</v>
      </c>
      <c r="F12" s="913" t="s">
        <v>87</v>
      </c>
      <c r="G12" s="1361">
        <v>2355663</v>
      </c>
      <c r="H12" s="1362"/>
      <c r="I12" s="298">
        <f>+$G$4*4.89%</f>
        <v>115191.9207</v>
      </c>
      <c r="J12" s="298">
        <f>+$G$4*4%</f>
        <v>94226.52</v>
      </c>
      <c r="K12" s="298">
        <f>+$G$4*2%</f>
        <v>47113.26</v>
      </c>
      <c r="L12" s="304">
        <v>15000</v>
      </c>
      <c r="M12" s="295">
        <f t="shared" si="6"/>
        <v>2627194.7007</v>
      </c>
      <c r="N12" s="303">
        <f t="shared" si="1"/>
        <v>210175.576056</v>
      </c>
      <c r="O12" s="1353">
        <v>670000</v>
      </c>
      <c r="P12" s="1367"/>
      <c r="Q12" s="921"/>
      <c r="R12" s="335">
        <f t="shared" si="2"/>
        <v>3507370.276756</v>
      </c>
      <c r="S12" s="335">
        <f t="shared" si="3"/>
        <v>21017.5576056</v>
      </c>
      <c r="T12" s="336">
        <f t="shared" si="4"/>
        <v>3528387.8343615998</v>
      </c>
      <c r="U12" s="922">
        <v>44309</v>
      </c>
      <c r="V12" s="340">
        <v>44408</v>
      </c>
      <c r="W12" s="420"/>
    </row>
    <row r="13" ht="12" customHeight="1" s="1657" customFormat="1">
      <c r="A13" s="238" t="s">
        <v>24</v>
      </c>
      <c r="B13" s="1558" t="s">
        <v>1769</v>
      </c>
      <c r="C13" s="1559" t="s">
        <v>1770</v>
      </c>
      <c r="D13" s="1560" t="s">
        <v>34</v>
      </c>
      <c r="E13" s="1558" t="s">
        <v>27</v>
      </c>
      <c r="F13" s="1561" t="s">
        <v>87</v>
      </c>
      <c r="G13" s="1562">
        <f>2355663/31*30</f>
        <v>2279673.87096774</v>
      </c>
      <c r="H13" s="1563"/>
      <c r="I13" s="1564">
        <f>+$G$4*4.89%</f>
        <v>115191.9207</v>
      </c>
      <c r="J13" s="1564">
        <f>+$G$4*4%</f>
        <v>94226.52</v>
      </c>
      <c r="K13" s="1564">
        <f>+$G$4*2%</f>
        <v>47113.26</v>
      </c>
      <c r="L13" s="1565">
        <v>15000</v>
      </c>
      <c r="M13" s="295">
        <f t="shared" si="6"/>
        <v>2551205.57166774</v>
      </c>
      <c r="N13" s="1567">
        <f t="shared" si="1"/>
        <v>204096.4457334192</v>
      </c>
      <c r="O13" s="1568">
        <v>270000</v>
      </c>
      <c r="P13" s="1569"/>
      <c r="Q13" s="1570"/>
      <c r="R13" s="1571">
        <f t="shared" si="2"/>
        <v>3025302.0174011593</v>
      </c>
      <c r="S13" s="1571">
        <f t="shared" si="3"/>
        <v>20409.644573341924</v>
      </c>
      <c r="T13" s="1572">
        <f t="shared" si="4"/>
        <v>3045711.6619745013</v>
      </c>
      <c r="U13" s="1573">
        <v>44394</v>
      </c>
      <c r="V13" s="1574">
        <v>44500</v>
      </c>
      <c r="W13" s="1656"/>
    </row>
    <row r="14" ht="12" customHeight="1" s="1592" customFormat="1">
      <c r="A14" s="238" t="s">
        <v>30</v>
      </c>
      <c r="B14" s="1877"/>
      <c r="C14" s="1658" t="s">
        <v>1771</v>
      </c>
      <c r="D14" s="1577" t="s">
        <v>34</v>
      </c>
      <c r="E14" s="1578" t="s">
        <v>27</v>
      </c>
      <c r="F14" s="1579" t="s">
        <v>87</v>
      </c>
      <c r="G14" s="1580">
        <f ref="G14:G20" t="shared" si="7">2355663/31*1</f>
        <v>75989.1290322581</v>
      </c>
      <c r="H14" s="1581"/>
      <c r="I14" s="1582">
        <f ref="I14:I19" t="shared" si="8">+$G$4*4.89%</f>
        <v>115191.9207</v>
      </c>
      <c r="J14" s="1582">
        <f ref="J14:J19" t="shared" si="9">+$G$4*4%</f>
        <v>94226.52</v>
      </c>
      <c r="K14" s="1582">
        <f ref="K14:K19" t="shared" si="10">+$G$4*2%</f>
        <v>47113.26</v>
      </c>
      <c r="L14" s="1583">
        <v>15000</v>
      </c>
      <c r="M14" s="295">
        <f t="shared" si="6"/>
        <v>347520.8297322581</v>
      </c>
      <c r="N14" s="1584">
        <f ref="N14:N19" t="shared" si="11">+M14*8%</f>
        <v>27801.66637858065</v>
      </c>
      <c r="O14" s="1585"/>
      <c r="P14" s="1586"/>
      <c r="Q14" s="1587"/>
      <c r="R14" s="1588">
        <f ref="R14:R19" t="shared" si="12">SUM(M14:Q14)</f>
        <v>375322.4961108388</v>
      </c>
      <c r="S14" s="1588">
        <f ref="S14:S19" t="shared" si="13">N14*0.1</f>
        <v>2780.166637858065</v>
      </c>
      <c r="T14" s="1589">
        <f ref="T14:T19" t="shared" si="14">R14+S14</f>
        <v>378102.66274869686</v>
      </c>
      <c r="U14" s="1590">
        <v>44423</v>
      </c>
      <c r="V14" s="1591"/>
      <c r="W14" s="1630" t="s">
        <v>1772</v>
      </c>
    </row>
    <row r="15" ht="12" customHeight="1" s="1592" customFormat="1">
      <c r="A15" s="238" t="s">
        <v>30</v>
      </c>
      <c r="B15" s="1877"/>
      <c r="C15" s="1658" t="s">
        <v>1773</v>
      </c>
      <c r="D15" s="1577" t="s">
        <v>34</v>
      </c>
      <c r="E15" s="1578" t="s">
        <v>27</v>
      </c>
      <c r="F15" s="1579" t="s">
        <v>87</v>
      </c>
      <c r="G15" s="1580">
        <f t="shared" si="7"/>
        <v>75989.1290322581</v>
      </c>
      <c r="H15" s="1581"/>
      <c r="I15" s="1582">
        <f t="shared" si="8"/>
        <v>115191.9207</v>
      </c>
      <c r="J15" s="1582">
        <f t="shared" si="9"/>
        <v>94226.52</v>
      </c>
      <c r="K15" s="1582">
        <f t="shared" si="10"/>
        <v>47113.26</v>
      </c>
      <c r="L15" s="1583">
        <v>15000</v>
      </c>
      <c r="M15" s="295">
        <f t="shared" si="6"/>
        <v>347520.8297322581</v>
      </c>
      <c r="N15" s="1584">
        <f t="shared" si="11"/>
        <v>27801.66637858065</v>
      </c>
      <c r="O15" s="1585"/>
      <c r="P15" s="1586"/>
      <c r="Q15" s="1587"/>
      <c r="R15" s="1588">
        <f t="shared" si="12"/>
        <v>375322.4961108388</v>
      </c>
      <c r="S15" s="1588">
        <f t="shared" si="13"/>
        <v>2780.166637858065</v>
      </c>
      <c r="T15" s="1589">
        <f t="shared" si="14"/>
        <v>378102.66274869686</v>
      </c>
      <c r="U15" s="1590">
        <v>44423</v>
      </c>
      <c r="V15" s="1591"/>
      <c r="W15" s="1630" t="s">
        <v>1772</v>
      </c>
    </row>
    <row r="16" ht="12" customHeight="1" s="1592" customFormat="1">
      <c r="A16" s="238" t="s">
        <v>30</v>
      </c>
      <c r="B16" s="1877"/>
      <c r="C16" s="1658" t="s">
        <v>1774</v>
      </c>
      <c r="D16" s="1577" t="s">
        <v>34</v>
      </c>
      <c r="E16" s="1578" t="s">
        <v>27</v>
      </c>
      <c r="F16" s="1579" t="s">
        <v>87</v>
      </c>
      <c r="G16" s="1580">
        <f t="shared" si="7"/>
        <v>75989.1290322581</v>
      </c>
      <c r="H16" s="1581"/>
      <c r="I16" s="1582">
        <f t="shared" si="8"/>
        <v>115191.9207</v>
      </c>
      <c r="J16" s="1582">
        <f t="shared" si="9"/>
        <v>94226.52</v>
      </c>
      <c r="K16" s="1582">
        <f t="shared" si="10"/>
        <v>47113.26</v>
      </c>
      <c r="L16" s="1583">
        <v>15000</v>
      </c>
      <c r="M16" s="295">
        <f t="shared" si="6"/>
        <v>347520.8297322581</v>
      </c>
      <c r="N16" s="1584">
        <f t="shared" si="11"/>
        <v>27801.66637858065</v>
      </c>
      <c r="O16" s="1585"/>
      <c r="P16" s="1586"/>
      <c r="Q16" s="1587"/>
      <c r="R16" s="1588">
        <f t="shared" si="12"/>
        <v>375322.4961108388</v>
      </c>
      <c r="S16" s="1588">
        <f t="shared" si="13"/>
        <v>2780.166637858065</v>
      </c>
      <c r="T16" s="1589">
        <f t="shared" si="14"/>
        <v>378102.66274869686</v>
      </c>
      <c r="U16" s="1590">
        <v>44423</v>
      </c>
      <c r="V16" s="1591"/>
      <c r="W16" s="1630" t="s">
        <v>1772</v>
      </c>
    </row>
    <row r="17" ht="12" customHeight="1" s="1592" customFormat="1">
      <c r="A17" s="238" t="s">
        <v>30</v>
      </c>
      <c r="B17" s="1877"/>
      <c r="C17" s="1658" t="s">
        <v>1775</v>
      </c>
      <c r="D17" s="1577" t="s">
        <v>34</v>
      </c>
      <c r="E17" s="1578" t="s">
        <v>27</v>
      </c>
      <c r="F17" s="1579" t="s">
        <v>87</v>
      </c>
      <c r="G17" s="1580">
        <f t="shared" si="7"/>
        <v>75989.1290322581</v>
      </c>
      <c r="H17" s="1581"/>
      <c r="I17" s="1582">
        <f t="shared" si="8"/>
        <v>115191.9207</v>
      </c>
      <c r="J17" s="1582">
        <f t="shared" si="9"/>
        <v>94226.52</v>
      </c>
      <c r="K17" s="1582">
        <f t="shared" si="10"/>
        <v>47113.26</v>
      </c>
      <c r="L17" s="1583">
        <v>15000</v>
      </c>
      <c r="M17" s="295">
        <f t="shared" si="6"/>
        <v>347520.8297322581</v>
      </c>
      <c r="N17" s="1584">
        <f t="shared" si="11"/>
        <v>27801.66637858065</v>
      </c>
      <c r="O17" s="1585"/>
      <c r="P17" s="1586"/>
      <c r="Q17" s="1587"/>
      <c r="R17" s="1588">
        <f t="shared" si="12"/>
        <v>375322.4961108388</v>
      </c>
      <c r="S17" s="1588">
        <f t="shared" si="13"/>
        <v>2780.166637858065</v>
      </c>
      <c r="T17" s="1589">
        <f t="shared" si="14"/>
        <v>378102.66274869686</v>
      </c>
      <c r="U17" s="1590">
        <v>44423</v>
      </c>
      <c r="V17" s="1591"/>
      <c r="W17" s="1630" t="s">
        <v>1772</v>
      </c>
    </row>
    <row r="18" ht="12" customHeight="1" s="1592" customFormat="1">
      <c r="A18" s="238" t="s">
        <v>30</v>
      </c>
      <c r="B18" s="1877"/>
      <c r="C18" s="1658" t="s">
        <v>1776</v>
      </c>
      <c r="D18" s="1577" t="s">
        <v>34</v>
      </c>
      <c r="E18" s="1578" t="s">
        <v>27</v>
      </c>
      <c r="F18" s="1579" t="s">
        <v>87</v>
      </c>
      <c r="G18" s="1580">
        <f t="shared" si="7"/>
        <v>75989.1290322581</v>
      </c>
      <c r="H18" s="1581"/>
      <c r="I18" s="1582">
        <f t="shared" si="8"/>
        <v>115191.9207</v>
      </c>
      <c r="J18" s="1582">
        <f t="shared" si="9"/>
        <v>94226.52</v>
      </c>
      <c r="K18" s="1582">
        <f t="shared" si="10"/>
        <v>47113.26</v>
      </c>
      <c r="L18" s="1583">
        <v>15000</v>
      </c>
      <c r="M18" s="295">
        <f t="shared" si="6"/>
        <v>347520.8297322581</v>
      </c>
      <c r="N18" s="1584">
        <f t="shared" si="11"/>
        <v>27801.66637858065</v>
      </c>
      <c r="O18" s="1585"/>
      <c r="P18" s="1586"/>
      <c r="Q18" s="1587"/>
      <c r="R18" s="1588">
        <f t="shared" si="12"/>
        <v>375322.4961108388</v>
      </c>
      <c r="S18" s="1588">
        <f t="shared" si="13"/>
        <v>2780.166637858065</v>
      </c>
      <c r="T18" s="1589">
        <f t="shared" si="14"/>
        <v>378102.66274869686</v>
      </c>
      <c r="U18" s="1590">
        <v>44423</v>
      </c>
      <c r="V18" s="1591"/>
      <c r="W18" s="1630" t="s">
        <v>1772</v>
      </c>
    </row>
    <row r="19" ht="12" customHeight="1" s="1592" customFormat="1">
      <c r="A19" s="238" t="s">
        <v>30</v>
      </c>
      <c r="B19" s="1877"/>
      <c r="C19" s="1658" t="s">
        <v>1777</v>
      </c>
      <c r="D19" s="1577" t="s">
        <v>34</v>
      </c>
      <c r="E19" s="1578" t="s">
        <v>27</v>
      </c>
      <c r="F19" s="1579" t="s">
        <v>87</v>
      </c>
      <c r="G19" s="1580">
        <f t="shared" si="7"/>
        <v>75989.1290322581</v>
      </c>
      <c r="H19" s="1593"/>
      <c r="I19" s="1594">
        <f t="shared" si="8"/>
        <v>115191.9207</v>
      </c>
      <c r="J19" s="1582">
        <f t="shared" si="9"/>
        <v>94226.52</v>
      </c>
      <c r="K19" s="1582">
        <f t="shared" si="10"/>
        <v>47113.26</v>
      </c>
      <c r="L19" s="1583">
        <v>15000</v>
      </c>
      <c r="M19" s="295">
        <f t="shared" si="6"/>
        <v>347520.8297322581</v>
      </c>
      <c r="N19" s="1584">
        <f t="shared" si="11"/>
        <v>27801.66637858065</v>
      </c>
      <c r="O19" s="1585"/>
      <c r="P19" s="1586"/>
      <c r="Q19" s="1587"/>
      <c r="R19" s="1588">
        <f t="shared" si="12"/>
        <v>375322.4961108388</v>
      </c>
      <c r="S19" s="1588">
        <f t="shared" si="13"/>
        <v>2780.166637858065</v>
      </c>
      <c r="T19" s="1589">
        <f t="shared" si="14"/>
        <v>378102.66274869686</v>
      </c>
      <c r="U19" s="1590">
        <v>44423</v>
      </c>
      <c r="V19" s="1591"/>
      <c r="W19" s="1630" t="s">
        <v>1772</v>
      </c>
    </row>
    <row r="20" ht="12" customHeight="1" s="351" customFormat="1">
      <c r="A20" s="238" t="s">
        <v>30</v>
      </c>
      <c r="B20" s="1878"/>
      <c r="C20" s="1032" t="s">
        <v>1000</v>
      </c>
      <c r="D20" s="1090" t="s">
        <v>34</v>
      </c>
      <c r="E20" s="228" t="s">
        <v>27</v>
      </c>
      <c r="F20" s="1549" t="s">
        <v>87</v>
      </c>
      <c r="G20" s="1554">
        <f t="shared" si="7"/>
        <v>75989.1290322581</v>
      </c>
      <c r="H20" s="233"/>
      <c r="I20" s="293"/>
      <c r="J20" s="1555"/>
      <c r="K20" s="293"/>
      <c r="L20" s="395"/>
      <c r="M20" s="295">
        <f t="shared" si="6"/>
        <v>75989.1290322581</v>
      </c>
      <c r="N20" s="296">
        <f ref="N20:N34" t="shared" si="15">+M20*8%</f>
        <v>6079.130322580649</v>
      </c>
      <c r="O20" s="1550"/>
      <c r="P20" s="1551"/>
      <c r="Q20" s="1552"/>
      <c r="R20" s="328">
        <f ref="R20:R34" t="shared" si="16">SUM(M20:Q20)</f>
        <v>82068.25935483875</v>
      </c>
      <c r="S20" s="328">
        <f ref="S20:S34" t="shared" si="17">N20*0.1</f>
        <v>607.9130322580648</v>
      </c>
      <c r="T20" s="329">
        <f ref="T20:T34" t="shared" si="18">R20+S20</f>
        <v>82676.17238709681</v>
      </c>
      <c r="U20" s="1553">
        <v>44423</v>
      </c>
      <c r="V20" s="330"/>
      <c r="W20" s="426" t="s">
        <v>1778</v>
      </c>
    </row>
    <row r="21" ht="12" customHeight="1" s="351" customFormat="1">
      <c r="A21" s="238" t="s">
        <v>30</v>
      </c>
      <c r="B21" s="1878"/>
      <c r="C21" s="359" t="s">
        <v>290</v>
      </c>
      <c r="D21" s="1090" t="s">
        <v>34</v>
      </c>
      <c r="E21" s="228" t="s">
        <v>27</v>
      </c>
      <c r="F21" s="1549" t="s">
        <v>87</v>
      </c>
      <c r="G21" s="1554">
        <f ref="G21:G34" t="shared" si="19">2355663/31*1</f>
        <v>75989.1290322581</v>
      </c>
      <c r="H21" s="233"/>
      <c r="I21" s="293"/>
      <c r="J21" s="1555"/>
      <c r="K21" s="293"/>
      <c r="L21" s="395"/>
      <c r="M21" s="295">
        <f t="shared" si="6"/>
        <v>75989.1290322581</v>
      </c>
      <c r="N21" s="296">
        <f t="shared" si="15"/>
        <v>6079.130322580649</v>
      </c>
      <c r="O21" s="1550"/>
      <c r="P21" s="1551"/>
      <c r="Q21" s="1552"/>
      <c r="R21" s="328">
        <f t="shared" si="16"/>
        <v>82068.25935483875</v>
      </c>
      <c r="S21" s="328">
        <f t="shared" si="17"/>
        <v>607.9130322580648</v>
      </c>
      <c r="T21" s="329">
        <f t="shared" si="18"/>
        <v>82676.17238709681</v>
      </c>
      <c r="U21" s="1553">
        <v>44423</v>
      </c>
      <c r="V21" s="330"/>
      <c r="W21" s="426" t="s">
        <v>1778</v>
      </c>
    </row>
    <row r="22" ht="12" customHeight="1" s="351" customFormat="1">
      <c r="A22" s="238" t="s">
        <v>30</v>
      </c>
      <c r="B22" s="1878"/>
      <c r="C22" s="359" t="s">
        <v>1003</v>
      </c>
      <c r="D22" s="1090" t="s">
        <v>34</v>
      </c>
      <c r="E22" s="228" t="s">
        <v>27</v>
      </c>
      <c r="F22" s="1549" t="s">
        <v>87</v>
      </c>
      <c r="G22" s="1554">
        <f t="shared" si="19"/>
        <v>75989.1290322581</v>
      </c>
      <c r="H22" s="233"/>
      <c r="I22" s="293"/>
      <c r="J22" s="1555"/>
      <c r="K22" s="293"/>
      <c r="L22" s="395"/>
      <c r="M22" s="295">
        <f t="shared" si="6"/>
        <v>75989.1290322581</v>
      </c>
      <c r="N22" s="296">
        <f t="shared" si="15"/>
        <v>6079.130322580649</v>
      </c>
      <c r="O22" s="1550"/>
      <c r="P22" s="1551"/>
      <c r="Q22" s="1552"/>
      <c r="R22" s="328">
        <f t="shared" si="16"/>
        <v>82068.25935483875</v>
      </c>
      <c r="S22" s="328">
        <f t="shared" si="17"/>
        <v>607.9130322580648</v>
      </c>
      <c r="T22" s="329">
        <f t="shared" si="18"/>
        <v>82676.17238709681</v>
      </c>
      <c r="U22" s="1553">
        <v>44423</v>
      </c>
      <c r="V22" s="330"/>
      <c r="W22" s="426" t="s">
        <v>1778</v>
      </c>
    </row>
    <row r="23" ht="12" customHeight="1" s="351" customFormat="1">
      <c r="A23" s="238" t="s">
        <v>30</v>
      </c>
      <c r="B23" s="1878"/>
      <c r="C23" s="359" t="s">
        <v>550</v>
      </c>
      <c r="D23" s="1090" t="s">
        <v>34</v>
      </c>
      <c r="E23" s="228" t="s">
        <v>27</v>
      </c>
      <c r="F23" s="1549" t="s">
        <v>87</v>
      </c>
      <c r="G23" s="1554">
        <f t="shared" si="19"/>
        <v>75989.1290322581</v>
      </c>
      <c r="H23" s="233"/>
      <c r="I23" s="293"/>
      <c r="J23" s="1555"/>
      <c r="K23" s="293"/>
      <c r="L23" s="395"/>
      <c r="M23" s="295">
        <f t="shared" si="6"/>
        <v>75989.1290322581</v>
      </c>
      <c r="N23" s="296">
        <f t="shared" si="15"/>
        <v>6079.130322580649</v>
      </c>
      <c r="O23" s="1550"/>
      <c r="P23" s="1551"/>
      <c r="Q23" s="1552"/>
      <c r="R23" s="328">
        <f t="shared" si="16"/>
        <v>82068.25935483875</v>
      </c>
      <c r="S23" s="328">
        <f t="shared" si="17"/>
        <v>607.9130322580648</v>
      </c>
      <c r="T23" s="329">
        <f t="shared" si="18"/>
        <v>82676.17238709681</v>
      </c>
      <c r="U23" s="1553">
        <v>44423</v>
      </c>
      <c r="V23" s="330"/>
      <c r="W23" s="426" t="s">
        <v>1778</v>
      </c>
    </row>
    <row r="24" ht="12" customHeight="1" s="351" customFormat="1">
      <c r="A24" s="238" t="s">
        <v>30</v>
      </c>
      <c r="B24" s="1878"/>
      <c r="C24" s="359" t="s">
        <v>1005</v>
      </c>
      <c r="D24" s="1090" t="s">
        <v>34</v>
      </c>
      <c r="E24" s="228" t="s">
        <v>27</v>
      </c>
      <c r="F24" s="1549" t="s">
        <v>87</v>
      </c>
      <c r="G24" s="1554">
        <f t="shared" si="19"/>
        <v>75989.1290322581</v>
      </c>
      <c r="H24" s="233"/>
      <c r="I24" s="293"/>
      <c r="J24" s="1555"/>
      <c r="K24" s="293"/>
      <c r="L24" s="395"/>
      <c r="M24" s="295">
        <f t="shared" si="6"/>
        <v>75989.1290322581</v>
      </c>
      <c r="N24" s="296">
        <f t="shared" si="15"/>
        <v>6079.130322580649</v>
      </c>
      <c r="O24" s="1550"/>
      <c r="P24" s="1551"/>
      <c r="Q24" s="1552"/>
      <c r="R24" s="328">
        <f t="shared" si="16"/>
        <v>82068.25935483875</v>
      </c>
      <c r="S24" s="328">
        <f t="shared" si="17"/>
        <v>607.9130322580648</v>
      </c>
      <c r="T24" s="329">
        <f t="shared" si="18"/>
        <v>82676.17238709681</v>
      </c>
      <c r="U24" s="1553">
        <v>44423</v>
      </c>
      <c r="V24" s="330"/>
      <c r="W24" s="426" t="s">
        <v>1778</v>
      </c>
    </row>
    <row r="25" ht="12" customHeight="1" s="351" customFormat="1">
      <c r="A25" s="238" t="s">
        <v>30</v>
      </c>
      <c r="B25" s="1878"/>
      <c r="C25" s="359" t="s">
        <v>1007</v>
      </c>
      <c r="D25" s="1090" t="s">
        <v>34</v>
      </c>
      <c r="E25" s="228" t="s">
        <v>27</v>
      </c>
      <c r="F25" s="1549" t="s">
        <v>87</v>
      </c>
      <c r="G25" s="1554">
        <f t="shared" si="19"/>
        <v>75989.1290322581</v>
      </c>
      <c r="H25" s="233"/>
      <c r="I25" s="293"/>
      <c r="J25" s="1555"/>
      <c r="K25" s="293"/>
      <c r="L25" s="395"/>
      <c r="M25" s="295">
        <f t="shared" si="6"/>
        <v>75989.1290322581</v>
      </c>
      <c r="N25" s="296">
        <f t="shared" si="15"/>
        <v>6079.130322580649</v>
      </c>
      <c r="O25" s="1550"/>
      <c r="P25" s="1551"/>
      <c r="Q25" s="1552"/>
      <c r="R25" s="328">
        <f t="shared" si="16"/>
        <v>82068.25935483875</v>
      </c>
      <c r="S25" s="328">
        <f t="shared" si="17"/>
        <v>607.9130322580648</v>
      </c>
      <c r="T25" s="329">
        <f t="shared" si="18"/>
        <v>82676.17238709681</v>
      </c>
      <c r="U25" s="1553">
        <v>44423</v>
      </c>
      <c r="V25" s="330"/>
      <c r="W25" s="426" t="s">
        <v>1778</v>
      </c>
    </row>
    <row r="26" ht="12" customHeight="1" s="351" customFormat="1">
      <c r="A26" s="238" t="s">
        <v>30</v>
      </c>
      <c r="B26" s="1878"/>
      <c r="C26" s="359" t="s">
        <v>1025</v>
      </c>
      <c r="D26" s="1090" t="s">
        <v>34</v>
      </c>
      <c r="E26" s="228" t="s">
        <v>27</v>
      </c>
      <c r="F26" s="1549" t="s">
        <v>87</v>
      </c>
      <c r="G26" s="1554">
        <f t="shared" si="19"/>
        <v>75989.1290322581</v>
      </c>
      <c r="H26" s="233"/>
      <c r="I26" s="293"/>
      <c r="J26" s="1555"/>
      <c r="K26" s="293"/>
      <c r="L26" s="395"/>
      <c r="M26" s="295">
        <f t="shared" si="6"/>
        <v>75989.1290322581</v>
      </c>
      <c r="N26" s="296">
        <f t="shared" si="15"/>
        <v>6079.130322580649</v>
      </c>
      <c r="O26" s="1550"/>
      <c r="P26" s="1551"/>
      <c r="Q26" s="1552"/>
      <c r="R26" s="328">
        <f t="shared" si="16"/>
        <v>82068.25935483875</v>
      </c>
      <c r="S26" s="328">
        <f t="shared" si="17"/>
        <v>607.9130322580648</v>
      </c>
      <c r="T26" s="329">
        <f t="shared" si="18"/>
        <v>82676.17238709681</v>
      </c>
      <c r="U26" s="1553">
        <v>44423</v>
      </c>
      <c r="V26" s="330"/>
      <c r="W26" s="426" t="s">
        <v>1778</v>
      </c>
    </row>
    <row r="27" ht="12" customHeight="1" s="351" customFormat="1">
      <c r="A27" s="238" t="s">
        <v>30</v>
      </c>
      <c r="B27" s="1878"/>
      <c r="C27" s="1089" t="s">
        <v>1009</v>
      </c>
      <c r="D27" s="1090" t="s">
        <v>34</v>
      </c>
      <c r="E27" s="228" t="s">
        <v>27</v>
      </c>
      <c r="F27" s="1549" t="s">
        <v>87</v>
      </c>
      <c r="G27" s="1554">
        <f t="shared" si="19"/>
        <v>75989.1290322581</v>
      </c>
      <c r="H27" s="233"/>
      <c r="I27" s="293"/>
      <c r="J27" s="1555"/>
      <c r="K27" s="293"/>
      <c r="L27" s="395"/>
      <c r="M27" s="295">
        <f t="shared" si="6"/>
        <v>75989.1290322581</v>
      </c>
      <c r="N27" s="296">
        <f t="shared" si="15"/>
        <v>6079.130322580649</v>
      </c>
      <c r="O27" s="1550"/>
      <c r="P27" s="1551"/>
      <c r="Q27" s="1552"/>
      <c r="R27" s="328">
        <f t="shared" si="16"/>
        <v>82068.25935483875</v>
      </c>
      <c r="S27" s="328">
        <f t="shared" si="17"/>
        <v>607.9130322580648</v>
      </c>
      <c r="T27" s="329">
        <f t="shared" si="18"/>
        <v>82676.17238709681</v>
      </c>
      <c r="U27" s="1553">
        <v>44423</v>
      </c>
      <c r="V27" s="330"/>
      <c r="W27" s="426" t="s">
        <v>1778</v>
      </c>
    </row>
    <row r="28" ht="12" customHeight="1" s="351" customFormat="1">
      <c r="A28" s="238" t="s">
        <v>30</v>
      </c>
      <c r="B28" s="1878"/>
      <c r="C28" s="359" t="s">
        <v>1011</v>
      </c>
      <c r="D28" s="1090" t="s">
        <v>34</v>
      </c>
      <c r="E28" s="228" t="s">
        <v>27</v>
      </c>
      <c r="F28" s="1549" t="s">
        <v>87</v>
      </c>
      <c r="G28" s="1554">
        <f t="shared" si="19"/>
        <v>75989.1290322581</v>
      </c>
      <c r="H28" s="233"/>
      <c r="I28" s="293"/>
      <c r="J28" s="1555"/>
      <c r="K28" s="293"/>
      <c r="L28" s="395"/>
      <c r="M28" s="295">
        <f t="shared" si="6"/>
        <v>75989.1290322581</v>
      </c>
      <c r="N28" s="296">
        <f t="shared" si="15"/>
        <v>6079.130322580649</v>
      </c>
      <c r="O28" s="1550"/>
      <c r="P28" s="1551"/>
      <c r="Q28" s="1552"/>
      <c r="R28" s="328">
        <f t="shared" si="16"/>
        <v>82068.25935483875</v>
      </c>
      <c r="S28" s="328">
        <f t="shared" si="17"/>
        <v>607.9130322580648</v>
      </c>
      <c r="T28" s="329">
        <f t="shared" si="18"/>
        <v>82676.17238709681</v>
      </c>
      <c r="U28" s="1553">
        <v>44423</v>
      </c>
      <c r="V28" s="330"/>
      <c r="W28" s="426" t="s">
        <v>1778</v>
      </c>
    </row>
    <row r="29" ht="12" customHeight="1" s="351" customFormat="1">
      <c r="A29" s="238" t="s">
        <v>30</v>
      </c>
      <c r="B29" s="1878"/>
      <c r="C29" s="359" t="s">
        <v>1013</v>
      </c>
      <c r="D29" s="1090" t="s">
        <v>34</v>
      </c>
      <c r="E29" s="228" t="s">
        <v>27</v>
      </c>
      <c r="F29" s="1549" t="s">
        <v>87</v>
      </c>
      <c r="G29" s="1554">
        <f t="shared" si="19"/>
        <v>75989.1290322581</v>
      </c>
      <c r="H29" s="233"/>
      <c r="I29" s="293"/>
      <c r="J29" s="1555"/>
      <c r="K29" s="293"/>
      <c r="L29" s="395"/>
      <c r="M29" s="295">
        <f t="shared" si="6"/>
        <v>75989.1290322581</v>
      </c>
      <c r="N29" s="296">
        <f t="shared" si="15"/>
        <v>6079.130322580649</v>
      </c>
      <c r="O29" s="1550"/>
      <c r="P29" s="1551"/>
      <c r="Q29" s="1552"/>
      <c r="R29" s="328">
        <f t="shared" si="16"/>
        <v>82068.25935483875</v>
      </c>
      <c r="S29" s="328">
        <f t="shared" si="17"/>
        <v>607.9130322580648</v>
      </c>
      <c r="T29" s="329">
        <f t="shared" si="18"/>
        <v>82676.17238709681</v>
      </c>
      <c r="U29" s="1553">
        <v>44423</v>
      </c>
      <c r="V29" s="330"/>
      <c r="W29" s="426" t="s">
        <v>1778</v>
      </c>
    </row>
    <row r="30" ht="12" customHeight="1" s="351" customFormat="1">
      <c r="A30" s="238" t="s">
        <v>30</v>
      </c>
      <c r="B30" s="1878"/>
      <c r="C30" s="359" t="s">
        <v>315</v>
      </c>
      <c r="D30" s="1090" t="s">
        <v>34</v>
      </c>
      <c r="E30" s="228" t="s">
        <v>27</v>
      </c>
      <c r="F30" s="1549" t="s">
        <v>87</v>
      </c>
      <c r="G30" s="1554">
        <f t="shared" si="19"/>
        <v>75989.1290322581</v>
      </c>
      <c r="H30" s="233"/>
      <c r="I30" s="293"/>
      <c r="J30" s="1555"/>
      <c r="K30" s="293"/>
      <c r="L30" s="395"/>
      <c r="M30" s="295">
        <f t="shared" si="6"/>
        <v>75989.1290322581</v>
      </c>
      <c r="N30" s="296">
        <f t="shared" si="15"/>
        <v>6079.130322580649</v>
      </c>
      <c r="O30" s="1550"/>
      <c r="P30" s="1551"/>
      <c r="Q30" s="1552"/>
      <c r="R30" s="328">
        <f t="shared" si="16"/>
        <v>82068.25935483875</v>
      </c>
      <c r="S30" s="328">
        <f t="shared" si="17"/>
        <v>607.9130322580648</v>
      </c>
      <c r="T30" s="329">
        <f t="shared" si="18"/>
        <v>82676.17238709681</v>
      </c>
      <c r="U30" s="1553">
        <v>44423</v>
      </c>
      <c r="V30" s="330"/>
      <c r="W30" s="426" t="s">
        <v>1778</v>
      </c>
    </row>
    <row r="31" ht="12" customHeight="1" s="351" customFormat="1">
      <c r="A31" s="238" t="s">
        <v>30</v>
      </c>
      <c r="B31" s="1878"/>
      <c r="C31" s="359" t="s">
        <v>1016</v>
      </c>
      <c r="D31" s="1090" t="s">
        <v>34</v>
      </c>
      <c r="E31" s="228" t="s">
        <v>27</v>
      </c>
      <c r="F31" s="1549" t="s">
        <v>87</v>
      </c>
      <c r="G31" s="1554">
        <f t="shared" si="19"/>
        <v>75989.1290322581</v>
      </c>
      <c r="H31" s="233"/>
      <c r="I31" s="293"/>
      <c r="J31" s="1555"/>
      <c r="K31" s="293"/>
      <c r="L31" s="395"/>
      <c r="M31" s="295">
        <f t="shared" si="6"/>
        <v>75989.1290322581</v>
      </c>
      <c r="N31" s="296">
        <f t="shared" si="15"/>
        <v>6079.130322580649</v>
      </c>
      <c r="O31" s="1550"/>
      <c r="P31" s="1551"/>
      <c r="Q31" s="1552"/>
      <c r="R31" s="328">
        <f t="shared" si="16"/>
        <v>82068.25935483875</v>
      </c>
      <c r="S31" s="328">
        <f t="shared" si="17"/>
        <v>607.9130322580648</v>
      </c>
      <c r="T31" s="329">
        <f t="shared" si="18"/>
        <v>82676.17238709681</v>
      </c>
      <c r="U31" s="1553">
        <v>44423</v>
      </c>
      <c r="V31" s="330"/>
      <c r="W31" s="426" t="s">
        <v>1778</v>
      </c>
    </row>
    <row r="32" ht="12" customHeight="1" s="351" customFormat="1">
      <c r="A32" s="238" t="s">
        <v>30</v>
      </c>
      <c r="B32" s="1878"/>
      <c r="C32" s="359" t="s">
        <v>1018</v>
      </c>
      <c r="D32" s="1090" t="s">
        <v>34</v>
      </c>
      <c r="E32" s="228" t="s">
        <v>27</v>
      </c>
      <c r="F32" s="1549" t="s">
        <v>87</v>
      </c>
      <c r="G32" s="1554">
        <f t="shared" si="19"/>
        <v>75989.1290322581</v>
      </c>
      <c r="H32" s="233"/>
      <c r="I32" s="293"/>
      <c r="J32" s="1555"/>
      <c r="K32" s="293"/>
      <c r="L32" s="395"/>
      <c r="M32" s="295">
        <f t="shared" si="6"/>
        <v>75989.1290322581</v>
      </c>
      <c r="N32" s="296">
        <f t="shared" si="15"/>
        <v>6079.130322580649</v>
      </c>
      <c r="O32" s="1550"/>
      <c r="P32" s="1551"/>
      <c r="Q32" s="1552"/>
      <c r="R32" s="328">
        <f t="shared" si="16"/>
        <v>82068.25935483875</v>
      </c>
      <c r="S32" s="328">
        <f t="shared" si="17"/>
        <v>607.9130322580648</v>
      </c>
      <c r="T32" s="329">
        <f t="shared" si="18"/>
        <v>82676.17238709681</v>
      </c>
      <c r="U32" s="1553">
        <v>44423</v>
      </c>
      <c r="V32" s="330"/>
      <c r="W32" s="426" t="s">
        <v>1778</v>
      </c>
    </row>
    <row r="33" ht="12" customHeight="1" s="351" customFormat="1">
      <c r="A33" s="238" t="s">
        <v>30</v>
      </c>
      <c r="B33" s="1878"/>
      <c r="C33" s="1032" t="s">
        <v>1020</v>
      </c>
      <c r="D33" s="1090" t="s">
        <v>34</v>
      </c>
      <c r="E33" s="228" t="s">
        <v>27</v>
      </c>
      <c r="F33" s="1549" t="s">
        <v>87</v>
      </c>
      <c r="G33" s="1554">
        <f t="shared" si="19"/>
        <v>75989.1290322581</v>
      </c>
      <c r="H33" s="233"/>
      <c r="I33" s="293"/>
      <c r="J33" s="1555"/>
      <c r="K33" s="293"/>
      <c r="L33" s="395"/>
      <c r="M33" s="295">
        <f t="shared" si="6"/>
        <v>75989.1290322581</v>
      </c>
      <c r="N33" s="296">
        <f t="shared" si="15"/>
        <v>6079.130322580649</v>
      </c>
      <c r="O33" s="1550"/>
      <c r="P33" s="1551"/>
      <c r="Q33" s="1552"/>
      <c r="R33" s="328">
        <f t="shared" si="16"/>
        <v>82068.25935483875</v>
      </c>
      <c r="S33" s="328">
        <f t="shared" si="17"/>
        <v>607.9130322580648</v>
      </c>
      <c r="T33" s="329">
        <f t="shared" si="18"/>
        <v>82676.17238709681</v>
      </c>
      <c r="U33" s="1553">
        <v>44423</v>
      </c>
      <c r="V33" s="330"/>
      <c r="W33" s="426" t="s">
        <v>1778</v>
      </c>
    </row>
    <row r="34" ht="12" customHeight="1" s="351" customFormat="1">
      <c r="A34" s="238" t="s">
        <v>30</v>
      </c>
      <c r="B34" s="1878"/>
      <c r="C34" s="590" t="s">
        <v>1021</v>
      </c>
      <c r="D34" s="1090" t="s">
        <v>34</v>
      </c>
      <c r="E34" s="228" t="s">
        <v>27</v>
      </c>
      <c r="F34" s="1549" t="s">
        <v>87</v>
      </c>
      <c r="G34" s="1554">
        <f t="shared" si="19"/>
        <v>75989.1290322581</v>
      </c>
      <c r="H34" s="233"/>
      <c r="I34" s="293"/>
      <c r="J34" s="1555"/>
      <c r="K34" s="293"/>
      <c r="L34" s="395"/>
      <c r="M34" s="295">
        <f t="shared" si="6"/>
        <v>75989.1290322581</v>
      </c>
      <c r="N34" s="296">
        <f t="shared" si="15"/>
        <v>6079.130322580649</v>
      </c>
      <c r="O34" s="1550"/>
      <c r="P34" s="1551"/>
      <c r="Q34" s="1552"/>
      <c r="R34" s="328">
        <f t="shared" si="16"/>
        <v>82068.25935483875</v>
      </c>
      <c r="S34" s="328">
        <f t="shared" si="17"/>
        <v>607.9130322580648</v>
      </c>
      <c r="T34" s="329">
        <f t="shared" si="18"/>
        <v>82676.17238709681</v>
      </c>
      <c r="U34" s="1553">
        <v>44423</v>
      </c>
      <c r="V34" s="330"/>
      <c r="W34" s="426" t="s">
        <v>1778</v>
      </c>
    </row>
    <row r="35" ht="12" customHeight="1" s="351" customFormat="1">
      <c r="A35" s="238" t="s">
        <v>30</v>
      </c>
      <c r="B35" s="1878"/>
      <c r="C35" s="590" t="s">
        <v>1779</v>
      </c>
      <c r="D35" s="1090" t="s">
        <v>34</v>
      </c>
      <c r="E35" s="228" t="s">
        <v>27</v>
      </c>
      <c r="F35" s="1549" t="s">
        <v>87</v>
      </c>
      <c r="G35" s="1554">
        <f ref="G35:G40" t="shared" si="20">2355663/31*1</f>
        <v>75989.1290322581</v>
      </c>
      <c r="H35" s="233"/>
      <c r="I35" s="293"/>
      <c r="J35" s="1555"/>
      <c r="K35" s="293"/>
      <c r="L35" s="395"/>
      <c r="M35" s="295">
        <f t="shared" si="6"/>
        <v>75989.1290322581</v>
      </c>
      <c r="N35" s="296">
        <f ref="N35:N40" t="shared" si="21">+M35*8%</f>
        <v>6079.130322580649</v>
      </c>
      <c r="O35" s="1550"/>
      <c r="P35" s="1551"/>
      <c r="Q35" s="1552"/>
      <c r="R35" s="328">
        <f ref="R35:R40" t="shared" si="22">SUM(M35:Q35)</f>
        <v>82068.25935483875</v>
      </c>
      <c r="S35" s="328">
        <f ref="S35:S40" t="shared" si="23">N35*0.1</f>
        <v>607.9130322580648</v>
      </c>
      <c r="T35" s="329">
        <f ref="T35:T40" t="shared" si="24">R35+S35</f>
        <v>82676.17238709681</v>
      </c>
      <c r="U35" s="1553">
        <v>44423</v>
      </c>
      <c r="V35" s="330"/>
      <c r="W35" s="426" t="s">
        <v>1780</v>
      </c>
    </row>
    <row r="36" ht="12" customHeight="1" s="351" customFormat="1">
      <c r="A36" s="238" t="s">
        <v>30</v>
      </c>
      <c r="B36" s="1878"/>
      <c r="C36" s="590" t="s">
        <v>1781</v>
      </c>
      <c r="D36" s="1090" t="s">
        <v>34</v>
      </c>
      <c r="E36" s="228" t="s">
        <v>27</v>
      </c>
      <c r="F36" s="1549" t="s">
        <v>87</v>
      </c>
      <c r="G36" s="1554">
        <f t="shared" si="20"/>
        <v>75989.1290322581</v>
      </c>
      <c r="H36" s="233"/>
      <c r="I36" s="293"/>
      <c r="J36" s="1555"/>
      <c r="K36" s="293"/>
      <c r="L36" s="395"/>
      <c r="M36" s="295">
        <f t="shared" si="6"/>
        <v>75989.1290322581</v>
      </c>
      <c r="N36" s="296">
        <f t="shared" si="21"/>
        <v>6079.130322580649</v>
      </c>
      <c r="O36" s="1550"/>
      <c r="P36" s="1551"/>
      <c r="Q36" s="1552"/>
      <c r="R36" s="328">
        <f t="shared" si="22"/>
        <v>82068.25935483875</v>
      </c>
      <c r="S36" s="328">
        <f t="shared" si="23"/>
        <v>607.9130322580648</v>
      </c>
      <c r="T36" s="329">
        <f t="shared" si="24"/>
        <v>82676.17238709681</v>
      </c>
      <c r="U36" s="1553">
        <v>44423</v>
      </c>
      <c r="V36" s="330"/>
      <c r="W36" s="426" t="s">
        <v>1780</v>
      </c>
    </row>
    <row r="37" ht="12" customHeight="1" s="351" customFormat="1">
      <c r="A37" s="238" t="s">
        <v>30</v>
      </c>
      <c r="B37" s="1878"/>
      <c r="C37" s="590" t="s">
        <v>1782</v>
      </c>
      <c r="D37" s="1090" t="s">
        <v>34</v>
      </c>
      <c r="E37" s="228" t="s">
        <v>27</v>
      </c>
      <c r="F37" s="1549" t="s">
        <v>87</v>
      </c>
      <c r="G37" s="1554">
        <f t="shared" si="20"/>
        <v>75989.1290322581</v>
      </c>
      <c r="H37" s="233"/>
      <c r="I37" s="293"/>
      <c r="J37" s="1555"/>
      <c r="K37" s="293"/>
      <c r="L37" s="395"/>
      <c r="M37" s="295">
        <f t="shared" si="6"/>
        <v>75989.1290322581</v>
      </c>
      <c r="N37" s="296">
        <f t="shared" si="21"/>
        <v>6079.130322580649</v>
      </c>
      <c r="O37" s="1550"/>
      <c r="P37" s="1551"/>
      <c r="Q37" s="1552"/>
      <c r="R37" s="328">
        <f t="shared" si="22"/>
        <v>82068.25935483875</v>
      </c>
      <c r="S37" s="328">
        <f t="shared" si="23"/>
        <v>607.9130322580648</v>
      </c>
      <c r="T37" s="329">
        <f t="shared" si="24"/>
        <v>82676.17238709681</v>
      </c>
      <c r="U37" s="1553">
        <v>44423</v>
      </c>
      <c r="V37" s="330"/>
      <c r="W37" s="426" t="s">
        <v>1780</v>
      </c>
    </row>
    <row r="38" ht="12" customHeight="1" s="351" customFormat="1">
      <c r="A38" s="238" t="s">
        <v>30</v>
      </c>
      <c r="B38" s="1878"/>
      <c r="C38" s="1556" t="s">
        <v>1783</v>
      </c>
      <c r="D38" s="1090" t="s">
        <v>34</v>
      </c>
      <c r="E38" s="228" t="s">
        <v>27</v>
      </c>
      <c r="F38" s="1549" t="s">
        <v>87</v>
      </c>
      <c r="G38" s="1554">
        <f t="shared" si="20"/>
        <v>75989.1290322581</v>
      </c>
      <c r="H38" s="233"/>
      <c r="I38" s="293"/>
      <c r="J38" s="1555"/>
      <c r="K38" s="293"/>
      <c r="L38" s="395"/>
      <c r="M38" s="295">
        <f t="shared" si="6"/>
        <v>75989.1290322581</v>
      </c>
      <c r="N38" s="296">
        <f t="shared" si="21"/>
        <v>6079.130322580649</v>
      </c>
      <c r="O38" s="1550"/>
      <c r="P38" s="1551"/>
      <c r="Q38" s="1552"/>
      <c r="R38" s="328">
        <f t="shared" si="22"/>
        <v>82068.25935483875</v>
      </c>
      <c r="S38" s="328">
        <f t="shared" si="23"/>
        <v>607.9130322580648</v>
      </c>
      <c r="T38" s="329">
        <f t="shared" si="24"/>
        <v>82676.17238709681</v>
      </c>
      <c r="U38" s="1553">
        <v>44423</v>
      </c>
      <c r="V38" s="330"/>
      <c r="W38" s="426" t="s">
        <v>1780</v>
      </c>
    </row>
    <row r="39" ht="12" customHeight="1" s="351" customFormat="1">
      <c r="A39" s="238" t="s">
        <v>30</v>
      </c>
      <c r="B39" s="1878"/>
      <c r="C39" s="1556" t="s">
        <v>1784</v>
      </c>
      <c r="D39" s="1090" t="s">
        <v>34</v>
      </c>
      <c r="E39" s="228" t="s">
        <v>27</v>
      </c>
      <c r="F39" s="1549" t="s">
        <v>87</v>
      </c>
      <c r="G39" s="1554">
        <f t="shared" si="20"/>
        <v>75989.1290322581</v>
      </c>
      <c r="H39" s="233"/>
      <c r="I39" s="293"/>
      <c r="J39" s="1555"/>
      <c r="K39" s="293"/>
      <c r="L39" s="395"/>
      <c r="M39" s="295">
        <f t="shared" si="6"/>
        <v>75989.1290322581</v>
      </c>
      <c r="N39" s="296">
        <f t="shared" si="21"/>
        <v>6079.130322580649</v>
      </c>
      <c r="O39" s="1550"/>
      <c r="P39" s="1551"/>
      <c r="Q39" s="1552"/>
      <c r="R39" s="328">
        <f t="shared" si="22"/>
        <v>82068.25935483875</v>
      </c>
      <c r="S39" s="328">
        <f t="shared" si="23"/>
        <v>607.9130322580648</v>
      </c>
      <c r="T39" s="329">
        <f t="shared" si="24"/>
        <v>82676.17238709681</v>
      </c>
      <c r="U39" s="1553">
        <v>44423</v>
      </c>
      <c r="V39" s="330"/>
      <c r="W39" s="426" t="s">
        <v>1780</v>
      </c>
    </row>
    <row r="40" ht="12" customHeight="1" s="351" customFormat="1">
      <c r="A40" s="238" t="s">
        <v>30</v>
      </c>
      <c r="B40" s="1878"/>
      <c r="C40" s="1556" t="s">
        <v>1785</v>
      </c>
      <c r="D40" s="1090" t="s">
        <v>34</v>
      </c>
      <c r="E40" s="228" t="s">
        <v>27</v>
      </c>
      <c r="F40" s="1549" t="s">
        <v>87</v>
      </c>
      <c r="G40" s="1554">
        <f t="shared" si="20"/>
        <v>75989.1290322581</v>
      </c>
      <c r="H40" s="233"/>
      <c r="I40" s="293"/>
      <c r="J40" s="1555"/>
      <c r="K40" s="293"/>
      <c r="L40" s="395"/>
      <c r="M40" s="295">
        <f t="shared" si="6"/>
        <v>75989.1290322581</v>
      </c>
      <c r="N40" s="296">
        <f t="shared" si="21"/>
        <v>6079.130322580649</v>
      </c>
      <c r="O40" s="1550"/>
      <c r="P40" s="1551"/>
      <c r="Q40" s="1552"/>
      <c r="R40" s="328">
        <f t="shared" si="22"/>
        <v>82068.25935483875</v>
      </c>
      <c r="S40" s="328">
        <f t="shared" si="23"/>
        <v>607.9130322580648</v>
      </c>
      <c r="T40" s="329">
        <f t="shared" si="24"/>
        <v>82676.17238709681</v>
      </c>
      <c r="U40" s="1553">
        <v>44423</v>
      </c>
      <c r="V40" s="330"/>
      <c r="W40" s="426" t="s">
        <v>1780</v>
      </c>
    </row>
    <row r="41" ht="12" customHeight="1">
      <c r="A41" s="1744" t="s">
        <v>30</v>
      </c>
      <c r="B41" s="1867"/>
      <c r="C41" s="1745"/>
      <c r="D41" s="1745"/>
      <c r="E41" s="1747"/>
      <c r="F41" s="1745"/>
      <c r="G41" s="234">
        <f>SUM(G10:G40)</f>
        <v>11398369.3548387</v>
      </c>
      <c r="H41" s="906">
        <f ref="H41:T41" t="shared" si="25">SUM(H10:H40)</f>
        <v>0</v>
      </c>
      <c r="I41" s="906">
        <f t="shared" si="25"/>
        <v>1151919.207</v>
      </c>
      <c r="J41" s="234">
        <f t="shared" si="25"/>
        <v>942265.2</v>
      </c>
      <c r="K41" s="234">
        <f t="shared" si="25"/>
        <v>471132.6</v>
      </c>
      <c r="L41" s="234">
        <f t="shared" si="25"/>
        <v>150000</v>
      </c>
      <c r="M41" s="234">
        <f t="shared" si="25"/>
        <v>14113686.361838704</v>
      </c>
      <c r="N41" s="234">
        <f t="shared" si="25"/>
        <v>1129094.9089470974</v>
      </c>
      <c r="O41" s="234">
        <f t="shared" si="25"/>
        <v>2335000</v>
      </c>
      <c r="P41" s="234">
        <f t="shared" si="25"/>
        <v>0</v>
      </c>
      <c r="Q41" s="234">
        <f t="shared" si="25"/>
        <v>0</v>
      </c>
      <c r="R41" s="234">
        <f t="shared" si="25"/>
        <v>17577781.27078579</v>
      </c>
      <c r="S41" s="234">
        <f t="shared" si="25"/>
        <v>112909.49089470961</v>
      </c>
      <c r="T41" s="234">
        <f t="shared" si="25"/>
        <v>17690690.761680514</v>
      </c>
      <c r="U41" s="332"/>
      <c r="V41" s="333"/>
    </row>
    <row r="42" ht="12" customHeight="1">
      <c r="A42" s="0" t="s">
        <v>30</v>
      </c>
      <c r="B42" s="1861"/>
      <c r="C42" s="209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V42" s="317"/>
    </row>
    <row r="43" ht="12" customHeight="1">
      <c r="A43" s="1744" t="s">
        <v>30</v>
      </c>
      <c r="B43" s="1867"/>
      <c r="C43" s="1745"/>
      <c r="D43" s="1745"/>
      <c r="E43" s="1747"/>
      <c r="F43" s="1745"/>
      <c r="G43" s="234">
        <f>SUM(G7,G41)</f>
        <v>13951635.3548387</v>
      </c>
      <c r="H43" s="234">
        <f ref="H43:T43" t="shared" si="26">SUM(H7,H41)</f>
        <v>0</v>
      </c>
      <c r="I43" s="234">
        <f t="shared" si="26"/>
        <v>1276773.9144</v>
      </c>
      <c r="J43" s="234">
        <f t="shared" si="26"/>
        <v>1044395.84</v>
      </c>
      <c r="K43" s="234">
        <f t="shared" si="26"/>
        <v>522197.92</v>
      </c>
      <c r="L43" s="234">
        <f t="shared" si="26"/>
        <v>151667</v>
      </c>
      <c r="M43" s="234">
        <f t="shared" si="26"/>
        <v>16946670.029238705</v>
      </c>
      <c r="N43" s="234">
        <f t="shared" si="26"/>
        <v>1355733.6023390973</v>
      </c>
      <c r="O43" s="234">
        <f t="shared" si="26"/>
        <v>3485000</v>
      </c>
      <c r="P43" s="234">
        <f t="shared" si="26"/>
        <v>100000</v>
      </c>
      <c r="Q43" s="234">
        <f t="shared" si="26"/>
        <v>288000</v>
      </c>
      <c r="R43" s="234">
        <f t="shared" si="26"/>
        <v>22175403.63157779</v>
      </c>
      <c r="S43" s="234">
        <f t="shared" si="26"/>
        <v>135573.36023390963</v>
      </c>
      <c r="T43" s="234">
        <f t="shared" si="26"/>
        <v>22310976.991811715</v>
      </c>
      <c r="U43" s="332"/>
      <c r="V43" s="333"/>
    </row>
    <row r="44" ht="12" customHeight="1">
      <c r="A44" s="0" t="s">
        <v>30</v>
      </c>
      <c r="B44" s="1861"/>
      <c r="C44" s="387"/>
      <c r="D44" s="262"/>
      <c r="E44" s="263"/>
      <c r="F44" s="264"/>
      <c r="G44" s="210"/>
      <c r="H44" s="210"/>
      <c r="I44" s="310"/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48"/>
      <c r="V44" s="317"/>
    </row>
    <row r="45" ht="12" customHeight="1">
      <c r="A45" s="0" t="s">
        <v>30</v>
      </c>
      <c r="B45" s="1869"/>
      <c r="C45" s="264" t="str">
        <f>+'MALANG BAT AGUSTUS - OK'!C26</f>
        <v>Karawang, 16 Agustus 2021</v>
      </c>
      <c r="D45" s="270"/>
      <c r="E45" s="270"/>
      <c r="F45" s="270"/>
      <c r="G45" s="271"/>
      <c r="H45" s="271"/>
      <c r="I45" s="310"/>
      <c r="J45" s="310"/>
      <c r="K45" s="310"/>
      <c r="L45" s="310"/>
      <c r="M45" s="310"/>
      <c r="N45" s="310"/>
      <c r="O45" s="310"/>
      <c r="P45" s="310"/>
      <c r="Q45" s="310"/>
      <c r="R45" s="310"/>
      <c r="S45" s="310"/>
      <c r="T45" s="310"/>
      <c r="U45" s="310"/>
      <c r="V45" s="348"/>
      <c r="W45" s="317"/>
    </row>
    <row r="46" ht="12" customHeight="1">
      <c r="A46" s="0" t="s">
        <v>30</v>
      </c>
      <c r="B46" s="1870"/>
      <c r="C46" s="264" t="s">
        <v>38</v>
      </c>
      <c r="D46" s="263"/>
      <c r="E46" s="264"/>
      <c r="F46" s="264"/>
      <c r="G46" s="210"/>
      <c r="H46" s="210"/>
      <c r="I46" s="270"/>
      <c r="J46" s="270"/>
      <c r="K46" s="270"/>
      <c r="L46" s="270"/>
      <c r="M46" s="270"/>
      <c r="N46" s="310"/>
      <c r="O46" s="310"/>
      <c r="P46" s="310"/>
      <c r="Q46" s="310"/>
      <c r="R46" s="310"/>
      <c r="S46" s="270"/>
      <c r="T46" s="270"/>
      <c r="U46" s="310"/>
      <c r="V46" s="348"/>
      <c r="W46" s="317"/>
    </row>
    <row r="47" ht="12" customHeight="1">
      <c r="A47" s="0" t="s">
        <v>30</v>
      </c>
      <c r="B47" s="1869"/>
      <c r="C47" s="445"/>
      <c r="D47" s="274"/>
      <c r="E47" s="264"/>
      <c r="F47" s="264"/>
      <c r="G47" s="275"/>
      <c r="H47" s="275"/>
      <c r="I47" s="262"/>
      <c r="J47" s="262"/>
      <c r="K47" s="262"/>
      <c r="L47" s="312"/>
      <c r="M47" s="263" t="s">
        <v>39</v>
      </c>
      <c r="N47" s="313"/>
      <c r="O47" s="313"/>
      <c r="P47" s="313"/>
      <c r="S47" s="349"/>
      <c r="T47" s="270"/>
      <c r="U47" s="313"/>
      <c r="V47" s="348"/>
      <c r="W47" s="348"/>
    </row>
    <row r="48" ht="12" customHeight="1">
      <c r="A48" s="0" t="s">
        <v>30</v>
      </c>
      <c r="B48" s="1871"/>
      <c r="C48" s="446"/>
      <c r="D48" s="209"/>
      <c r="G48" s="275"/>
      <c r="H48" s="275"/>
      <c r="I48" s="262"/>
      <c r="J48" s="315"/>
      <c r="K48" s="262"/>
      <c r="L48" s="312"/>
      <c r="M48" s="262"/>
      <c r="N48" s="270"/>
      <c r="O48" s="270"/>
      <c r="P48" s="270"/>
      <c r="Q48" s="270"/>
      <c r="R48" s="270"/>
      <c r="S48" s="349"/>
      <c r="T48" s="270"/>
      <c r="U48" s="270"/>
      <c r="V48" s="348"/>
      <c r="W48" s="348"/>
    </row>
    <row r="49" ht="12" customHeight="1">
      <c r="A49" s="0" t="s">
        <v>30</v>
      </c>
      <c r="B49" s="1871"/>
      <c r="C49" s="446"/>
      <c r="D49" s="209"/>
      <c r="G49" s="210"/>
      <c r="H49" s="210"/>
      <c r="I49" s="210"/>
      <c r="J49" s="270"/>
      <c r="K49" s="270"/>
      <c r="L49" s="310"/>
      <c r="M49" s="270"/>
      <c r="N49" s="270"/>
      <c r="O49" s="270"/>
      <c r="P49" s="270"/>
      <c r="Q49" s="270"/>
      <c r="R49" s="270"/>
      <c r="S49" s="208"/>
      <c r="T49" s="270"/>
      <c r="U49" s="270"/>
      <c r="V49" s="348"/>
      <c r="W49" s="348"/>
    </row>
    <row r="50" ht="12" customHeight="1">
      <c r="A50" s="0" t="s">
        <v>30</v>
      </c>
      <c r="B50" s="1869"/>
      <c r="C50" s="445"/>
      <c r="D50" s="274"/>
      <c r="E50" s="264"/>
      <c r="F50" s="264"/>
      <c r="G50" s="275"/>
      <c r="H50" s="275"/>
      <c r="I50" s="275"/>
      <c r="J50" s="262"/>
      <c r="K50" s="262"/>
      <c r="L50" s="312"/>
      <c r="M50" s="262"/>
      <c r="N50" s="262"/>
      <c r="O50" s="262"/>
      <c r="P50" s="262"/>
      <c r="Q50" s="262"/>
      <c r="R50" s="262"/>
      <c r="S50" s="264"/>
      <c r="T50" s="270"/>
      <c r="U50" s="270"/>
      <c r="V50" s="348"/>
      <c r="W50" s="348"/>
    </row>
    <row r="51" ht="12" customHeight="1">
      <c r="A51" s="0" t="s">
        <v>30</v>
      </c>
      <c r="B51" s="1870"/>
      <c r="C51" s="264"/>
      <c r="D51" s="264"/>
      <c r="E51" s="264"/>
      <c r="F51" s="264"/>
      <c r="G51" s="275"/>
      <c r="H51" s="275"/>
      <c r="I51" s="275"/>
      <c r="J51" s="262"/>
      <c r="K51" s="262"/>
      <c r="L51" s="312"/>
      <c r="M51" s="262"/>
      <c r="N51" s="262"/>
      <c r="O51" s="262"/>
      <c r="P51" s="262"/>
      <c r="Q51" s="262"/>
      <c r="R51" s="262"/>
      <c r="S51" s="264"/>
      <c r="T51" s="208"/>
      <c r="U51" s="270"/>
      <c r="V51" s="348"/>
      <c r="W51" s="348"/>
    </row>
    <row r="52" ht="12" customHeight="1">
      <c r="A52" s="0" t="s">
        <v>30</v>
      </c>
      <c r="B52" s="1870"/>
      <c r="C52" s="264"/>
      <c r="D52" s="264"/>
      <c r="E52" s="264"/>
      <c r="F52" s="264"/>
      <c r="G52" s="275"/>
      <c r="H52" s="275"/>
      <c r="I52" s="275"/>
      <c r="J52" s="262"/>
      <c r="K52" s="262"/>
      <c r="L52" s="312"/>
      <c r="M52" s="262"/>
      <c r="N52" s="262"/>
      <c r="O52" s="262"/>
      <c r="P52" s="262"/>
      <c r="Q52" s="262"/>
      <c r="R52" s="262"/>
      <c r="S52" s="264"/>
      <c r="T52" s="270"/>
      <c r="U52" s="387"/>
      <c r="V52" s="348"/>
      <c r="W52" s="348"/>
    </row>
    <row r="53" ht="12" customHeight="1">
      <c r="A53" s="0" t="s">
        <v>30</v>
      </c>
      <c r="B53" s="1870"/>
      <c r="C53" s="264" t="s">
        <v>40</v>
      </c>
      <c r="D53" s="568"/>
      <c r="E53" s="264"/>
      <c r="F53" s="264"/>
      <c r="G53" s="275"/>
      <c r="H53" s="275"/>
      <c r="I53" s="275"/>
      <c r="J53" s="312" t="s">
        <v>41</v>
      </c>
      <c r="K53" s="263"/>
      <c r="L53" s="263"/>
      <c r="M53" s="263" t="s">
        <v>42</v>
      </c>
      <c r="O53" s="264" t="s">
        <v>43</v>
      </c>
      <c r="R53" s="263"/>
      <c r="U53" s="387"/>
      <c r="V53" s="350"/>
      <c r="W53" s="350"/>
    </row>
    <row r="54" ht="12" customHeight="1">
      <c r="A54" s="263" t="s">
        <v>30</v>
      </c>
      <c r="B54" s="1868"/>
      <c r="C54" s="274"/>
      <c r="D54" s="264"/>
      <c r="E54" s="264"/>
      <c r="F54" s="279"/>
      <c r="G54" s="275"/>
      <c r="H54" s="275"/>
      <c r="I54" s="263"/>
      <c r="J54" s="263"/>
      <c r="K54" s="263"/>
      <c r="L54" s="263"/>
      <c r="M54" s="275"/>
      <c r="N54" s="263"/>
      <c r="O54" s="263"/>
      <c r="P54" s="263"/>
      <c r="Q54" s="263"/>
      <c r="R54" s="263"/>
      <c r="U54" s="350"/>
      <c r="V54" s="350"/>
    </row>
    <row r="55" ht="12" customHeight="1">
      <c r="A55" s="263" t="s">
        <v>30</v>
      </c>
      <c r="B55" s="1868"/>
      <c r="C55" s="274"/>
      <c r="D55" s="264"/>
      <c r="E55" s="264"/>
      <c r="F55" s="279"/>
      <c r="G55" s="275"/>
      <c r="H55" s="275"/>
      <c r="I55" s="263"/>
      <c r="J55" s="263"/>
      <c r="K55" s="263"/>
      <c r="L55" s="263"/>
      <c r="M55" s="275"/>
      <c r="N55" s="263"/>
      <c r="O55" s="263"/>
      <c r="P55" s="263"/>
      <c r="Q55" s="263"/>
      <c r="R55" s="263"/>
      <c r="U55" s="350"/>
      <c r="V55" s="350"/>
    </row>
  </sheetData>
  <mergeCells>
    <mergeCell ref="A7:F7"/>
    <mergeCell ref="A41:F41"/>
    <mergeCell ref="A43:F43"/>
  </mergeCells>
  <printOptions horizontalCentered="1"/>
  <pageMargins left="0" right="0" top="0.75" bottom="0.75" header="0.3" footer="0.3"/>
  <pageSetup paperSize="9" scale="65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52</vt:i4>
      </vt:variant>
    </vt:vector>
  </HeadingPairs>
  <TitlesOfParts>
    <vt:vector size="95" baseType="lpstr">
      <vt:lpstr>MALANG BAT AGUSTUS - OK</vt:lpstr>
      <vt:lpstr>MALANG BAT JULI - OK</vt:lpstr>
      <vt:lpstr>MALANG BAT 2 AGUSTUS - OK</vt:lpstr>
      <vt:lpstr>YAMAZAKI JEMBER AGUSTUS - OK</vt:lpstr>
      <vt:lpstr>YAMAZAKI MALANG AGUSTUS - OK</vt:lpstr>
      <vt:lpstr>YAMAZAKI MALANG JULI - OK</vt:lpstr>
      <vt:lpstr>MADIUN ANTERAJA AGUSTUS - OK</vt:lpstr>
      <vt:lpstr>MADIUN ANTERAJA JULI - OK</vt:lpstr>
      <vt:lpstr>JEMBER ANTERAJA AGUSTUS - OK</vt:lpstr>
      <vt:lpstr>BANYUWANGI ANTERAJA AGUSTS - OK</vt:lpstr>
      <vt:lpstr>PAMEKASAN ANTERAJA AGUST- OK</vt:lpstr>
      <vt:lpstr>LAMONGAN ANTERAJA AGUST - OK</vt:lpstr>
      <vt:lpstr>LAMONGAN ANTERAJA JULI - OK</vt:lpstr>
      <vt:lpstr>TUBAN ANTERAJA AGUSTUS - OK</vt:lpstr>
      <vt:lpstr>SURABAYA ANTERAJA AGUSTUS - OK</vt:lpstr>
      <vt:lpstr>SURABAYA ANTERAJA JULI - OK</vt:lpstr>
      <vt:lpstr>MALANG ANTERAJA AGUSTUS - OK</vt:lpstr>
      <vt:lpstr>MALANG ANTERAJA JULI - OK</vt:lpstr>
      <vt:lpstr>PROBOLINGGO ANTERAJA AGUST - OK</vt:lpstr>
      <vt:lpstr>JOMBANG ANTERAJA AGUST - OK</vt:lpstr>
      <vt:lpstr>BALI CK AGUSTUS - OK</vt:lpstr>
      <vt:lpstr>BALI AOP AGUSTUS - OK</vt:lpstr>
      <vt:lpstr>BALI ANTERAJA AGUSTUS - OK</vt:lpstr>
      <vt:lpstr>MATARAM ANTERAJA AGUSTUS - OK</vt:lpstr>
      <vt:lpstr>SUMBAWA ANTERAJA - OK</vt:lpstr>
      <vt:lpstr>BIMA ANTERAJA - OK</vt:lpstr>
      <vt:lpstr>SAT REMBANG AGUSTUS - OK</vt:lpstr>
      <vt:lpstr>SEMARANG AOP AGUSTUS - OK</vt:lpstr>
      <vt:lpstr>SEMARANG ANTERAJA AGUSTUS- OK</vt:lpstr>
      <vt:lpstr>PURWOKERTO AOP AGUSTUS - OK</vt:lpstr>
      <vt:lpstr>PURWOKERTO ANTERAJA AGUSTS - OK</vt:lpstr>
      <vt:lpstr>JOGJA ANTERAJA AGUSTUS - OK</vt:lpstr>
      <vt:lpstr>JOGJA ANTERAJA JULI - OK</vt:lpstr>
      <vt:lpstr>TEGAL ANTERAJA AGUSTUS - OK</vt:lpstr>
      <vt:lpstr>CILACAP ANTERAJA AGUSTUS - OK</vt:lpstr>
      <vt:lpstr>PEMALANG ANTERAJA AGUSTUS - OK</vt:lpstr>
      <vt:lpstr>KUDUS ANTERAJA AGUSTUS - OK</vt:lpstr>
      <vt:lpstr>SOLO ANTERAJA AGUSTUS - OK</vt:lpstr>
      <vt:lpstr>sharing budget</vt:lpstr>
      <vt:lpstr>in out</vt:lpstr>
      <vt:lpstr>INVOICE AGUSTUS</vt:lpstr>
      <vt:lpstr>INVOICE JULI</vt:lpstr>
      <vt:lpstr>sharing budget invoice </vt:lpstr>
      <vt:lpstr>'BALI ANTERAJA AGUSTUS - OK'!Print_Area</vt:lpstr>
      <vt:lpstr>'BALI AOP AGUSTUS - OK'!Print_Area</vt:lpstr>
      <vt:lpstr>'BALI CK AGUSTUS - OK'!Print_Area</vt:lpstr>
      <vt:lpstr>'BANYUWANGI ANTERAJA AGUSTS - OK'!Print_Area</vt:lpstr>
      <vt:lpstr>'BIMA ANTERAJA - OK'!Print_Area</vt:lpstr>
      <vt:lpstr>'CILACAP ANTERAJA AGUSTUS - OK'!Print_Area</vt:lpstr>
      <vt:lpstr>'in out'!Print_Area</vt:lpstr>
      <vt:lpstr>'INVOICE AGUSTUS'!Print_Area</vt:lpstr>
      <vt:lpstr>'INVOICE JULI'!Print_Area</vt:lpstr>
      <vt:lpstr>'JEMBER ANTERAJA AGUSTUS - OK'!Print_Area</vt:lpstr>
      <vt:lpstr>'JOGJA ANTERAJA AGUSTUS - OK'!Print_Area</vt:lpstr>
      <vt:lpstr>'JOGJA ANTERAJA JULI - OK'!Print_Area</vt:lpstr>
      <vt:lpstr>'JOMBANG ANTERAJA AGUST - OK'!Print_Area</vt:lpstr>
      <vt:lpstr>'KUDUS ANTERAJA AGUSTUS - OK'!Print_Area</vt:lpstr>
      <vt:lpstr>'LAMONGAN ANTERAJA AGUST - OK'!Print_Area</vt:lpstr>
      <vt:lpstr>'LAMONGAN ANTERAJA JULI - OK'!Print_Area</vt:lpstr>
      <vt:lpstr>'MADIUN ANTERAJA AGUSTUS - OK'!Print_Area</vt:lpstr>
      <vt:lpstr>'MADIUN ANTERAJA JULI - OK'!Print_Area</vt:lpstr>
      <vt:lpstr>'MALANG ANTERAJA AGUSTUS - OK'!Print_Area</vt:lpstr>
      <vt:lpstr>'MALANG ANTERAJA JULI - OK'!Print_Area</vt:lpstr>
      <vt:lpstr>'MALANG BAT 2 AGUSTUS - OK'!Print_Area</vt:lpstr>
      <vt:lpstr>'MALANG BAT AGUSTUS - OK'!Print_Area</vt:lpstr>
      <vt:lpstr>'MALANG BAT JULI - OK'!Print_Area</vt:lpstr>
      <vt:lpstr>'MATARAM ANTERAJA AGUSTUS - OK'!Print_Area</vt:lpstr>
      <vt:lpstr>'PAMEKASAN ANTERAJA AGUST- OK'!Print_Area</vt:lpstr>
      <vt:lpstr>'PEMALANG ANTERAJA AGUSTUS - OK'!Print_Area</vt:lpstr>
      <vt:lpstr>'PROBOLINGGO ANTERAJA AGUST - OK'!Print_Area</vt:lpstr>
      <vt:lpstr>'PURWOKERTO ANTERAJA AGUSTS - OK'!Print_Area</vt:lpstr>
      <vt:lpstr>'PURWOKERTO AOP AGUSTUS - OK'!Print_Area</vt:lpstr>
      <vt:lpstr>'SAT REMBANG AGUSTUS - OK'!Print_Area</vt:lpstr>
      <vt:lpstr>'SEMARANG ANTERAJA AGUSTUS- OK'!Print_Area</vt:lpstr>
      <vt:lpstr>'SEMARANG AOP AGUSTUS - OK'!Print_Area</vt:lpstr>
      <vt:lpstr>'sharing budget'!Print_Area</vt:lpstr>
      <vt:lpstr>'sharing budget invoice '!Print_Area</vt:lpstr>
      <vt:lpstr>'SOLO ANTERAJA AGUSTUS - OK'!Print_Area</vt:lpstr>
      <vt:lpstr>'SUMBAWA ANTERAJA - OK'!Print_Area</vt:lpstr>
      <vt:lpstr>'SURABAYA ANTERAJA AGUSTUS - OK'!Print_Area</vt:lpstr>
      <vt:lpstr>'SURABAYA ANTERAJA JULI - OK'!Print_Area</vt:lpstr>
      <vt:lpstr>'TEGAL ANTERAJA AGUSTUS - OK'!Print_Area</vt:lpstr>
      <vt:lpstr>'TUBAN ANTERAJA AGUSTUS - OK'!Print_Area</vt:lpstr>
      <vt:lpstr>'YAMAZAKI JEMBER AGUSTUS - OK'!Print_Area</vt:lpstr>
      <vt:lpstr>'YAMAZAKI MALANG AGUSTUS - OK'!Print_Area</vt:lpstr>
      <vt:lpstr>'YAMAZAKI MALANG JULI - OK'!Print_Area</vt:lpstr>
      <vt:lpstr>'INVOICE AGUSTUS'!Print_Titles</vt:lpstr>
      <vt:lpstr>'JOGJA ANTERAJA AGUSTUS - OK'!Print_Titles</vt:lpstr>
      <vt:lpstr>'JOGJA ANTERAJA JULI - OK'!Print_Titles</vt:lpstr>
      <vt:lpstr>'MALANG ANTERAJA AGUSTUS - OK'!Print_Titles</vt:lpstr>
      <vt:lpstr>'MALANG ANTERAJA JULI - OK'!Print_Titles</vt:lpstr>
      <vt:lpstr>'SAT REMBANG AGUSTUS - OK'!Print_Titles</vt:lpstr>
      <vt:lpstr>'SEMARANG ANTERAJA AGUSTUS- OK'!Print_Titles</vt:lpstr>
      <vt:lpstr>'SURABAYA ANTERAJA AGUSTUS - OK'!Print_Titles</vt:lpstr>
      <vt:lpstr>'SURABAYA ANTERAJA JULI - OK'!Print_Titles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satbks</dc:creator>
  <cp:lastModifiedBy>ASUS</cp:lastModifiedBy>
  <cp:revision>1</cp:revision>
  <cp:lastPrinted>2021-08-20T12:17:02Z</cp:lastPrinted>
  <dcterms:created xsi:type="dcterms:W3CDTF">2012-09-01T19:30:00Z</dcterms:created>
  <dcterms:modified xsi:type="dcterms:W3CDTF">2021-08-21T04:23:30Z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  <property fmtid="{D5CDD505-2E9C-101B-9397-08002B2CF9AE}" pid="3" name="KSOReadingLayout">
    <vt:bool>false</vt:bool>
  </property>
</Properties>
</file>