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350" yWindow="225" windowWidth="10140" windowHeight="7920" tabRatio="879"/>
  </bookViews>
  <sheets>
    <sheet name="REKAP" sheetId="19" r:id="rId1"/>
    <sheet name="REKAP (2)" sheetId="24" state="hidden" r:id="rId2"/>
    <sheet name="transfer payroll" sheetId="18" r:id="rId3"/>
    <sheet name="tanda terima  (2)" sheetId="26" r:id="rId4"/>
    <sheet name="RINCIAN" sheetId="17" r:id="rId5"/>
    <sheet name="SIMULASI" sheetId="22" state="hidden" r:id="rId6"/>
    <sheet name="Sheet2" sheetId="23" state="hidden" r:id="rId7"/>
    <sheet name="Sheet3" sheetId="25" r:id="rId8"/>
  </sheets>
  <externalReferences>
    <externalReference r:id="rId9"/>
  </externalReferences>
  <definedNames>
    <definedName name="__xlnm._FilterDatabase_1">#REF!</definedName>
    <definedName name="__xlnm._FilterDatabase_1" localSheetId="0">#REF!</definedName>
    <definedName name="_xlnm.Print_Area" localSheetId="0">REKAP!$Y$7:$AJ$128</definedName>
    <definedName name="_xlnm.Print_Titles" localSheetId="0">REKAP!$9:$9</definedName>
    <definedName name="__xlnm._FilterDatabase_1" localSheetId="1">#REF!</definedName>
    <definedName name="_xlnm.Print_Area" localSheetId="1">'REKAP (2)'!$Y$7:$AJ$75</definedName>
    <definedName name="_xlnm.Print_Titles" localSheetId="1">'REKAP (2)'!$9:$9</definedName>
    <definedName name="__xlnm._FilterDatabase_1" localSheetId="2">#REF!</definedName>
    <definedName name="_xlnm.Print_Area" localSheetId="2">'transfer payroll'!#REF!</definedName>
    <definedName name="_xlnm.Print_Area" localSheetId="4">RINCIAN!$A$1:$K$26</definedName>
  </definedNames>
  <calcPr calcId="144525" fullCalcOnLoad="1"/>
</workbook>
</file>

<file path=xl/comments1.xml><?xml version="1.0" encoding="utf-8"?>
<comments xmlns="http://schemas.openxmlformats.org/spreadsheetml/2006/main">
  <authors>
    <author>ASUS</author>
  </authors>
  <commentList>
    <comment ref="AP19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TALI HELM TTNT</t>
        </r>
      </text>
    </comment>
    <comment ref="AP20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KACAMATA SAFETY DAN TALUI HELM TTNT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SPH BULAN JUNI, RP. 1.500.000 UNTUK PEEBAIKAN ROLLONG GATE YG TERTABRAK JUNI POT KE  1</t>
        </r>
      </text>
    </comment>
    <comment ref="AP62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N66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BUKA JUNI SPH KARENA NABRAK TIANG STOPPER</t>
        </r>
      </text>
    </comment>
    <comment ref="AP7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P7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N80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insident bulan juni sph rp. 750.000 
</t>
        </r>
      </text>
    </comment>
    <comment ref="AP80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KACAMATA SAFETY DAN TALUI HELM TTNT</t>
        </r>
      </text>
    </comment>
    <comment ref="AO82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et ilang bulan juni</t>
        </r>
      </text>
    </comment>
    <comment ref="AP8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P91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ROMPI TTNT</t>
        </r>
      </text>
    </comment>
  </commentList>
</comments>
</file>

<file path=xl/sharedStrings.xml><?xml version="1.0" encoding="utf-8"?>
<sst xmlns="http://schemas.openxmlformats.org/spreadsheetml/2006/main" count="499" uniqueCount="499">
  <si>
    <t>TANDA TERIMA GAJI</t>
  </si>
  <si>
    <t>Format tidak valid</t>
  </si>
  <si>
    <t>PERIODE BULAN JUNI 2021</t>
  </si>
  <si>
    <t>No</t>
  </si>
  <si>
    <t xml:space="preserve">Name  </t>
  </si>
  <si>
    <t>Jabatan</t>
  </si>
  <si>
    <t>Lokasi</t>
  </si>
  <si>
    <t>Customer</t>
  </si>
  <si>
    <t>Jumlah</t>
  </si>
  <si>
    <t>pot bank</t>
  </si>
  <si>
    <t>JUMLAH</t>
  </si>
  <si>
    <t>NO REKENING</t>
  </si>
  <si>
    <t>BANK</t>
  </si>
  <si>
    <t>PARAF</t>
  </si>
  <si>
    <t xml:space="preserve">ABDUL RAHMAN </t>
  </si>
  <si>
    <t>DRIVER</t>
  </si>
  <si>
    <t>CIBITUNG</t>
  </si>
  <si>
    <t>TTNT</t>
  </si>
  <si>
    <t>5221631481</t>
  </si>
  <si>
    <t>BCA</t>
  </si>
  <si>
    <t xml:space="preserve">ACEP TARUNA </t>
  </si>
  <si>
    <t>7425151461</t>
  </si>
  <si>
    <t>ADE HIDAYAT</t>
  </si>
  <si>
    <t>3431652607</t>
  </si>
  <si>
    <t>ADE RAHMAT</t>
  </si>
  <si>
    <t>6880585736</t>
  </si>
  <si>
    <t>AGUS SUPRIYADI</t>
  </si>
  <si>
    <t>2340312506</t>
  </si>
  <si>
    <t xml:space="preserve">AHDI </t>
  </si>
  <si>
    <t>6785130395</t>
  </si>
  <si>
    <t xml:space="preserve">AJI IRAWAN </t>
  </si>
  <si>
    <t>6755354183</t>
  </si>
  <si>
    <t>ANDI WARDANI</t>
  </si>
  <si>
    <t>2340317737</t>
  </si>
  <si>
    <t>ANDRI YANTO</t>
  </si>
  <si>
    <t>2310305271</t>
  </si>
  <si>
    <t>ARIS RACHMAT KURNIAWAN</t>
  </si>
  <si>
    <t>4460631756</t>
  </si>
  <si>
    <t>ARMAN</t>
  </si>
  <si>
    <t>6880467873</t>
  </si>
  <si>
    <t>ASEP KURNIA</t>
  </si>
  <si>
    <t>ATDI YUSHADI</t>
  </si>
  <si>
    <t>5775344145</t>
  </si>
  <si>
    <t>BUDIYANTO</t>
  </si>
  <si>
    <t>5745329885</t>
  </si>
  <si>
    <t xml:space="preserve">CAWAN KURNIAWAN </t>
  </si>
  <si>
    <t>5221524951</t>
  </si>
  <si>
    <t>DANI SAMBAS</t>
  </si>
  <si>
    <t>5221462352</t>
  </si>
  <si>
    <t>DEDE ROSADI</t>
  </si>
  <si>
    <t>4860323783</t>
  </si>
  <si>
    <t>DEDE WAHYU</t>
  </si>
  <si>
    <t>6785131791</t>
  </si>
  <si>
    <t>DEDI MAULANA</t>
  </si>
  <si>
    <t>1091946781</t>
  </si>
  <si>
    <t>DEDI PRIATNA</t>
  </si>
  <si>
    <t>5775609742</t>
  </si>
  <si>
    <t>DIAN JUHYANDI</t>
  </si>
  <si>
    <t>4860301071</t>
  </si>
  <si>
    <t>DWI HARYANTO</t>
  </si>
  <si>
    <t>1310591005</t>
  </si>
  <si>
    <t>EKO DARMAWAN</t>
  </si>
  <si>
    <t>4140956428</t>
  </si>
  <si>
    <t>FAHMI MATROTIN</t>
  </si>
  <si>
    <t>1320737962</t>
  </si>
  <si>
    <t>FATHUROHMAN</t>
  </si>
  <si>
    <t>7425120263</t>
  </si>
  <si>
    <t>GURUH ADI PUTRA</t>
  </si>
  <si>
    <t>7045037304</t>
  </si>
  <si>
    <t xml:space="preserve">HANDRI PLANI </t>
  </si>
  <si>
    <t>4860327223</t>
  </si>
  <si>
    <t>HENDRIK PURNAMA</t>
  </si>
  <si>
    <t>5745229155</t>
  </si>
  <si>
    <t xml:space="preserve">HERI PRASETIO </t>
  </si>
  <si>
    <t>4860273433</t>
  </si>
  <si>
    <t>HERI PURNOMO</t>
  </si>
  <si>
    <t>3431785054</t>
  </si>
  <si>
    <t>HERUDIN</t>
  </si>
  <si>
    <t>IKLIMASARI</t>
  </si>
  <si>
    <t>ADMIN</t>
  </si>
  <si>
    <t>0661445334</t>
  </si>
  <si>
    <t>IMAM HARDIAN</t>
  </si>
  <si>
    <t>6630937114</t>
  </si>
  <si>
    <t>INDRAWAN</t>
  </si>
  <si>
    <t>5775217399</t>
  </si>
  <si>
    <t xml:space="preserve">IRFAN SEPTIAN </t>
  </si>
  <si>
    <t>8761004018</t>
  </si>
  <si>
    <t>IRFANI</t>
  </si>
  <si>
    <t>3431674376</t>
  </si>
  <si>
    <t>IRWAN SATYANTO SIMATUPANG</t>
  </si>
  <si>
    <t>8200653875</t>
  </si>
  <si>
    <t>IWAN WIJAYA</t>
  </si>
  <si>
    <t>4061148293</t>
  </si>
  <si>
    <t xml:space="preserve">JAYA PERMANA </t>
  </si>
  <si>
    <t>8715108590</t>
  </si>
  <si>
    <t>KARYANA</t>
  </si>
  <si>
    <t>1091879765</t>
  </si>
  <si>
    <t>KOMAR</t>
  </si>
  <si>
    <t>6880599907</t>
  </si>
  <si>
    <t>KUSNANTO</t>
  </si>
  <si>
    <t>5221564546</t>
  </si>
  <si>
    <t>M FIKRI ALFIYANSAH</t>
  </si>
  <si>
    <t>5210982223</t>
  </si>
  <si>
    <t>MUHAMAD AMINNULLAH</t>
  </si>
  <si>
    <t>MUHAMAD ILYAS</t>
  </si>
  <si>
    <t>6785066824</t>
  </si>
  <si>
    <t>MUHAMAD MUHTADI</t>
  </si>
  <si>
    <t>1091905715</t>
  </si>
  <si>
    <t>NUR ALAMSYAH</t>
  </si>
  <si>
    <t>5211442523</t>
  </si>
  <si>
    <t xml:space="preserve">RAMDANI MANAON PAKPAHAN </t>
  </si>
  <si>
    <t>8730645300</t>
  </si>
  <si>
    <t xml:space="preserve">RANO KARNO </t>
  </si>
  <si>
    <t>2230671179</t>
  </si>
  <si>
    <t xml:space="preserve">RASDI SUMASDI </t>
  </si>
  <si>
    <t>5775571958</t>
  </si>
  <si>
    <t>ROSANDI</t>
  </si>
  <si>
    <t>1290824962</t>
  </si>
  <si>
    <t>SAEPUL HAMAMI</t>
  </si>
  <si>
    <t>5765356277</t>
  </si>
  <si>
    <t>SAMSUL MUARIPIN</t>
  </si>
  <si>
    <t>6880509665</t>
  </si>
  <si>
    <t>SANDI HENDRIANA</t>
  </si>
  <si>
    <t>8090258771</t>
  </si>
  <si>
    <t>SE SURYADI</t>
  </si>
  <si>
    <t>6880501559</t>
  </si>
  <si>
    <t>SRI ANDINI</t>
  </si>
  <si>
    <t>8730726610</t>
  </si>
  <si>
    <t>SUGIYARTO</t>
  </si>
  <si>
    <t>SUHENDRA</t>
  </si>
  <si>
    <t>3431614101</t>
  </si>
  <si>
    <t>SUKIYAT</t>
  </si>
  <si>
    <t>5221464037</t>
  </si>
  <si>
    <t>SUPIYARTO</t>
  </si>
  <si>
    <t>8421021929</t>
  </si>
  <si>
    <t>SUPRIYANTO</t>
  </si>
  <si>
    <t>SURYANA</t>
  </si>
  <si>
    <t>8730443600</t>
  </si>
  <si>
    <t xml:space="preserve">SUWANDI </t>
  </si>
  <si>
    <t>7045058166</t>
  </si>
  <si>
    <t xml:space="preserve">TANTOSO </t>
  </si>
  <si>
    <t>5725624449</t>
  </si>
  <si>
    <t>bca</t>
  </si>
  <si>
    <t>HENDRA</t>
  </si>
  <si>
    <t>VICKY ARMEDO PRASETYO</t>
  </si>
  <si>
    <t>5775522965</t>
  </si>
  <si>
    <t>WAKHIDIN</t>
  </si>
  <si>
    <t>6880597700</t>
  </si>
  <si>
    <t>WAWAN GUNAWAN</t>
  </si>
  <si>
    <t>1091978976</t>
  </si>
  <si>
    <t>YAKUB</t>
  </si>
  <si>
    <t>5765299591</t>
  </si>
  <si>
    <t>YOGI</t>
  </si>
  <si>
    <t>3431855931</t>
  </si>
  <si>
    <t>YUSUF AKHAMDI</t>
  </si>
  <si>
    <t>1320745370</t>
  </si>
  <si>
    <t>SYAMSUL MUHARAM</t>
  </si>
  <si>
    <t>5681303091</t>
  </si>
  <si>
    <t>ANDI KUSNADI</t>
  </si>
  <si>
    <t>3600150099</t>
  </si>
  <si>
    <t>LINDA NURJAMAN</t>
  </si>
  <si>
    <t>6755141937</t>
  </si>
  <si>
    <t>RHEZA RUNOVALIYANA</t>
  </si>
  <si>
    <t>ROY</t>
  </si>
  <si>
    <t>MUHAMAD YAKUB</t>
  </si>
  <si>
    <t>SYADUL ABDULAH</t>
  </si>
  <si>
    <t>JANTO SIHOMBING</t>
  </si>
  <si>
    <t>MUH SHODIQ</t>
  </si>
  <si>
    <t>KARMA</t>
  </si>
  <si>
    <t>1092297246</t>
  </si>
  <si>
    <t>AGUNG SETIAWAN</t>
  </si>
  <si>
    <t>7285158087</t>
  </si>
  <si>
    <t>AHMAD KUSAERI</t>
  </si>
  <si>
    <t>MARTAHAN PETRUS SINAGA</t>
  </si>
  <si>
    <t>5681266373</t>
  </si>
  <si>
    <t>MA'SHUM MUBAROK</t>
  </si>
  <si>
    <t>6755412175</t>
  </si>
  <si>
    <t>PARLIN HUTABARAT</t>
  </si>
  <si>
    <t>6880632629</t>
  </si>
  <si>
    <t>AGUS TIANA</t>
  </si>
  <si>
    <t>YUSUP MUSTOPA</t>
  </si>
  <si>
    <t>5221622392</t>
  </si>
  <si>
    <t>JAMIL ISMAIL</t>
  </si>
  <si>
    <t>ITA BIN JAHURI</t>
  </si>
  <si>
    <t>6755190644</t>
  </si>
  <si>
    <t>WARMA</t>
  </si>
  <si>
    <t>ADE HERMAWAN</t>
  </si>
  <si>
    <t>5681173642</t>
  </si>
  <si>
    <t>AGUSTINUS</t>
  </si>
  <si>
    <t>PEPEN SUPENDI</t>
  </si>
  <si>
    <t>NURHASAN</t>
  </si>
  <si>
    <t>1670003595732</t>
  </si>
  <si>
    <t>MANDIRI</t>
  </si>
  <si>
    <t>AHMAD TATA</t>
  </si>
  <si>
    <t>0116436892100</t>
  </si>
  <si>
    <t>BJB</t>
  </si>
  <si>
    <t>KISWANTO</t>
  </si>
  <si>
    <t>1250013918883</t>
  </si>
  <si>
    <t>ARIS SUSANTO</t>
  </si>
  <si>
    <t>1250013510854</t>
  </si>
  <si>
    <t>CHARLY ARIYANTO</t>
  </si>
  <si>
    <t>084201028950530</t>
  </si>
  <si>
    <t>BRI</t>
  </si>
  <si>
    <t>RUDI SUPRIADI</t>
  </si>
  <si>
    <t>0789058667</t>
  </si>
  <si>
    <t>BNI SYARIAH</t>
  </si>
  <si>
    <t>DASA SETIAWAN</t>
  </si>
  <si>
    <t>POT BANK</t>
  </si>
  <si>
    <t>THP</t>
  </si>
  <si>
    <t>NON BCA</t>
  </si>
  <si>
    <t xml:space="preserve">CASH </t>
  </si>
  <si>
    <t>TOTAL</t>
  </si>
  <si>
    <t>6825471204</t>
  </si>
  <si>
    <t xml:space="preserve">BCA </t>
  </si>
  <si>
    <t>7035044655</t>
  </si>
  <si>
    <t>L</t>
  </si>
  <si>
    <t>K0</t>
  </si>
  <si>
    <t>K1</t>
  </si>
  <si>
    <t>K2</t>
  </si>
  <si>
    <t>K3</t>
  </si>
  <si>
    <t>REKAP GAJI PT. TTNT</t>
  </si>
  <si>
    <t>REKAP GAJI PT. TNT</t>
  </si>
  <si>
    <t>BULAN SEPTEMBER 2020</t>
  </si>
  <si>
    <t xml:space="preserve">BULAN AGUSTUS  2020</t>
  </si>
  <si>
    <t>Nik</t>
  </si>
  <si>
    <t>training</t>
  </si>
  <si>
    <t>rute</t>
  </si>
  <si>
    <t>Adjustment</t>
  </si>
  <si>
    <t>A</t>
  </si>
  <si>
    <t>I</t>
  </si>
  <si>
    <t>S</t>
  </si>
  <si>
    <t>Gaji Pokok</t>
  </si>
  <si>
    <t>Training</t>
  </si>
  <si>
    <t>Rute</t>
  </si>
  <si>
    <t>Jamsostek</t>
  </si>
  <si>
    <t>BPJS Kesehatan</t>
  </si>
  <si>
    <t>Jaminan Pensiun</t>
  </si>
  <si>
    <t>TOTAL BPJS</t>
  </si>
  <si>
    <t>Thr</t>
  </si>
  <si>
    <t>Insentif Lainnya</t>
  </si>
  <si>
    <t>Grand Total</t>
  </si>
  <si>
    <t xml:space="preserve"> (Masuk)</t>
  </si>
  <si>
    <t xml:space="preserve"> (Keluar)</t>
  </si>
  <si>
    <t>NO</t>
  </si>
  <si>
    <t>NAMA</t>
  </si>
  <si>
    <t>STATUS K</t>
  </si>
  <si>
    <t>HASIL</t>
  </si>
  <si>
    <t>BPJS TK1</t>
  </si>
  <si>
    <t>BPJS KES</t>
  </si>
  <si>
    <t>PENSIUN1</t>
  </si>
  <si>
    <t>PKP1</t>
  </si>
  <si>
    <t>PTKP</t>
  </si>
  <si>
    <t>PKP2</t>
  </si>
  <si>
    <t>PPH 21</t>
  </si>
  <si>
    <t>NETTO</t>
  </si>
  <si>
    <t>SERAGAM</t>
  </si>
  <si>
    <t>SEPATU</t>
  </si>
  <si>
    <t>SIO</t>
  </si>
  <si>
    <t>pot absen</t>
  </si>
  <si>
    <t>INSIDENT</t>
  </si>
  <si>
    <t>KASBON</t>
  </si>
  <si>
    <t>NOREK</t>
  </si>
  <si>
    <t>Paraf</t>
  </si>
  <si>
    <t>Pekerja tidak terdaftar</t>
  </si>
  <si>
    <t>REGULER</t>
  </si>
  <si>
    <t>JAENURI</t>
  </si>
  <si>
    <t>MUHTADI</t>
  </si>
  <si>
    <t>TOHANDRI</t>
  </si>
  <si>
    <t>PRORATE</t>
  </si>
  <si>
    <t>HENDRIK</t>
  </si>
  <si>
    <t>MILKRUN</t>
  </si>
  <si>
    <t>k3</t>
  </si>
  <si>
    <t>M. AMINULLAH</t>
  </si>
  <si>
    <t>SAMSUL MUARIFIN</t>
  </si>
  <si>
    <t>RASDI SUMASDI</t>
  </si>
  <si>
    <t>ABDUL RAHMAN</t>
  </si>
  <si>
    <t>HERI PRASETIO</t>
  </si>
  <si>
    <t>RANO KARNO</t>
  </si>
  <si>
    <t>AHMAD</t>
  </si>
  <si>
    <t>YUSUP AKHMADI</t>
  </si>
  <si>
    <t>ACEP TARUNA</t>
  </si>
  <si>
    <t>AHDI</t>
  </si>
  <si>
    <t>ANDRIYANTO</t>
  </si>
  <si>
    <t>CAWAN KURNIAWAN</t>
  </si>
  <si>
    <t>GURUH</t>
  </si>
  <si>
    <t>JAYA PERMANA</t>
  </si>
  <si>
    <t>SUWANDI</t>
  </si>
  <si>
    <t>AJI IRAWAN</t>
  </si>
  <si>
    <t>HANDRI PLANI</t>
  </si>
  <si>
    <t>IRFAN SEPTIAN</t>
  </si>
  <si>
    <t>MOHAMAD SYAHPII</t>
  </si>
  <si>
    <t>TANTOSO</t>
  </si>
  <si>
    <t>PEMAGANGAN</t>
  </si>
  <si>
    <t>FULL</t>
  </si>
  <si>
    <t>MAGANG</t>
  </si>
  <si>
    <t>THR</t>
  </si>
  <si>
    <t>UM</t>
  </si>
  <si>
    <t>BULAN JUNI 2021</t>
  </si>
  <si>
    <t>SPH</t>
  </si>
  <si>
    <t>TILANG</t>
  </si>
  <si>
    <t xml:space="preserve">APD </t>
  </si>
  <si>
    <t>BACKUP</t>
  </si>
  <si>
    <t>TOTAL POT</t>
  </si>
  <si>
    <t>OK</t>
  </si>
  <si>
    <t>TN0001</t>
  </si>
  <si>
    <t>TN0002</t>
  </si>
  <si>
    <t>TN0007</t>
  </si>
  <si>
    <t>Perhitungan Keliru, silahkan periksa kembali</t>
  </si>
  <si>
    <t>TN0008</t>
  </si>
  <si>
    <t>TN0011</t>
  </si>
  <si>
    <t>TN0033</t>
  </si>
  <si>
    <t>TN0037</t>
  </si>
  <si>
    <t>TN0034</t>
  </si>
  <si>
    <t>TN0055</t>
  </si>
  <si>
    <t>TN0036</t>
  </si>
  <si>
    <t>TN0074</t>
  </si>
  <si>
    <t>TN0038</t>
  </si>
  <si>
    <t>TN0040</t>
  </si>
  <si>
    <t>TN0039</t>
  </si>
  <si>
    <t>TN0052</t>
  </si>
  <si>
    <t>TN0102</t>
  </si>
  <si>
    <t>TN0059</t>
  </si>
  <si>
    <t>TN0061</t>
  </si>
  <si>
    <t>TN0070</t>
  </si>
  <si>
    <t>TN0053</t>
  </si>
  <si>
    <t>TN0085</t>
  </si>
  <si>
    <t xml:space="preserve">BACKUP </t>
  </si>
  <si>
    <t>TN0003</t>
  </si>
  <si>
    <t>TN0004</t>
  </si>
  <si>
    <t>TN0048</t>
  </si>
  <si>
    <t>TN0005</t>
  </si>
  <si>
    <t>TN0006</t>
  </si>
  <si>
    <t>TN0042</t>
  </si>
  <si>
    <t>TN0009</t>
  </si>
  <si>
    <t>TN0021</t>
  </si>
  <si>
    <t>TN0010</t>
  </si>
  <si>
    <t>TN0012</t>
  </si>
  <si>
    <t>TN0013</t>
  </si>
  <si>
    <t>TN0017</t>
  </si>
  <si>
    <t>TN0014</t>
  </si>
  <si>
    <t>TN0015</t>
  </si>
  <si>
    <t>TN0016</t>
  </si>
  <si>
    <t>TN0018</t>
  </si>
  <si>
    <t>TN0019</t>
  </si>
  <si>
    <t>TN0020</t>
  </si>
  <si>
    <t>TN0022</t>
  </si>
  <si>
    <t>TN0023</t>
  </si>
  <si>
    <t>TN0035</t>
  </si>
  <si>
    <t>TN0024</t>
  </si>
  <si>
    <t>TN0025</t>
  </si>
  <si>
    <t>TN0026</t>
  </si>
  <si>
    <t>TN0027</t>
  </si>
  <si>
    <t>TN0028</t>
  </si>
  <si>
    <t>TN0029</t>
  </si>
  <si>
    <t>TN0030</t>
  </si>
  <si>
    <t>TN0031</t>
  </si>
  <si>
    <t>TN0051</t>
  </si>
  <si>
    <t>TN0041</t>
  </si>
  <si>
    <t>TN0043</t>
  </si>
  <si>
    <t>TN0044</t>
  </si>
  <si>
    <t>TN0045</t>
  </si>
  <si>
    <t>TN0046</t>
  </si>
  <si>
    <t>TN0047</t>
  </si>
  <si>
    <t>TN0077</t>
  </si>
  <si>
    <t>TN0049</t>
  </si>
  <si>
    <t>TN0072</t>
  </si>
  <si>
    <t>TN0050</t>
  </si>
  <si>
    <t>TN0054</t>
  </si>
  <si>
    <t>TN0056</t>
  </si>
  <si>
    <t>TN0057</t>
  </si>
  <si>
    <t>TN0058</t>
  </si>
  <si>
    <t>TN0060</t>
  </si>
  <si>
    <t>TN0062</t>
  </si>
  <si>
    <t>TN0063</t>
  </si>
  <si>
    <t>TN0064</t>
  </si>
  <si>
    <t>TN0065</t>
  </si>
  <si>
    <t>TN0066</t>
  </si>
  <si>
    <t>TN0068</t>
  </si>
  <si>
    <t>TN0069</t>
  </si>
  <si>
    <t>TN0071</t>
  </si>
  <si>
    <t>TN0073</t>
  </si>
  <si>
    <t>TN0078</t>
  </si>
  <si>
    <t>TN0079</t>
  </si>
  <si>
    <t>TN0080</t>
  </si>
  <si>
    <t>TN0086</t>
  </si>
  <si>
    <t>TN0067</t>
  </si>
  <si>
    <t>TN0087</t>
  </si>
  <si>
    <t>TN0088</t>
  </si>
  <si>
    <t>TN0089</t>
  </si>
  <si>
    <t>TN0090</t>
  </si>
  <si>
    <t>TN0093</t>
  </si>
  <si>
    <t>TN0095</t>
  </si>
  <si>
    <t>TN0097</t>
  </si>
  <si>
    <t>TN0098</t>
  </si>
  <si>
    <t>TN0099</t>
  </si>
  <si>
    <t>TN0104</t>
  </si>
  <si>
    <t>TN0105</t>
  </si>
  <si>
    <t>TN0106</t>
  </si>
  <si>
    <t>TN0107</t>
  </si>
  <si>
    <t>TN0108</t>
  </si>
  <si>
    <t>TN0109</t>
  </si>
  <si>
    <t>TN0110</t>
  </si>
  <si>
    <t>TN0111</t>
  </si>
  <si>
    <t>TN0112</t>
  </si>
  <si>
    <t>TN0113</t>
  </si>
  <si>
    <t>TN0116</t>
  </si>
  <si>
    <t>TN0118</t>
  </si>
  <si>
    <t>TN0119</t>
  </si>
  <si>
    <t>TRAINING</t>
  </si>
  <si>
    <t>STAFF</t>
  </si>
  <si>
    <t>TK</t>
  </si>
  <si>
    <t>KES</t>
  </si>
  <si>
    <t>:</t>
  </si>
  <si>
    <t>GAPOK</t>
  </si>
  <si>
    <t>4.146.126</t>
  </si>
  <si>
    <t>BPJS TK</t>
  </si>
  <si>
    <t>1.57% X UMK 2020 ( 4.498.962 )</t>
  </si>
  <si>
    <t>4% X UMK 2020 ( 4.498.962 )</t>
  </si>
  <si>
    <t>4.146.132 / 12 = 345.511</t>
  </si>
  <si>
    <t>SIMULASI PERHITUNGAN REGULER</t>
  </si>
  <si>
    <t>85% UMK</t>
  </si>
  <si>
    <t>85% ALL</t>
  </si>
  <si>
    <t>UMK</t>
  </si>
  <si>
    <t>BPJS</t>
  </si>
  <si>
    <t>TOTAL 13 ORANG</t>
  </si>
  <si>
    <t>TAGIHAN</t>
  </si>
  <si>
    <t>MINUS</t>
  </si>
  <si>
    <t xml:space="preserve">DAFTAR KARYAWAN PT. MULIA BINTANG KEJORA </t>
  </si>
  <si>
    <t>DIVISI PT. TOYOTA TSOUTSO NASMOCO TRANSPORT</t>
  </si>
  <si>
    <t>NIK</t>
  </si>
  <si>
    <t>JABATAN</t>
  </si>
  <si>
    <t>AREA</t>
  </si>
  <si>
    <t>0031</t>
  </si>
  <si>
    <t>KARAWANG</t>
  </si>
  <si>
    <t>0032</t>
  </si>
  <si>
    <t>0033</t>
  </si>
  <si>
    <t>0035</t>
  </si>
  <si>
    <t>0036</t>
  </si>
  <si>
    <t>0037</t>
  </si>
  <si>
    <t>0038</t>
  </si>
  <si>
    <t>0040</t>
  </si>
  <si>
    <t>0041</t>
  </si>
  <si>
    <t>0042</t>
  </si>
  <si>
    <t>0043</t>
  </si>
  <si>
    <t>0020</t>
  </si>
  <si>
    <t>0012</t>
  </si>
  <si>
    <t>0001</t>
  </si>
  <si>
    <t>0027</t>
  </si>
  <si>
    <t>0044</t>
  </si>
  <si>
    <t>0002</t>
  </si>
  <si>
    <t>0045</t>
  </si>
  <si>
    <t>0014</t>
  </si>
  <si>
    <t>0003</t>
  </si>
  <si>
    <t>0034</t>
  </si>
  <si>
    <t>0004</t>
  </si>
  <si>
    <t>0009</t>
  </si>
  <si>
    <t>0026</t>
  </si>
  <si>
    <t>0005</t>
  </si>
  <si>
    <t>0030</t>
  </si>
  <si>
    <t>0046</t>
  </si>
  <si>
    <t>0021</t>
  </si>
  <si>
    <t>0053</t>
  </si>
  <si>
    <t>0047</t>
  </si>
  <si>
    <t>0048</t>
  </si>
  <si>
    <t>0025</t>
  </si>
  <si>
    <t>0006</t>
  </si>
  <si>
    <t>0039</t>
  </si>
  <si>
    <t>0015</t>
  </si>
  <si>
    <t>0007</t>
  </si>
  <si>
    <t>0016</t>
  </si>
  <si>
    <t>0049</t>
  </si>
  <si>
    <t>0018</t>
  </si>
  <si>
    <t>0008</t>
  </si>
  <si>
    <t>0023</t>
  </si>
  <si>
    <t>0019</t>
  </si>
  <si>
    <t>0017</t>
  </si>
  <si>
    <t>0024</t>
  </si>
  <si>
    <t>0010</t>
  </si>
  <si>
    <t>0028</t>
  </si>
  <si>
    <t>0011</t>
  </si>
  <si>
    <t>0050</t>
  </si>
  <si>
    <t>0022</t>
  </si>
  <si>
    <t>0051</t>
  </si>
  <si>
    <t>0052</t>
  </si>
  <si>
    <t>0013</t>
  </si>
  <si>
    <t>0029</t>
  </si>
  <si>
    <t>PERINCIAN GAJI PT. TTNT</t>
  </si>
  <si>
    <t>FEE</t>
  </si>
  <si>
    <t>POTONGAN</t>
  </si>
  <si>
    <t>PPN</t>
  </si>
  <si>
    <t>PAYROLL</t>
  </si>
  <si>
    <t>SELISIH</t>
  </si>
  <si>
    <t>KET</t>
  </si>
  <si>
    <t>PEMAGANGAN ADMIN</t>
  </si>
  <si>
    <t>TAGIHAN-BPJS-THR-FEE-POTONGAN-PPN-RITASE</t>
  </si>
  <si>
    <t>REGULER PLUS</t>
  </si>
  <si>
    <t>TOTAL DANA BPJS</t>
  </si>
  <si>
    <t>TAGIHAN BPJS TK</t>
  </si>
  <si>
    <t>TOTAL IURAN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</si>
</sst>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_(* #,##0_);_(* \(#,##0\);_(* \-_);_(@_)"/>
    <numFmt numFmtId="167" formatCode="_ * #,##0_ ;_ * \-#,##0_ ;_ * \-_ ;_ @_ "/>
    <numFmt numFmtId="168" formatCode="_(* #,##0_);_(* \(#,##0\);_(* &quot;-&quot;??_);_(@_)"/>
    <numFmt numFmtId="169" formatCode="[$-409]d\-mmm\-yy;@"/>
    <numFmt numFmtId="170" formatCode="00000"/>
  </numFmts>
  <fonts count="5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97">
    <xf numFmtId="0" fontId="0" fillId="0" borderId="0"/>
    <xf numFmtId="43" fontId="35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7" fontId="30" fillId="0" borderId="0"/>
    <xf numFmtId="167" fontId="30" fillId="0" borderId="0"/>
    <xf numFmtId="166" fontId="30" fillId="0" borderId="0"/>
    <xf numFmtId="166" fontId="30" fillId="0" borderId="0"/>
    <xf numFmtId="167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43" fontId="28" fillId="0" borderId="0"/>
    <xf numFmtId="164" fontId="30" fillId="0" borderId="0"/>
    <xf numFmtId="164" fontId="30" fillId="0" borderId="0"/>
    <xf numFmtId="164" fontId="30" fillId="0" borderId="0"/>
    <xf numFmtId="165" fontId="30" fillId="0" borderId="0"/>
    <xf numFmtId="165" fontId="30" fillId="0" borderId="0"/>
    <xf numFmtId="164" fontId="30" fillId="0" borderId="0"/>
    <xf numFmtId="43" fontId="29" fillId="0" borderId="0"/>
    <xf numFmtId="43" fontId="27" fillId="0" borderId="0"/>
    <xf numFmtId="43" fontId="25" fillId="0" borderId="0"/>
    <xf numFmtId="43" fontId="24" fillId="0" borderId="0"/>
    <xf numFmtId="43" fontId="23" fillId="0" borderId="0"/>
    <xf numFmtId="43" fontId="2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43" fontId="28" fillId="0" borderId="0"/>
    <xf numFmtId="43" fontId="27" fillId="0" borderId="0"/>
    <xf numFmtId="43" fontId="23" fillId="0" borderId="0"/>
    <xf numFmtId="43" fontId="26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>
      <alignment vertical="center"/>
    </xf>
    <xf numFmtId="0" fontId="29" fillId="0" borderId="0"/>
    <xf numFmtId="0" fontId="29" fillId="0" borderId="0"/>
    <xf numFmtId="0" fontId="27" fillId="0" borderId="0"/>
    <xf numFmtId="0" fontId="25" fillId="0" borderId="0"/>
    <xf numFmtId="0" fontId="24" fillId="0" borderId="0"/>
    <xf numFmtId="0" fontId="23" fillId="0" borderId="0"/>
    <xf numFmtId="0" fontId="20" fillId="0" borderId="0"/>
    <xf numFmtId="0" fontId="24" fillId="0" borderId="0"/>
    <xf numFmtId="0" fontId="23" fillId="0" borderId="0"/>
    <xf numFmtId="0" fontId="20" fillId="0" borderId="0"/>
    <xf numFmtId="0" fontId="28" fillId="0" borderId="0"/>
    <xf numFmtId="0" fontId="28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28" fillId="0" borderId="0"/>
    <xf numFmtId="0" fontId="27" fillId="0" borderId="0"/>
    <xf numFmtId="0" fontId="23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30" fillId="0" borderId="0"/>
    <xf numFmtId="9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</cellStyleXfs>
  <cellXfs count="6897">
    <xf numFmtId="0" applyNumberFormat="1" fontId="0" applyFont="1" fillId="0" applyFill="1" borderId="0" applyBorder="1" xfId="0" applyProtection="1"/>
    <xf numFmtId="0" applyNumberFormat="1" fontId="34" applyFont="1" fillId="0" applyFill="1" borderId="3" applyBorder="1" xfId="6679" applyProtection="1" applyAlignment="1">
      <alignment horizontal="left"/>
    </xf>
    <xf numFmtId="0" applyNumberFormat="1" fontId="26" applyFont="1" fillId="0" applyFill="1" borderId="0" applyBorder="1" xfId="6682" applyProtection="1"/>
    <xf numFmtId="0" applyNumberFormat="1" fontId="26" applyFont="1" fillId="0" applyFill="1" borderId="4" applyBorder="1" xfId="6682" applyProtection="1"/>
    <xf numFmtId="0" applyNumberFormat="1" fontId="37" applyFont="1" fillId="2" applyFill="1" borderId="4" applyBorder="1" xfId="6682" applyProtection="1"/>
    <xf numFmtId="168" applyNumberFormat="1" fontId="0" applyFont="1" fillId="0" applyFill="1" borderId="4" applyBorder="1" xfId="1794" applyProtection="1"/>
    <xf numFmtId="168" applyNumberFormat="1" fontId="38" applyFont="1" fillId="2" applyFill="1" borderId="4" applyBorder="1" xfId="1794" applyProtection="1"/>
    <xf numFmtId="168" applyNumberFormat="1" fontId="38" applyFont="1" fillId="2" applyFill="1" borderId="4" applyBorder="1" xfId="1794" applyProtection="1"/>
    <xf numFmtId="170" applyNumberFormat="1" fontId="26" applyFont="1" fillId="2" applyFill="1" borderId="4" applyBorder="1" xfId="6682" applyProtection="1"/>
    <xf numFmtId="168" applyNumberFormat="1" fontId="0" applyFont="1" fillId="2" applyFill="1" borderId="4" applyBorder="1" xfId="1794" applyProtection="1"/>
    <xf numFmtId="168" applyNumberFormat="1" fontId="26" applyFont="1" fillId="2" applyFill="1" borderId="4" applyBorder="1" xfId="6682" applyProtection="1"/>
    <xf numFmtId="168" applyNumberFormat="1" fontId="26" applyFont="1" fillId="0" applyFill="1" borderId="0" applyBorder="1" xfId="6682" applyProtection="1"/>
    <xf numFmtId="0" applyNumberFormat="1" fontId="34" applyFont="1" fillId="0" applyFill="1" borderId="4" applyBorder="1" xfId="6682" applyProtection="1" applyAlignment="1">
      <alignment horizontal="center"/>
    </xf>
    <xf numFmtId="0" applyNumberFormat="1" fontId="38" applyFont="1" fillId="0" applyFill="1" borderId="4" applyBorder="1" xfId="6682" applyProtection="1"/>
    <xf numFmtId="0" applyNumberFormat="1" fontId="0" applyFont="1" fillId="0" applyFill="1" borderId="0" applyBorder="1" xfId="0" applyProtection="1" applyAlignment="1">
      <alignment horizontal="center"/>
    </xf>
    <xf numFmtId="168" applyNumberFormat="1" fontId="0" applyFont="1" fillId="0" applyFill="1" borderId="0" applyBorder="1" xfId="1" applyProtection="1"/>
    <xf numFmtId="168" applyNumberFormat="1" fontId="0" applyFont="1" fillId="0" applyFill="1" borderId="4" applyBorder="1" xfId="1" applyProtection="1"/>
    <xf numFmtId="0" applyNumberFormat="1" fontId="37" applyFont="1" fillId="0" applyFill="1" borderId="4" applyBorder="1" xfId="6679" applyProtection="1"/>
    <xf numFmtId="168" applyNumberFormat="1" fontId="26" applyFont="1" fillId="0" applyFill="1" borderId="4" applyBorder="1" xfId="6682" applyProtection="1" applyAlignment="1">
      <alignment horizontal="center"/>
    </xf>
    <xf numFmtId="0" applyNumberFormat="1" fontId="37" applyFont="1" fillId="0" applyFill="1" borderId="4" applyBorder="1" xfId="6679" applyProtection="1" applyAlignment="1">
      <alignment horizontal="left"/>
    </xf>
    <xf numFmtId="168" applyNumberFormat="1" fontId="0" applyFont="1" fillId="0" applyFill="1" borderId="0" applyBorder="1" xfId="0" applyProtection="1"/>
    <xf numFmtId="0" applyNumberFormat="1" fontId="45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0" applyFont="1" fillId="0" applyFill="1" borderId="4" applyBorder="1" xfId="0" applyProtection="1" applyAlignment="1">
      <alignment horizontal="center"/>
    </xf>
    <xf numFmtId="0" applyNumberFormat="1" fontId="0" applyFont="1" fillId="0" applyFill="1" borderId="4" applyBorder="1" xfId="0" applyProtection="1"/>
    <xf numFmtId="0" applyNumberFormat="1" fontId="37" applyFont="1" fillId="0" applyFill="1" borderId="3" applyBorder="1" xfId="6679" applyProtection="1"/>
    <xf numFmtId="0" applyNumberFormat="1" fontId="0" applyFont="1" fillId="0" applyFill="1" borderId="4" applyBorder="1" xfId="0" applyProtection="1"/>
    <xf numFmtId="168" applyNumberFormat="1" fontId="0" applyFont="1" fillId="0" applyFill="1" borderId="4" applyBorder="1" xfId="1" applyProtection="1"/>
    <xf numFmtId="0" applyNumberFormat="1" fontId="0" applyFont="1" fillId="0" applyFill="1" borderId="0" applyBorder="1" xfId="0" applyProtection="1"/>
    <xf numFmtId="168" applyNumberFormat="1" fontId="23" applyFont="1" fillId="0" applyFill="1" borderId="0" applyBorder="1" xfId="6681" applyProtection="1" applyAlignment="1">
      <alignment horizontal="center"/>
    </xf>
    <xf numFmtId="168" applyNumberFormat="1" fontId="23" applyFont="1" fillId="0" applyFill="1" borderId="0" applyBorder="1" xfId="6681" applyProtection="1"/>
    <xf numFmtId="0" applyNumberFormat="1" fontId="34" applyFont="1" fillId="2" applyFill="1" borderId="4" applyBorder="1" xfId="6681" applyProtection="1" applyAlignment="1">
      <alignment horizontal="center"/>
    </xf>
    <xf numFmtId="168" applyNumberFormat="1" fontId="23" applyFont="1" fillId="0" applyFill="1" borderId="2" applyBorder="1" xfId="6681" applyProtection="1"/>
    <xf numFmtId="168" applyNumberFormat="1" fontId="0" applyFont="1" fillId="0" applyFill="1" borderId="2" applyBorder="1" xfId="1793" applyProtection="1"/>
    <xf numFmtId="0" applyNumberFormat="1" fontId="23" applyFont="1" fillId="0" applyFill="1" borderId="2" applyBorder="1" xfId="6681" applyProtection="1" applyAlignment="1">
      <alignment horizontal="center"/>
    </xf>
    <xf numFmtId="170" applyNumberFormat="1" fontId="23" applyFont="1" fillId="0" applyFill="1" borderId="2" applyBorder="1" xfId="6681" applyProtection="1"/>
    <xf numFmtId="168" applyNumberFormat="1" fontId="38" applyFont="1" fillId="0" applyFill="1" borderId="4" applyBorder="1" xfId="1793" applyProtection="1" applyAlignment="1">
      <alignment horizontal="center"/>
    </xf>
    <xf numFmtId="168" applyNumberFormat="1" fontId="0" applyFont="1" fillId="0" applyFill="1" borderId="2" applyBorder="1" xfId="1793" applyProtection="1"/>
    <xf numFmtId="0" applyNumberFormat="1" fontId="23" applyFont="1" fillId="0" applyFill="1" borderId="2" applyBorder="1" xfId="6681" applyProtection="1"/>
    <xf numFmtId="0" applyNumberFormat="1" fontId="23" applyFont="1" fillId="2" applyFill="1" borderId="4" applyBorder="1" xfId="6681" applyProtection="1" applyAlignment="1">
      <alignment horizontal="right"/>
    </xf>
    <xf numFmtId="0" applyNumberFormat="1" fontId="23" applyFont="1" fillId="2" applyFill="1" borderId="2" applyBorder="1" xfId="6681" applyProtection="1" applyAlignment="1">
      <alignment horizontal="right"/>
    </xf>
    <xf numFmtId="0" applyNumberFormat="1" fontId="37" applyFont="1" fillId="0" applyFill="1" borderId="2" applyBorder="1" xfId="6681" applyProtection="1" applyAlignment="1">
      <alignment horizontal="left"/>
    </xf>
    <xf numFmtId="168" applyNumberFormat="1" fontId="0" applyFont="1" fillId="2" applyFill="1" borderId="2" applyBorder="1" xfId="1793" applyProtection="1"/>
    <xf numFmtId="0" applyNumberFormat="1" fontId="23" applyFont="1" fillId="2" applyFill="1" borderId="2" applyBorder="1" xfId="6681" applyProtection="1" applyAlignment="1">
      <alignment horizontal="center"/>
    </xf>
    <xf numFmtId="170" applyNumberFormat="1" fontId="23" applyFont="1" fillId="2" applyFill="1" borderId="2" applyBorder="1" xfId="6681" applyProtection="1"/>
    <xf numFmtId="168" applyNumberFormat="1" fontId="0" applyFont="1" fillId="2" applyFill="1" borderId="2" applyBorder="1" xfId="1793" applyProtection="1"/>
    <xf numFmtId="0" applyNumberFormat="1" fontId="23" applyFont="1" fillId="2" applyFill="1" borderId="2" applyBorder="1" xfId="6681" applyProtection="1"/>
    <xf numFmtId="0" applyNumberFormat="1" fontId="23" applyFont="1" fillId="2" applyFill="1" borderId="0" applyBorder="1" xfId="6681" applyProtection="1"/>
    <xf numFmtId="0" applyNumberFormat="1" fontId="23" applyFont="1" fillId="2" applyFill="1" borderId="4" applyBorder="1" xfId="6681" applyProtection="1" applyAlignment="1">
      <alignment horizontal="right"/>
    </xf>
    <xf numFmtId="0" applyNumberFormat="1" fontId="23" applyFont="1" fillId="2" applyFill="1" borderId="4" applyBorder="1" xfId="6681" applyProtection="1"/>
    <xf numFmtId="0" applyNumberFormat="1" fontId="23" applyFont="1" fillId="2" applyFill="1" borderId="0" applyBorder="1" xfId="6681" applyProtection="1"/>
    <xf numFmtId="0" applyNumberFormat="1" fontId="38" applyFont="1" fillId="2" applyFill="1" borderId="4" applyBorder="1" xfId="6681" applyProtection="1"/>
    <xf numFmtId="168" applyNumberFormat="1" fontId="0" applyFont="1" fillId="2" applyFill="1" borderId="4" applyBorder="1" xfId="1793" applyProtection="1"/>
    <xf numFmtId="0" applyNumberFormat="1" fontId="23" applyFont="1" fillId="2" applyFill="1" borderId="4" applyBorder="1" xfId="6681" applyProtection="1"/>
    <xf numFmtId="168" applyNumberFormat="1" fontId="38" applyFont="1" fillId="0" applyFill="1" borderId="4" applyBorder="1" xfId="1793" applyProtection="1" applyAlignment="1">
      <alignment horizontal="center"/>
    </xf>
    <xf numFmtId="168" applyNumberFormat="1" fontId="23" applyFont="1" fillId="0" applyFill="1" borderId="4" applyBorder="1" xfId="6681" applyProtection="1"/>
    <xf numFmtId="168" applyNumberFormat="1" fontId="23" applyFont="1" fillId="2" applyFill="1" borderId="2" applyBorder="1" xfId="6681" applyProtection="1"/>
    <xf numFmtId="0" applyNumberFormat="1" fontId="23" applyFont="1" fillId="0" applyFill="1" borderId="0" applyBorder="1" xfId="6681" applyProtection="1"/>
    <xf numFmtId="168" applyNumberFormat="1" fontId="23" applyFont="1" fillId="0" applyFill="1" borderId="0" applyBorder="1" xfId="6681" applyProtection="1"/>
    <xf numFmtId="168" applyNumberFormat="1" fontId="38" applyFont="1" fillId="0" applyFill="1" borderId="4" applyBorder="1" xfId="6681" applyProtection="1"/>
    <xf numFmtId="0" applyNumberFormat="1" fontId="38" applyFont="1" fillId="0" applyFill="1" borderId="4" applyBorder="1" xfId="6681" applyProtection="1"/>
    <xf numFmtId="168" applyNumberFormat="1" fontId="23" applyFont="1" fillId="0" applyFill="1" borderId="4" applyBorder="1" xfId="6681" applyProtection="1"/>
    <xf numFmtId="168" applyNumberFormat="1" fontId="0" applyFont="1" fillId="0" applyFill="1" borderId="4" applyBorder="1" xfId="1793" applyProtection="1"/>
    <xf numFmtId="0" applyNumberFormat="1" fontId="23" applyFont="1" fillId="0" applyFill="1" borderId="4" applyBorder="1" xfId="6681" applyProtection="1" applyAlignment="1">
      <alignment horizontal="center"/>
    </xf>
    <xf numFmtId="168" applyNumberFormat="1" fontId="38" applyFont="1" fillId="0" applyFill="1" borderId="4" applyBorder="1" xfId="1793" applyProtection="1"/>
    <xf numFmtId="168" applyNumberFormat="1" fontId="38" applyFont="1" fillId="0" applyFill="1" borderId="4" applyBorder="1" xfId="1793" applyProtection="1"/>
    <xf numFmtId="168" applyNumberFormat="1" fontId="0" applyFont="1" fillId="0" applyFill="1" borderId="4" applyBorder="1" xfId="1793" applyProtection="1"/>
    <xf numFmtId="0" applyNumberFormat="1" fontId="23" applyFont="1" fillId="0" applyFill="1" borderId="4" applyBorder="1" xfId="6681" applyProtection="1"/>
    <xf numFmtId="0" applyNumberFormat="1" fontId="23" applyFont="1" fillId="0" applyFill="1" borderId="4" applyBorder="1" xfId="6681" applyProtection="1" applyAlignment="1">
      <alignment horizontal="center"/>
    </xf>
    <xf numFmtId="0" applyNumberFormat="1" fontId="38" applyFont="1" fillId="0" applyFill="1" borderId="4" applyBorder="1" xfId="6681" applyProtection="1"/>
    <xf numFmtId="0" applyNumberFormat="1" fontId="34" applyFont="1" fillId="0" applyFill="1" borderId="4" applyBorder="1" xfId="6681" applyProtection="1" applyAlignment="1">
      <alignment horizontal="center"/>
    </xf>
    <xf numFmtId="168" applyNumberFormat="1" fontId="23" applyFont="1" fillId="0" applyFill="1" borderId="0" applyBorder="1" xfId="6681" applyProtection="1"/>
    <xf numFmtId="168" applyNumberFormat="1" fontId="23" applyFont="1" fillId="2" applyFill="1" borderId="4" applyBorder="1" xfId="6681" applyProtection="1"/>
    <xf numFmtId="168" applyNumberFormat="1" fontId="0" applyFont="1" fillId="2" applyFill="1" borderId="4" applyBorder="1" xfId="1793" applyProtection="1"/>
    <xf numFmtId="0" applyNumberFormat="1" fontId="23" applyFont="1" fillId="2" applyFill="1" borderId="4" applyBorder="1" xfId="6681" applyProtection="1" applyAlignment="1">
      <alignment horizontal="center"/>
    </xf>
    <xf numFmtId="170" applyNumberFormat="1" fontId="23" applyFont="1" fillId="2" applyFill="1" borderId="4" applyBorder="1" xfId="6681" applyProtection="1"/>
    <xf numFmtId="168" applyNumberFormat="1" fontId="38" applyFont="1" fillId="2" applyFill="1" borderId="4" applyBorder="1" xfId="1793" applyProtection="1"/>
    <xf numFmtId="168" applyNumberFormat="1" fontId="38" applyFont="1" fillId="2" applyFill="1" borderId="4" applyBorder="1" xfId="1793" applyProtection="1"/>
    <xf numFmtId="168" applyNumberFormat="1" fontId="0" applyFont="1" fillId="0" applyFill="1" borderId="4" applyBorder="1" xfId="1793" applyProtection="1"/>
    <xf numFmtId="0" applyNumberFormat="1" fontId="23" applyFont="1" fillId="0" applyFill="1" borderId="4" applyBorder="1" xfId="6681" applyProtection="1"/>
    <xf numFmtId="0" applyNumberFormat="1" fontId="42" applyFont="1" fillId="0" applyFill="1" borderId="4" applyBorder="1" xfId="6681" applyProtection="1" applyAlignment="1">
      <alignment horizontal="center" vertical="center" wrapText="1"/>
    </xf>
    <xf numFmtId="0" applyNumberFormat="1" fontId="41" applyFont="1" fillId="0" applyFill="1" borderId="4" applyBorder="1" xfId="6681" applyProtection="1" applyAlignment="1">
      <alignment horizontal="center" vertical="center" wrapText="1"/>
    </xf>
    <xf numFmtId="0" applyNumberFormat="1" fontId="39" applyFont="1" fillId="0" applyFill="1" borderId="0" applyBorder="1" xfId="6681" applyProtection="1" applyAlignment="1">
      <alignment vertical="center" wrapText="1"/>
    </xf>
    <xf numFmtId="0" applyNumberFormat="1" fontId="40" applyFont="1" fillId="0" applyFill="1" borderId="5" applyBorder="1" xfId="6681" applyProtection="1" applyAlignment="1">
      <alignment horizontal="center" vertical="center" wrapText="1"/>
    </xf>
    <xf numFmtId="0" applyNumberFormat="1" fontId="40" applyFont="1" fillId="0" applyFill="1" borderId="1" applyBorder="1" xfId="6681" applyProtection="1" applyAlignment="1">
      <alignment horizontal="center" vertical="center" wrapText="1"/>
    </xf>
    <xf numFmtId="0" applyNumberFormat="1" fontId="40" applyFont="1" fillId="0" applyFill="1" borderId="0" applyBorder="1" xfId="6681" applyProtection="1" applyAlignment="1">
      <alignment horizontal="center" vertical="center" wrapText="1"/>
    </xf>
    <xf numFmtId="169" applyNumberFormat="1" fontId="39" applyFont="1" fillId="0" applyFill="1" borderId="4" applyBorder="1" xfId="6681" applyProtection="1" applyAlignment="1">
      <alignment horizontal="center" vertical="center" wrapText="1"/>
    </xf>
    <xf numFmtId="168" applyNumberFormat="1" fontId="39" applyFont="1" fillId="0" applyFill="1" borderId="4" applyBorder="1" xfId="1793" applyProtection="1" applyAlignment="1">
      <alignment horizontal="center" vertical="center" wrapText="1"/>
    </xf>
    <xf numFmtId="0" applyNumberFormat="1" fontId="44" applyFont="1" fillId="0" applyFill="1" borderId="4" applyBorder="1" xfId="6681" applyProtection="1" applyAlignment="1">
      <alignment horizontal="center" vertical="center" wrapText="1"/>
    </xf>
    <xf numFmtId="0" applyNumberFormat="1" fontId="39" applyFont="1" fillId="0" applyFill="1" borderId="4" applyBorder="1" xfId="6681" applyProtection="1" applyAlignment="1">
      <alignment horizontal="center" vertical="center" wrapText="1"/>
    </xf>
    <xf numFmtId="0" applyNumberFormat="1" fontId="42" applyFont="1" fillId="2" applyFill="1" borderId="4" applyBorder="1" xfId="6681" applyProtection="1" applyAlignment="1">
      <alignment horizontal="center" vertical="center" wrapText="1"/>
    </xf>
    <xf numFmtId="0" applyNumberFormat="1" fontId="41" applyFont="1" fillId="2" applyFill="1" borderId="4" applyBorder="1" xfId="6681" applyProtection="1" applyAlignment="1">
      <alignment horizontal="center" vertical="center" wrapText="1"/>
    </xf>
    <xf numFmtId="0" applyNumberFormat="1" fontId="39" applyFont="1" fillId="2" applyFill="1" borderId="0" applyBorder="1" xfId="6681" applyProtection="1" applyAlignment="1">
      <alignment vertical="center" wrapText="1"/>
    </xf>
    <xf numFmtId="0" applyNumberFormat="1" fontId="40" applyFont="1" fillId="4" applyFill="1" borderId="8" applyBorder="1" xfId="6681" applyProtection="1" applyAlignment="1">
      <alignment horizontal="center" vertical="center" wrapText="1"/>
    </xf>
    <xf numFmtId="0" applyNumberFormat="1" fontId="40" applyFont="1" fillId="4" applyFill="1" borderId="7" applyBorder="1" xfId="6681" applyProtection="1" applyAlignment="1">
      <alignment horizontal="center" vertical="center" wrapText="1"/>
    </xf>
    <xf numFmtId="0" applyNumberFormat="1" fontId="40" applyFont="1" fillId="4" applyFill="1" borderId="6" applyBorder="1" xfId="6681" applyProtection="1" applyAlignment="1">
      <alignment horizontal="center" vertical="center" wrapText="1"/>
    </xf>
    <xf numFmtId="169" applyNumberFormat="1" fontId="39" applyFont="1" fillId="3" applyFill="1" borderId="4" applyBorder="1" xfId="6681" applyProtection="1" applyAlignment="1">
      <alignment horizontal="center" vertical="center" wrapText="1"/>
    </xf>
    <xf numFmtId="168" applyNumberFormat="1" fontId="39" applyFont="1" fillId="3" applyFill="1" borderId="4" applyBorder="1" xfId="1793" applyProtection="1" applyAlignment="1">
      <alignment horizontal="center" vertical="center" wrapText="1"/>
    </xf>
    <xf numFmtId="0" applyNumberFormat="1" fontId="39" applyFont="1" fillId="3" applyFill="1" borderId="4" applyBorder="1" xfId="6681" applyProtection="1" applyAlignment="1">
      <alignment horizontal="center" vertical="center" wrapText="1"/>
    </xf>
    <xf numFmtId="0" applyNumberFormat="1" fontId="36" applyFont="1" fillId="0" applyFill="1" borderId="0" applyBorder="1" xfId="6681" applyProtection="1"/>
    <xf numFmtId="168" applyNumberFormat="1" fontId="23" applyFont="1" fillId="0" applyFill="1" borderId="0" applyBorder="1" xfId="1" applyProtection="1"/>
    <xf numFmtId="0" applyNumberFormat="1" fontId="34" applyFont="1" fillId="0" applyFill="1" borderId="0" applyBorder="1" xfId="6681" applyProtection="1"/>
    <xf numFmtId="0" applyNumberFormat="1" fontId="23" applyFont="1" fillId="0" applyFill="1" borderId="0" applyBorder="1" xfId="6681" applyProtection="1"/>
    <xf numFmtId="0" applyNumberFormat="1" fontId="23" applyFont="1" fillId="0" applyFill="1" borderId="0" applyBorder="1" xfId="6681" applyProtection="1" applyAlignment="1">
      <alignment horizontal="center"/>
    </xf>
    <xf numFmtId="0" applyNumberFormat="1" fontId="23" applyFont="1" fillId="0" applyFill="1" borderId="0" applyBorder="1" xfId="6681" applyProtection="1"/>
    <xf numFmtId="0" applyNumberFormat="1" fontId="0" applyFont="1" fillId="0" applyFill="1" borderId="0" applyBorder="1" xfId="0" applyProtection="1"/>
    <xf numFmtId="0" applyNumberFormat="1" fontId="34" applyFont="1" fillId="0" applyFill="1" borderId="4" applyBorder="1" xfId="6679" applyProtection="1" applyAlignment="1">
      <alignment horizontal="left"/>
    </xf>
    <xf numFmtId="0" applyNumberFormat="1" fontId="23" applyFont="1" fillId="0" applyFill="1" borderId="4" applyBorder="1" xfId="6681" applyProtection="1" applyAlignment="1">
      <alignment horizontal="right"/>
    </xf>
    <xf numFmtId="0" applyNumberFormat="1" fontId="23" applyFont="1" fillId="0" applyFill="1" borderId="4" applyBorder="1" xfId="6681" applyProtection="1"/>
    <xf numFmtId="0" applyNumberFormat="1" fontId="23" applyFont="1" fillId="0" applyFill="1" borderId="0" applyBorder="1" xfId="6681" applyProtection="1"/>
    <xf numFmtId="0" applyNumberFormat="1" fontId="0" applyFont="1" fillId="0" applyFill="1" borderId="0" applyBorder="1" xfId="0" applyProtection="1"/>
    <xf numFmtId="168" applyNumberFormat="1" fontId="0" applyFont="1" fillId="0" applyFill="1" borderId="0" applyBorder="1" xfId="0" applyProtection="1"/>
    <xf numFmtId="0" applyNumberFormat="1" fontId="36" applyFont="1" fillId="0" applyFill="1" borderId="4" applyBorder="1" xfId="0" applyProtection="1" applyAlignment="1">
      <alignment horizontal="center" vertical="center" wrapText="1"/>
    </xf>
    <xf numFmtId="168" applyNumberFormat="1" fontId="36" applyFont="1" fillId="0" applyFill="1" borderId="4" applyBorder="1" xfId="1" applyProtection="1" applyAlignment="1">
      <alignment horizontal="center" vertical="center" wrapText="1"/>
    </xf>
    <xf numFmtId="0" applyNumberFormat="1" fontId="36" applyFont="1" fillId="0" applyFill="1" borderId="0" applyBorder="1" xfId="0" applyProtection="1" applyAlignment="1">
      <alignment horizontal="center" vertical="center" wrapText="1"/>
    </xf>
    <xf numFmtId="43" applyNumberFormat="1" fontId="0" applyFont="1" fillId="0" applyFill="1" borderId="0" applyBorder="1" xfId="0" applyProtection="1"/>
    <xf numFmtId="0" applyNumberFormat="1" fontId="0" applyFont="1" fillId="0" applyFill="1" borderId="4" applyBorder="1" xfId="0" applyProtection="1"/>
    <xf numFmtId="168" applyNumberFormat="1" fontId="36" applyFont="1" fillId="0" applyFill="1" borderId="4" applyBorder="1" xfId="1" applyProtection="1"/>
    <xf numFmtId="0" applyNumberFormat="1" fontId="0" applyFont="1" fillId="0" applyFill="1" borderId="4" applyBorder="1" xfId="0" applyProtection="1">
      <alignment wrapText="1"/>
    </xf>
    <xf numFmtId="168" applyNumberFormat="1" fontId="0" applyFont="1" fillId="0" applyFill="1" borderId="4" applyBorder="1" xfId="1" applyProtection="1" applyAlignment="1">
      <alignment vertical="center"/>
    </xf>
    <xf numFmtId="168" applyNumberFormat="1" fontId="0" applyFont="1" fillId="0" applyFill="1" borderId="4" applyBorder="1" xfId="0" applyProtection="1"/>
    <xf numFmtId="0" applyNumberFormat="1" fontId="22" applyFont="1" fillId="0" applyFill="1" borderId="0" applyBorder="1" xfId="6681" applyProtection="1"/>
    <xf numFmtId="0" applyNumberFormat="1" fontId="21" applyFont="1" fillId="0" applyFill="1" borderId="0" applyBorder="1" xfId="6681" applyProtection="1"/>
    <xf numFmtId="168" applyNumberFormat="1" fontId="23" applyFont="1" fillId="0" applyFill="1" borderId="0" applyBorder="1" xfId="1" applyProtection="1"/>
    <xf numFmtId="168" applyNumberFormat="1" fontId="0" applyFont="1" fillId="2" applyFill="1" borderId="2" applyBorder="1" xfId="1" applyProtection="1"/>
    <xf numFmtId="168" applyNumberFormat="1" fontId="0" applyFont="1" fillId="2" applyFill="1" borderId="4" applyBorder="1" xfId="1" applyProtection="1"/>
    <xf numFmtId="0" applyNumberFormat="1" fontId="21" applyFont="1" fillId="0" applyFill="1" borderId="0" applyBorder="1" xfId="6681" applyProtection="1"/>
    <xf numFmtId="0" applyNumberFormat="1" fontId="0" applyFont="1" fillId="0" applyFill="1" borderId="0" applyBorder="1" xfId="0" applyProtection="1"/>
    <xf numFmtId="0" applyNumberFormat="1" fontId="34" applyFont="1" fillId="0" applyFill="1" borderId="4" applyBorder="1" xfId="6679" applyProtection="1"/>
    <xf numFmtId="0" applyNumberFormat="1" fontId="37" applyFont="1" fillId="0" applyFill="1" borderId="3" applyBorder="1" xfId="6679" applyProtection="1" applyAlignment="1">
      <alignment horizontal="left"/>
    </xf>
    <xf numFmtId="0" applyNumberFormat="1" fontId="19" applyFont="1" fillId="0" applyFill="1" borderId="0" applyBorder="1" xfId="6681" applyProtection="1"/>
    <xf numFmtId="0" applyNumberFormat="1" fontId="19" applyFont="1" fillId="0" applyFill="1" borderId="0" applyBorder="1" xfId="6681" applyProtection="1"/>
    <xf numFmtId="0" applyNumberFormat="1" fontId="36" applyFont="1" fillId="0" applyFill="1" borderId="0" applyBorder="1" xfId="0" applyProtection="1"/>
    <xf numFmtId="0" applyNumberFormat="1" fontId="36" applyFont="1" fillId="0" applyFill="1" borderId="0" applyBorder="1" xfId="6681" applyProtection="1"/>
    <xf numFmtId="168" applyNumberFormat="1" fontId="18" applyFont="1" fillId="0" applyFill="1" borderId="0" applyBorder="1" xfId="6681" applyProtection="1"/>
    <xf numFmtId="168" applyNumberFormat="1" fontId="43" applyFont="1" fillId="0" applyFill="1" borderId="0" applyBorder="1" xfId="0" applyProtection="1"/>
    <xf numFmtId="168" applyNumberFormat="1" fontId="36" applyFont="1" fillId="0" applyFill="1" borderId="0" applyBorder="1" xfId="6681" applyProtection="1"/>
    <xf numFmtId="43" applyNumberFormat="1" fontId="23" applyFont="1" fillId="0" applyFill="1" borderId="0" applyBorder="1" xfId="1" applyProtection="1"/>
    <xf numFmtId="9" applyNumberFormat="1" fontId="0" applyFont="1" fillId="0" applyFill="1" borderId="4" applyBorder="1" xfId="1793" applyProtection="1"/>
    <xf numFmtId="0" applyNumberFormat="1" fontId="36" applyFont="1" fillId="0" applyFill="1" borderId="4" applyBorder="1" xfId="0" applyProtection="1" applyAlignment="1">
      <alignment horizontal="center"/>
    </xf>
    <xf numFmtId="0" applyNumberFormat="1" fontId="36" applyFont="1" fillId="0" applyFill="1" borderId="4" applyBorder="1" xfId="0" applyProtection="1" applyAlignment="1">
      <alignment horizontal="center"/>
    </xf>
    <xf numFmtId="0" applyNumberFormat="1" fontId="36" applyFont="1" fillId="0" applyFill="1" borderId="0" applyBorder="1" xfId="0" applyProtection="1" applyAlignment="1">
      <alignment horizontal="center"/>
    </xf>
    <xf numFmtId="168" applyNumberFormat="1" fontId="36" applyFont="1" fillId="0" applyFill="1" borderId="0" applyBorder="1" xfId="1" applyProtection="1" applyAlignment="1">
      <alignment horizontal="center"/>
    </xf>
    <xf numFmtId="168" applyNumberFormat="1" fontId="17" applyFont="1" fillId="2" applyFill="1" borderId="4" applyBorder="1" xfId="6681" applyProtection="1"/>
    <xf numFmtId="168" applyNumberFormat="1" fontId="26" applyFont="1" fillId="0" applyFill="1" borderId="4" applyBorder="1" xfId="6682" applyProtection="1"/>
    <xf numFmtId="168" applyNumberFormat="1" fontId="23" applyFont="1" fillId="0" applyFill="1" borderId="0" applyBorder="1" xfId="6681" applyProtection="1"/>
    <xf numFmtId="0" applyNumberFormat="1" fontId="16" applyFont="1" fillId="0" applyFill="1" borderId="0" applyBorder="1" xfId="6681" applyProtection="1"/>
    <xf numFmtId="0" applyNumberFormat="1" fontId="0" applyFont="1" fillId="5" applyFill="1" borderId="4" applyBorder="1" xfId="0" applyProtection="1"/>
    <xf numFmtId="0" applyNumberFormat="1" fontId="0" applyFont="1" fillId="5" applyFill="1" borderId="4" applyBorder="1" xfId="0" applyProtection="1" applyAlignment="1">
      <alignment horizontal="center"/>
    </xf>
    <xf numFmtId="168" applyNumberFormat="1" fontId="0" applyFont="1" fillId="5" applyFill="1" borderId="4" applyBorder="1" xfId="1" applyProtection="1"/>
    <xf numFmtId="168" applyNumberFormat="1" fontId="36" applyFont="1" fillId="5" applyFill="1" borderId="4" applyBorder="1" xfId="1" applyProtection="1"/>
    <xf numFmtId="0" applyNumberFormat="1" fontId="23" applyFont="1" fillId="6" applyFill="1" borderId="4" applyBorder="1" xfId="6681" applyProtection="1"/>
    <xf numFmtId="0" applyNumberFormat="1" fontId="23" applyFont="1" fillId="6" applyFill="1" borderId="4" applyBorder="1" xfId="6681" applyProtection="1" applyAlignment="1">
      <alignment horizontal="center"/>
    </xf>
    <xf numFmtId="168" applyNumberFormat="1" fontId="0" applyFont="1" fillId="6" applyFill="1" borderId="4" applyBorder="1" xfId="1793" applyProtection="1"/>
    <xf numFmtId="168" applyNumberFormat="1" fontId="23" applyFont="1" fillId="6" applyFill="1" borderId="0" applyBorder="1" xfId="6681" applyProtection="1"/>
    <xf numFmtId="0" applyNumberFormat="1" fontId="34" applyFont="1" fillId="6" applyFill="1" borderId="4" applyBorder="1" xfId="6681" applyProtection="1" applyAlignment="1">
      <alignment horizontal="center"/>
    </xf>
    <xf numFmtId="0" applyNumberFormat="1" fontId="38" applyFont="1" fillId="6" applyFill="1" borderId="4" applyBorder="1" xfId="6681" applyProtection="1"/>
    <xf numFmtId="168" applyNumberFormat="1" fontId="38" applyFont="1" fillId="6" applyFill="1" borderId="4" applyBorder="1" xfId="6681" applyProtection="1"/>
    <xf numFmtId="0" applyNumberFormat="1" fontId="23" applyFont="1" fillId="6" applyFill="1" borderId="0" applyBorder="1" xfId="6681" applyProtection="1"/>
    <xf numFmtId="168" applyNumberFormat="1" fontId="36" applyFont="1" fillId="6" applyFill="1" borderId="4" applyBorder="1" xfId="1793" applyProtection="1"/>
    <xf numFmtId="0" applyNumberFormat="1" fontId="43" applyFont="1" fillId="6" applyFill="1" borderId="4" applyBorder="1" xfId="6681" applyProtection="1"/>
    <xf numFmtId="0" applyNumberFormat="1" fontId="46" applyFont="1" fillId="6" applyFill="1" borderId="4" applyBorder="1" xfId="6679" applyProtection="1"/>
    <xf numFmtId="0" applyNumberFormat="1" fontId="43" applyFont="1" fillId="6" applyFill="1" borderId="4" applyBorder="1" xfId="6681" applyProtection="1" applyAlignment="1">
      <alignment horizontal="center"/>
    </xf>
    <xf numFmtId="168" applyNumberFormat="1" fontId="43" applyFont="1" fillId="6" applyFill="1" borderId="4" applyBorder="1" xfId="1793" applyProtection="1"/>
    <xf numFmtId="170" applyNumberFormat="1" fontId="43" applyFont="1" fillId="6" applyFill="1" borderId="4" applyBorder="1" xfId="6681" applyProtection="1"/>
    <xf numFmtId="168" applyNumberFormat="1" fontId="43" applyFont="1" fillId="6" applyFill="1" borderId="0" applyBorder="1" xfId="6681" applyProtection="1"/>
    <xf numFmtId="0" applyNumberFormat="1" fontId="46" applyFont="1" fillId="6" applyFill="1" borderId="4" applyBorder="1" xfId="6681" applyProtection="1" applyAlignment="1">
      <alignment horizontal="center"/>
    </xf>
    <xf numFmtId="0" applyNumberFormat="1" fontId="46" applyFont="1" fillId="6" applyFill="1" borderId="4" applyBorder="1" xfId="6681" applyProtection="1"/>
    <xf numFmtId="168" applyNumberFormat="1" fontId="46" applyFont="1" fillId="6" applyFill="1" borderId="4" applyBorder="1" xfId="6681" applyProtection="1"/>
    <xf numFmtId="0" applyNumberFormat="1" fontId="43" applyFont="1" fillId="6" applyFill="1" borderId="0" applyBorder="1" xfId="6681" applyProtection="1"/>
    <xf numFmtId="0" applyNumberFormat="1" fontId="23" applyFont="1" fillId="6" applyFill="1" borderId="2" applyBorder="1" xfId="6681" applyProtection="1"/>
    <xf numFmtId="0" applyNumberFormat="1" fontId="37" applyFont="1" fillId="6" applyFill="1" borderId="3" applyBorder="1" xfId="6679" applyProtection="1" applyAlignment="1">
      <alignment horizontal="left"/>
    </xf>
    <xf numFmtId="0" applyNumberFormat="1" fontId="23" applyFont="1" fillId="6" applyFill="1" borderId="4" applyBorder="1" xfId="6681" applyProtection="1" applyAlignment="1">
      <alignment horizontal="right"/>
    </xf>
    <xf numFmtId="168" applyNumberFormat="1" fontId="0" applyFont="1" fillId="6" applyFill="1" borderId="2" applyBorder="1" xfId="1" applyProtection="1"/>
    <xf numFmtId="168" applyNumberFormat="1" fontId="0" applyFont="1" fillId="6" applyFill="1" borderId="2" applyBorder="1" xfId="1793" applyProtection="1"/>
    <xf numFmtId="170" applyNumberFormat="1" fontId="23" applyFont="1" fillId="6" applyFill="1" borderId="2" applyBorder="1" xfId="6681" applyProtection="1"/>
    <xf numFmtId="0" applyNumberFormat="1" fontId="23" applyFont="1" fillId="6" applyFill="1" borderId="2" applyBorder="1" xfId="6681" applyProtection="1" applyAlignment="1">
      <alignment horizontal="center"/>
    </xf>
    <xf numFmtId="168" applyNumberFormat="1" fontId="0" applyFont="1" fillId="6" applyFill="1" borderId="2" applyBorder="1" xfId="1793" applyProtection="1"/>
    <xf numFmtId="0" applyNumberFormat="1" fontId="23" applyFont="1" fillId="6" applyFill="1" borderId="4" applyBorder="1" xfId="6681" applyProtection="1"/>
    <xf numFmtId="168" applyNumberFormat="1" fontId="23" applyFont="1" fillId="6" applyFill="1" borderId="4" applyBorder="1" xfId="6681" applyProtection="1"/>
    <xf numFmtId="168" applyNumberFormat="1" fontId="36" applyFont="1" fillId="6" applyFill="1" borderId="4" applyBorder="1" xfId="6681" applyProtection="1"/>
    <xf numFmtId="0" applyNumberFormat="1" fontId="23" applyFont="1" fillId="6" applyFill="1" borderId="4" applyBorder="1" xfId="6681" applyProtection="1" applyAlignment="1">
      <alignment horizontal="center"/>
    </xf>
    <xf numFmtId="0" applyNumberFormat="1" fontId="23" applyFont="1" fillId="6" applyFill="1" borderId="0" applyBorder="1" xfId="6681" applyProtection="1"/>
    <xf numFmtId="0" applyNumberFormat="1" fontId="15" applyFont="1" fillId="2" applyFill="1" borderId="4" applyBorder="1" xfId="6682" applyProtection="1" applyAlignment="1">
      <alignment horizontal="center"/>
    </xf>
    <xf numFmtId="0" applyNumberFormat="1" fontId="14" applyFont="1" fillId="0" applyFill="1" borderId="0" applyBorder="1" xfId="6681" applyProtection="1"/>
    <xf numFmtId="0" applyNumberFormat="1" fontId="47" applyFont="1" fillId="0" applyFill="1" borderId="0" applyBorder="1" xfId="0" applyProtection="1"/>
    <xf numFmtId="0" applyNumberFormat="1" fontId="48" applyFont="1" fillId="7" applyFill="1" borderId="11" applyBorder="1" xfId="0" applyProtection="1" applyAlignment="1">
      <alignment horizontal="center"/>
    </xf>
    <xf numFmtId="0" applyNumberFormat="1" fontId="47" applyFont="1" fillId="0" applyFill="1" borderId="12" applyBorder="1" xfId="6681" applyProtection="1" applyAlignment="1">
      <alignment horizontal="center"/>
    </xf>
    <xf numFmtId="0" applyNumberFormat="1" fontId="49" applyFont="1" fillId="0" applyFill="1" borderId="12" applyBorder="1" xfId="6681" applyProtection="1" applyAlignment="1">
      <alignment horizontal="left"/>
    </xf>
    <xf numFmtId="0" applyNumberFormat="1" fontId="47" applyFont="1" fillId="2" applyFill="1" borderId="12" applyBorder="1" xfId="6681" applyProtection="1"/>
    <xf numFmtId="0" applyNumberFormat="1" fontId="47" applyFont="1" fillId="0" applyFill="1" borderId="4" applyBorder="1" xfId="6681" applyProtection="1" applyAlignment="1">
      <alignment horizontal="center"/>
    </xf>
    <xf numFmtId="0" applyNumberFormat="1" fontId="49" applyFont="1" fillId="0" applyFill="1" borderId="4" applyBorder="1" xfId="6679" applyProtection="1"/>
    <xf numFmtId="0" applyNumberFormat="1" fontId="47" applyFont="1" fillId="2" applyFill="1" borderId="4" applyBorder="1" xfId="6681" applyProtection="1"/>
    <xf numFmtId="0" applyNumberFormat="1" fontId="47" applyFont="1" fillId="0" applyFill="1" borderId="4" applyBorder="1" xfId="6681" applyProtection="1"/>
    <xf numFmtId="0" applyNumberFormat="1" fontId="49" applyFont="1" fillId="0" applyFill="1" borderId="3" applyBorder="1" xfId="6679" applyProtection="1"/>
    <xf numFmtId="0" applyNumberFormat="1" fontId="47" applyFont="1" fillId="2" applyFill="1" borderId="2" applyBorder="1" xfId="6681" applyProtection="1"/>
    <xf numFmtId="0" applyNumberFormat="1" fontId="49" applyFont="1" fillId="2" applyFill="1" borderId="4" applyBorder="1" xfId="6682" applyProtection="1"/>
    <xf numFmtId="0" applyNumberFormat="1" fontId="47" applyFont="1" fillId="0" applyFill="1" borderId="2" applyBorder="1" xfId="6682" applyProtection="1"/>
    <xf numFmtId="0" applyNumberFormat="1" fontId="49" applyFont="1" fillId="0" applyFill="1" borderId="2" applyBorder="1" xfId="6679" applyProtection="1"/>
    <xf numFmtId="0" applyNumberFormat="1" fontId="49" applyFont="1" fillId="0" applyFill="1" borderId="4" applyBorder="1" xfId="6679" applyProtection="1" applyAlignment="1">
      <alignment horizontal="left"/>
    </xf>
    <xf numFmtId="0" applyNumberFormat="1" fontId="47" applyFont="1" fillId="0" applyFill="1" borderId="2" applyBorder="1" xfId="6681" applyProtection="1"/>
    <xf numFmtId="0" applyNumberFormat="1" fontId="49" applyFont="1" fillId="0" applyFill="1" borderId="3" applyBorder="1" xfId="6679" applyProtection="1" applyAlignment="1">
      <alignment horizontal="left"/>
    </xf>
    <xf numFmtId="0" applyNumberFormat="1" fontId="47" applyFont="1" fillId="0" applyFill="1" borderId="0" applyBorder="1" xfId="0" applyProtection="1" applyAlignment="1">
      <alignment horizontal="center"/>
    </xf>
    <xf numFmtId="0" applyNumberFormat="1" fontId="47" applyFont="1" fillId="0" applyFill="1" borderId="12" applyBorder="1" xfId="6681" quotePrefix="1" applyProtection="1" applyAlignment="1">
      <alignment horizontal="center"/>
    </xf>
    <xf numFmtId="0" applyNumberFormat="1" fontId="47" applyFont="1" fillId="0" applyFill="1" borderId="4" applyBorder="1" xfId="6681" quotePrefix="1" applyProtection="1" applyAlignment="1">
      <alignment horizontal="center"/>
    </xf>
    <xf numFmtId="168" applyNumberFormat="1" fontId="38" applyFont="1" fillId="0" applyFill="1" borderId="4" applyBorder="1" xfId="6682" applyProtection="1"/>
    <xf numFmtId="0" applyNumberFormat="1" fontId="13" applyFont="1" fillId="0" applyFill="1" borderId="0" applyBorder="1" xfId="0" applyProtection="1" applyAlignment="1">
      <alignment horizontal="center" vertical="center" wrapText="1"/>
    </xf>
    <xf numFmtId="168" applyNumberFormat="1" fontId="23" applyFont="1" fillId="0" applyFill="1" borderId="0" applyBorder="1" xfId="1" applyProtection="1"/>
    <xf numFmtId="168" applyNumberFormat="1" fontId="23" applyFont="1" fillId="0" applyFill="1" borderId="0" applyBorder="1" xfId="1" applyProtection="1"/>
    <xf numFmtId="0" applyNumberFormat="1" fontId="23" applyFont="1" fillId="8" applyFill="1" borderId="4" applyBorder="1" xfId="6681" applyProtection="1"/>
    <xf numFmtId="9" applyNumberFormat="1" fontId="0" applyFont="1" fillId="8" applyFill="1" borderId="4" applyBorder="1" xfId="1793" applyProtection="1"/>
    <xf numFmtId="168" applyNumberFormat="1" fontId="0" applyFont="1" fillId="8" applyFill="1" borderId="4" applyBorder="1" xfId="1793" applyProtection="1"/>
    <xf numFmtId="168" applyNumberFormat="1" fontId="38" applyFont="1" fillId="8" applyFill="1" borderId="4" applyBorder="1" xfId="1793" applyProtection="1"/>
    <xf numFmtId="168" applyNumberFormat="1" fontId="38" applyFont="1" fillId="8" applyFill="1" borderId="4" applyBorder="1" xfId="1793" applyProtection="1"/>
    <xf numFmtId="170" applyNumberFormat="1" fontId="23" applyFont="1" fillId="8" applyFill="1" borderId="4" applyBorder="1" xfId="6681" applyProtection="1"/>
    <xf numFmtId="0" applyNumberFormat="1" fontId="23" applyFont="1" fillId="8" applyFill="1" borderId="4" applyBorder="1" xfId="6681" applyProtection="1" applyAlignment="1">
      <alignment horizontal="center"/>
    </xf>
    <xf numFmtId="168" applyNumberFormat="1" fontId="0" applyFont="1" fillId="8" applyFill="1" borderId="4" applyBorder="1" xfId="1793" applyProtection="1"/>
    <xf numFmtId="168" applyNumberFormat="1" fontId="23" applyFont="1" fillId="8" applyFill="1" borderId="4" applyBorder="1" xfId="6681" applyProtection="1"/>
    <xf numFmtId="168" applyNumberFormat="1" fontId="23" applyFont="1" fillId="8" applyFill="1" borderId="0" applyBorder="1" xfId="6681" applyProtection="1"/>
    <xf numFmtId="0" applyNumberFormat="1" fontId="34" applyFont="1" fillId="8" applyFill="1" borderId="4" applyBorder="1" xfId="6681" applyProtection="1" applyAlignment="1">
      <alignment horizontal="center"/>
    </xf>
    <xf numFmtId="0" applyNumberFormat="1" fontId="38" applyFont="1" fillId="8" applyFill="1" borderId="4" applyBorder="1" xfId="6681" applyProtection="1"/>
    <xf numFmtId="168" applyNumberFormat="1" fontId="38" applyFont="1" fillId="8" applyFill="1" borderId="4" applyBorder="1" xfId="6681" applyProtection="1"/>
    <xf numFmtId="0" applyNumberFormat="1" fontId="23" applyFont="1" fillId="8" applyFill="1" borderId="0" applyBorder="1" xfId="6681" applyProtection="1"/>
    <xf numFmtId="1" applyNumberFormat="1" fontId="23" applyFont="1" fillId="0" applyFill="1" borderId="0" applyBorder="1" xfId="6681" applyProtection="1"/>
    <xf numFmtId="1" applyNumberFormat="1" fontId="23" applyFont="1" fillId="0" applyFill="1" borderId="0" applyBorder="1" xfId="6681" applyProtection="1"/>
    <xf numFmtId="9" applyNumberFormat="1" fontId="23" applyFont="1" fillId="0" applyFill="1" borderId="0" applyBorder="1" xfId="6681" applyProtection="1"/>
    <xf numFmtId="168" applyNumberFormat="1" fontId="39" applyFont="1" fillId="0" applyFill="1" borderId="4" applyBorder="1" xfId="1793" applyProtection="1" applyAlignment="1">
      <alignment horizontal="right" vertical="center" wrapText="1"/>
    </xf>
    <xf numFmtId="0" applyNumberFormat="1" fontId="12" applyFont="1" fillId="0" applyFill="1" borderId="4" applyBorder="1" xfId="6681" applyProtection="1" applyAlignment="1">
      <alignment horizontal="right"/>
    </xf>
    <xf numFmtId="168" applyNumberFormat="1" fontId="38" applyFont="1" fillId="2" applyFill="1" borderId="4" applyBorder="1" xfId="1" applyProtection="1"/>
    <xf numFmtId="168" applyNumberFormat="1" fontId="23" applyFont="1" fillId="0" applyFill="1" borderId="4" applyBorder="1" xfId="1" applyProtection="1"/>
    <xf numFmtId="168" applyNumberFormat="1" fontId="19" applyFont="1" fillId="0" applyFill="1" borderId="4" applyBorder="1" xfId="1" applyProtection="1"/>
    <xf numFmtId="168" applyNumberFormat="1" fontId="36" applyFont="1" fillId="0" applyFill="1" borderId="4" applyBorder="1" xfId="1" applyProtection="1"/>
    <xf numFmtId="170" applyNumberFormat="1" fontId="23" applyFont="1" fillId="0" applyFill="1" borderId="4" applyBorder="1" xfId="6681" applyProtection="1"/>
    <xf numFmtId="0" applyNumberFormat="1" fontId="34" applyFont="1" fillId="0" applyFill="1" borderId="4" applyBorder="1" xfId="6681" applyProtection="1" applyAlignment="1">
      <alignment horizontal="center"/>
    </xf>
    <xf numFmtId="0" applyNumberFormat="1" fontId="0" applyFont="1" fillId="0" applyFill="1" borderId="4" applyBorder="1" xfId="0" applyProtection="1" applyAlignment="1">
      <alignment horizontal="left"/>
    </xf>
    <xf numFmtId="0" applyNumberFormat="1" fontId="0" applyFont="1" fillId="0" applyFill="1" borderId="4" applyBorder="1" xfId="0" quotePrefix="1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36" applyFont="1" fillId="0" applyFill="1" borderId="4" applyBorder="1" xfId="0" applyProtection="1" applyAlignment="1">
      <alignment horizontal="left" vertical="center" wrapText="1"/>
    </xf>
    <xf numFmtId="0" applyNumberFormat="1" fontId="0" applyFont="1" fillId="0" applyFill="1" borderId="4" applyBorder="1" xfId="0" applyProtection="1" applyAlignment="1">
      <alignment horizontal="left"/>
    </xf>
    <xf numFmtId="0" applyNumberFormat="1" fontId="0" applyFont="1" fillId="5" applyFill="1" borderId="4" applyBorder="1" xfId="0" applyProtection="1" applyAlignment="1">
      <alignment horizontal="left"/>
    </xf>
    <xf numFmtId="168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10" applyFont="1" fillId="0" applyFill="1" borderId="0" applyBorder="1" xfId="6681" applyProtection="1"/>
    <xf numFmtId="168" applyNumberFormat="1" fontId="10" applyFont="1" fillId="0" applyFill="1" borderId="0" applyBorder="1" xfId="6681" applyProtection="1"/>
    <xf numFmtId="0" applyNumberFormat="1" fontId="9" applyFont="1" fillId="0" applyFill="1" borderId="0" applyBorder="1" xfId="6681" applyProtection="1"/>
    <xf numFmtId="168" applyNumberFormat="1" fontId="0" applyFont="1" fillId="0" applyFill="1" borderId="0" applyBorder="1" xfId="0" applyProtection="1"/>
    <xf numFmtId="168" applyNumberFormat="1" fontId="0" applyFont="1" fillId="9" applyFill="1" borderId="4" applyBorder="1" xfId="1793" applyProtection="1"/>
    <xf numFmtId="168" applyNumberFormat="1" fontId="23" applyFont="1" fillId="9" applyFill="1" borderId="4" applyBorder="1" xfId="6681" applyProtection="1"/>
    <xf numFmtId="168" applyNumberFormat="1" fontId="38" applyFont="1" fillId="9" applyFill="1" borderId="4" applyBorder="1" xfId="6681" applyProtection="1"/>
    <xf numFmtId="168" applyNumberFormat="1" fontId="36" applyFont="1" fillId="0" applyFill="1" borderId="0" applyBorder="1" xfId="1" applyProtection="1"/>
    <xf numFmtId="168" applyNumberFormat="1" fontId="23" applyFont="1" fillId="0" applyFill="1" borderId="4" applyBorder="1" xfId="6681" applyProtection="1" applyAlignment="1">
      <alignment horizontal="center"/>
    </xf>
    <xf numFmtId="0" applyNumberFormat="1" fontId="37" applyFont="1" fillId="0" applyFill="1" borderId="2" applyBorder="1" xfId="6679" applyProtection="1"/>
    <xf numFmtId="0" applyNumberFormat="1" fontId="0" applyFont="1" fillId="0" applyFill="1" borderId="4" applyBorder="1" xfId="0" applyProtection="1" applyAlignment="1">
      <alignment horizontal="center"/>
    </xf>
    <xf numFmtId="0" applyNumberFormat="1" fontId="34" applyFont="1" fillId="2" applyFill="1" borderId="4" applyBorder="1" xfId="6679" applyProtection="1"/>
    <xf numFmtId="0" applyNumberFormat="1" fontId="7" applyFont="1" fillId="0" applyFill="1" borderId="4" applyBorder="1" xfId="6681" applyProtection="1"/>
    <xf numFmtId="168" applyNumberFormat="1" fontId="23" applyFont="1" fillId="0" applyFill="1" borderId="0" applyBorder="1" xfId="1" applyProtection="1"/>
    <xf numFmtId="168" applyNumberFormat="1" fontId="0" applyFont="1" fillId="0" applyFill="1" borderId="4" applyBorder="1" xfId="1794" applyProtection="1"/>
    <xf numFmtId="0" applyNumberFormat="1" fontId="11" applyFont="1" fillId="0" applyFill="1" borderId="0" applyBorder="1" xfId="6681" applyProtection="1"/>
    <xf numFmtId="168" applyNumberFormat="1" fontId="11" applyFont="1" fillId="0" applyFill="1" borderId="0" applyBorder="1" xfId="6681" applyProtection="1"/>
    <xf numFmtId="168" applyNumberFormat="1" fontId="6" applyFont="1" fillId="0" applyFill="1" borderId="0" applyBorder="1" xfId="6681" applyProtection="1"/>
    <xf numFmtId="0" applyNumberFormat="1" fontId="6" applyFont="1" fillId="0" applyFill="1" borderId="0" applyBorder="1" xfId="6681" applyProtection="1"/>
    <xf numFmtId="168" applyNumberFormat="1" fontId="19" applyFont="1" fillId="0" applyFill="1" borderId="0" applyBorder="1" xfId="6681" applyProtection="1"/>
    <xf numFmtId="0" applyNumberFormat="1" fontId="0" applyFont="1" fillId="2" applyFill="1" borderId="4" applyBorder="1" xfId="0" applyProtection="1"/>
    <xf numFmtId="0" applyNumberFormat="1" fontId="4" applyFont="1" fillId="2" applyFill="1" borderId="4" applyBorder="1" xfId="6681" applyProtection="1"/>
    <xf numFmtId="9" applyNumberFormat="1" fontId="0" applyFont="1" fillId="0" applyFill="1" borderId="4" applyBorder="1" xfId="1793" applyProtection="1"/>
    <xf numFmtId="168" applyNumberFormat="1" fontId="0" applyFont="1" fillId="0" applyFill="1" borderId="2" applyBorder="1" xfId="1" applyProtection="1"/>
    <xf numFmtId="0" applyNumberFormat="1" fontId="5" applyFont="1" fillId="0" applyFill="1" borderId="2" applyBorder="1" xfId="6681" applyProtection="1" applyAlignment="1">
      <alignment horizontal="center"/>
    </xf>
    <xf numFmtId="0" applyNumberFormat="1" fontId="4" applyFont="1" fillId="0" applyFill="1" borderId="2" applyBorder="1" xfId="6681" applyProtection="1"/>
    <xf numFmtId="168" applyNumberFormat="1" fontId="23" applyFont="1" fillId="0" applyFill="1" borderId="0" applyBorder="1" xfId="1" applyProtection="1"/>
    <xf numFmtId="0" applyNumberFormat="1" fontId="40" applyFont="1" fillId="0" applyFill="1" borderId="8" applyBorder="1" xfId="6681" applyProtection="1" applyAlignment="1">
      <alignment horizontal="center" vertical="center" wrapText="1"/>
    </xf>
    <xf numFmtId="168" applyNumberFormat="1" fontId="17" applyFont="1" fillId="0" applyFill="1" borderId="4" applyBorder="1" xfId="6681" applyProtection="1"/>
    <xf numFmtId="168" applyNumberFormat="1" fontId="23" applyFont="1" fillId="0" applyFill="1" borderId="0" applyBorder="1" xfId="1" applyProtection="1"/>
    <xf numFmtId="168" applyNumberFormat="1" fontId="0" applyFont="1" fillId="8" applyFill="1" borderId="4" applyBorder="1" xfId="1" applyProtection="1"/>
    <xf numFmtId="0" applyNumberFormat="1" fontId="0" applyFont="1" fillId="8" applyFill="1" borderId="4" applyBorder="1" xfId="0" quotePrefix="1" applyProtection="1" applyAlignment="1">
      <alignment horizontal="left"/>
    </xf>
    <xf numFmtId="0" applyNumberFormat="1" fontId="3" applyFont="1" fillId="0" applyFill="1" borderId="4" applyBorder="1" xfId="6681" applyProtection="1"/>
    <xf numFmtId="0" applyNumberFormat="1" fontId="5" applyFont="1" fillId="2" applyFill="1" borderId="4" applyBorder="1" xfId="6681" applyProtection="1" applyAlignment="1">
      <alignment horizontal="center"/>
    </xf>
    <xf numFmtId="0" applyNumberFormat="1" fontId="2" applyFont="1" fillId="0" applyFill="1" borderId="0" applyBorder="1" xfId="6681" applyProtection="1"/>
    <xf numFmtId="10" applyNumberFormat="1" fontId="2" applyFont="1" fillId="0" applyFill="1" borderId="0" applyBorder="1" xfId="6681" applyProtection="1"/>
    <xf numFmtId="0" applyNumberFormat="1" fontId="2" applyFont="1" fillId="0" applyFill="1" borderId="0" applyBorder="1" xfId="6681" applyProtection="1" applyAlignment="1">
      <alignment horizontal="left"/>
    </xf>
    <xf numFmtId="168" applyNumberFormat="1" fontId="23" applyFont="1" fillId="0" applyFill="1" borderId="0" applyBorder="1" xfId="1" applyProtection="1"/>
    <xf numFmtId="168" applyNumberFormat="1" fontId="23" applyFont="1" fillId="0" applyFill="1" borderId="0" applyBorder="1" xfId="1" applyProtection="1" applyAlignment="1">
      <alignment horizontal="left"/>
    </xf>
    <xf numFmtId="168" applyNumberFormat="1" fontId="36" applyFont="1" fillId="0" applyFill="1" borderId="9" applyBorder="1" xfId="1" applyProtection="1"/>
    <xf numFmtId="168" applyNumberFormat="1" fontId="36" applyFont="1" fillId="0" applyFill="1" borderId="10" applyBorder="1" xfId="1" applyProtection="1"/>
    <xf numFmtId="168" applyNumberFormat="1" fontId="23" applyFont="1" fillId="0" applyFill="1" borderId="0" applyBorder="1" xfId="1" applyProtection="1" applyAlignment="1">
      <alignment horizontal="center"/>
    </xf>
    <xf numFmtId="0" applyNumberFormat="1" fontId="50" applyFont="1" fillId="0" applyFill="1" borderId="0" applyBorder="1" xfId="0" applyProtection="1" applyAlignment="1">
      <alignment horizontal="center"/>
    </xf>
    <xf numFmtId="0" applyNumberFormat="1" fontId="43" applyFont="1" fillId="10" applyFill="1" borderId="4" applyBorder="1" xfId="6681" applyProtection="1"/>
    <xf numFmtId="0" applyNumberFormat="1" fontId="46" applyFont="1" fillId="10" applyFill="1" borderId="4" applyBorder="1" xfId="6679" applyProtection="1"/>
    <xf numFmtId="0" applyNumberFormat="1" fontId="43" applyFont="1" fillId="10" applyFill="1" borderId="4" applyBorder="1" xfId="6681" applyProtection="1" applyAlignment="1">
      <alignment horizontal="center"/>
    </xf>
    <xf numFmtId="168" applyNumberFormat="1" fontId="43" applyFont="1" fillId="10" applyFill="1" borderId="4" applyBorder="1" xfId="1793" applyProtection="1"/>
    <xf numFmtId="170" applyNumberFormat="1" fontId="43" applyFont="1" fillId="10" applyFill="1" borderId="4" applyBorder="1" xfId="6681" applyProtection="1"/>
    <xf numFmtId="168" applyNumberFormat="1" fontId="43" applyFont="1" fillId="10" applyFill="1" borderId="0" applyBorder="1" xfId="6681" applyProtection="1"/>
    <xf numFmtId="0" applyNumberFormat="1" fontId="46" applyFont="1" fillId="10" applyFill="1" borderId="4" applyBorder="1" xfId="6681" applyProtection="1" applyAlignment="1">
      <alignment horizontal="center"/>
    </xf>
    <xf numFmtId="0" applyNumberFormat="1" fontId="46" applyFont="1" fillId="10" applyFill="1" borderId="4" applyBorder="1" xfId="6681" applyProtection="1"/>
    <xf numFmtId="168" applyNumberFormat="1" fontId="46" applyFont="1" fillId="10" applyFill="1" borderId="4" applyBorder="1" xfId="6681" applyProtection="1"/>
    <xf numFmtId="0" applyNumberFormat="1" fontId="23" applyFont="1" fillId="10" applyFill="1" borderId="4" applyBorder="1" xfId="6681" applyProtection="1"/>
    <xf numFmtId="0" applyNumberFormat="1" fontId="23" applyFont="1" fillId="10" applyFill="1" borderId="2" applyBorder="1" xfId="6681" applyProtection="1"/>
    <xf numFmtId="0" applyNumberFormat="1" fontId="37" applyFont="1" fillId="10" applyFill="1" borderId="3" applyBorder="1" xfId="6679" applyProtection="1" applyAlignment="1">
      <alignment horizontal="left"/>
    </xf>
    <xf numFmtId="0" applyNumberFormat="1" fontId="23" applyFont="1" fillId="10" applyFill="1" borderId="4" applyBorder="1" xfId="6681" applyProtection="1" applyAlignment="1">
      <alignment horizontal="right"/>
    </xf>
    <xf numFmtId="168" applyNumberFormat="1" fontId="0" applyFont="1" fillId="10" applyFill="1" borderId="4" applyBorder="1" xfId="1793" applyProtection="1"/>
    <xf numFmtId="168" applyNumberFormat="1" fontId="0" applyFont="1" fillId="10" applyFill="1" borderId="2" applyBorder="1" xfId="1" applyProtection="1"/>
    <xf numFmtId="168" applyNumberFormat="1" fontId="36" applyFont="1" fillId="10" applyFill="1" borderId="4" applyBorder="1" xfId="1793" applyProtection="1"/>
    <xf numFmtId="168" applyNumberFormat="1" fontId="38" applyFont="1" fillId="10" applyFill="1" borderId="4" applyBorder="1" xfId="6681" applyProtection="1"/>
    <xf numFmtId="168" applyNumberFormat="1" fontId="0" applyFont="1" fillId="10" applyFill="1" borderId="2" applyBorder="1" xfId="1793" applyProtection="1"/>
    <xf numFmtId="170" applyNumberFormat="1" fontId="23" applyFont="1" fillId="10" applyFill="1" borderId="2" applyBorder="1" xfId="6681" applyProtection="1"/>
    <xf numFmtId="0" applyNumberFormat="1" fontId="23" applyFont="1" fillId="10" applyFill="1" borderId="2" applyBorder="1" xfId="6681" applyProtection="1" applyAlignment="1">
      <alignment horizontal="center"/>
    </xf>
    <xf numFmtId="168" applyNumberFormat="1" fontId="23" applyFont="1" fillId="10" applyFill="1" borderId="0" applyBorder="1" xfId="6681" applyProtection="1"/>
    <xf numFmtId="0" applyNumberFormat="1" fontId="34" applyFont="1" fillId="10" applyFill="1" borderId="4" applyBorder="1" xfId="6681" applyProtection="1" applyAlignment="1">
      <alignment horizontal="center"/>
    </xf>
    <xf numFmtId="0" applyNumberFormat="1" fontId="38" applyFont="1" fillId="10" applyFill="1" borderId="4" applyBorder="1" xfId="6681" applyProtection="1"/>
    <xf numFmtId="0" applyNumberFormat="1" fontId="23" applyFont="1" fillId="10" applyFill="1" borderId="4" applyBorder="1" xfId="6681" applyProtection="1" applyAlignment="1">
      <alignment horizontal="center"/>
    </xf>
    <xf numFmtId="0" applyNumberFormat="1" fontId="23" applyFont="1" fillId="10" applyFill="1" borderId="4" applyBorder="1" xfId="6681" applyProtection="1"/>
    <xf numFmtId="168" applyNumberFormat="1" fontId="36" applyFont="1" fillId="10" applyFill="1" borderId="4" applyBorder="1" xfId="6681" applyProtection="1"/>
    <xf numFmtId="168" applyNumberFormat="1" fontId="23" applyFont="1" fillId="10" applyFill="1" borderId="4" applyBorder="1" xfId="6681" applyProtection="1"/>
    <xf numFmtId="0" applyNumberFormat="1" fontId="23" applyFont="1" fillId="10" applyFill="1" borderId="4" applyBorder="1" xfId="6681" applyProtection="1" applyAlignment="1">
      <alignment horizontal="center"/>
    </xf>
    <xf numFmtId="0" applyNumberFormat="1" fontId="37" applyFont="1" fillId="0" applyFill="1" borderId="4" applyBorder="1" xfId="6681" applyProtection="1" applyAlignment="1">
      <alignment horizontal="left"/>
    </xf>
    <xf numFmtId="0" applyNumberFormat="1" fontId="23" applyFont="1" fillId="0" applyFill="1" borderId="4" applyBorder="1" xfId="6681" applyProtection="1" applyAlignment="1">
      <alignment horizontal="right"/>
    </xf>
    <xf numFmtId="0" applyNumberFormat="1" fontId="4" applyFont="1" fillId="0" applyFill="1" borderId="4" applyBorder="1" xfId="6681" applyProtection="1"/>
    <xf numFmtId="0" applyNumberFormat="1" fontId="5" applyFont="1" fillId="0" applyFill="1" borderId="4" applyBorder="1" xfId="6681" applyProtection="1" applyAlignment="1">
      <alignment horizontal="center"/>
    </xf>
    <xf numFmtId="0" applyNumberFormat="1" fontId="8" applyFont="1" fillId="0" applyFill="1" borderId="2" applyBorder="1" xfId="6681" applyProtection="1" applyAlignment="1">
      <alignment horizontal="center"/>
    </xf>
    <xf numFmtId="0" applyNumberFormat="1" fontId="3" applyFont="1" fillId="0" applyFill="1" borderId="2" applyBorder="1" xfId="6681" applyProtection="1"/>
    <xf numFmtId="0" applyNumberFormat="1" fontId="1" applyFont="1" fillId="0" applyFill="1" borderId="2" applyBorder="1" xfId="6681" applyProtection="1" applyAlignment="1">
      <alignment horizontal="center"/>
    </xf>
    <xf numFmtId="0" applyNumberFormat="1" fontId="39" applyFont="1" fillId="11" applyFill="1" borderId="4" applyBorder="1" xfId="6681" applyProtection="1" applyAlignment="1">
      <alignment horizontal="center" vertical="center" wrapText="1"/>
    </xf>
    <xf numFmtId="0" applyNumberFormat="1" fontId="44" applyFont="1" fillId="11" applyFill="1" borderId="4" applyBorder="1" xfId="6681" applyProtection="1" applyAlignment="1">
      <alignment horizontal="center" vertical="center" wrapText="1"/>
    </xf>
    <xf numFmtId="0" applyNumberFormat="1" fontId="23" applyFont="1" fillId="11" applyFill="1" borderId="4" applyBorder="1" xfId="6681" applyProtection="1"/>
    <xf numFmtId="0" applyNumberFormat="1" fontId="34" applyFont="1" fillId="11" applyFill="1" borderId="4" applyBorder="1" xfId="6679" applyProtection="1"/>
    <xf numFmtId="168" applyNumberFormat="1" fontId="0" applyFont="1" fillId="11" applyFill="1" borderId="4" applyBorder="1" xfId="1793" applyProtection="1"/>
    <xf numFmtId="0" applyNumberFormat="1" fontId="34" applyFont="1" fillId="12" applyFill="1" borderId="4" applyBorder="1" xfId="6679" applyProtection="1"/>
    <xf numFmtId="0" applyNumberFormat="1" fontId="23" applyFont="1" fillId="9" applyFill="1" borderId="4" applyBorder="1" xfId="6681" applyProtection="1"/>
    <xf numFmtId="0" applyNumberFormat="1" fontId="34" applyFont="1" fillId="9" applyFill="1" borderId="4" applyBorder="1" xfId="6679" applyProtection="1"/>
    <xf numFmtId="168" applyNumberFormat="1" fontId="0" applyFont="1" fillId="11" applyFill="1" borderId="0" applyBorder="1" xfId="1" applyProtection="1"/>
    <xf numFmtId="0" applyNumberFormat="1" fontId="0" applyFont="1" fillId="11" applyFill="1" borderId="0" applyBorder="1" xfId="0" applyProtection="1"/>
    <xf numFmtId="0" applyNumberFormat="1" fontId="47" applyFont="1" fillId="11" applyFill="1" borderId="0" applyBorder="1" xfId="0" applyProtection="1"/>
  </cellXfs>
  <cellStyles count="6897">
    <cellStyle name="Comma" xfId="1" builtinId="3"/>
    <cellStyle name="Comma [0] 10" xfId="2"/>
    <cellStyle name="Comma [0] 10 2" xfId="3"/>
    <cellStyle name="Comma [0] 11" xfId="4"/>
    <cellStyle name="Comma [0] 11 2" xfId="5"/>
    <cellStyle name="Comma [0] 12" xfId="6"/>
    <cellStyle name="Comma [0] 13" xfId="7"/>
    <cellStyle name="Comma [0] 14" xfId="8"/>
    <cellStyle name="Comma [0] 15" xfId="9"/>
    <cellStyle name="Comma [0] 2" xfId="10"/>
    <cellStyle name="Comma [0] 2 10" xfId="11"/>
    <cellStyle name="Comma [0] 2 10 2" xfId="12"/>
    <cellStyle name="Comma [0] 2 10 2 2" xfId="13"/>
    <cellStyle name="Comma [0] 2 10 2 2 2" xfId="14"/>
    <cellStyle name="Comma [0] 2 10 2 2 2 2" xfId="15"/>
    <cellStyle name="Comma [0] 2 10 2 2 3" xfId="16"/>
    <cellStyle name="Comma [0] 2 10 2 2 4" xfId="17"/>
    <cellStyle name="Comma [0] 2 10 2 2 5" xfId="18"/>
    <cellStyle name="Comma [0] 2 10 2 3" xfId="19"/>
    <cellStyle name="Comma [0] 2 10 2 3 2" xfId="20"/>
    <cellStyle name="Comma [0] 2 10 2 4" xfId="21"/>
    <cellStyle name="Comma [0] 2 10 2 5" xfId="22"/>
    <cellStyle name="Comma [0] 2 10 2 6" xfId="23"/>
    <cellStyle name="Comma [0] 2 10 3" xfId="24"/>
    <cellStyle name="Comma [0] 2 10 3 2" xfId="25"/>
    <cellStyle name="Comma [0] 2 10 3 2 2" xfId="26"/>
    <cellStyle name="Comma [0] 2 10 3 3" xfId="27"/>
    <cellStyle name="Comma [0] 2 10 3 4" xfId="28"/>
    <cellStyle name="Comma [0] 2 10 3 5" xfId="29"/>
    <cellStyle name="Comma [0] 2 10 4" xfId="30"/>
    <cellStyle name="Comma [0] 2 10 4 2" xfId="31"/>
    <cellStyle name="Comma [0] 2 10 5" xfId="32"/>
    <cellStyle name="Comma [0] 2 10 6" xfId="33"/>
    <cellStyle name="Comma [0] 2 10 7" xfId="34"/>
    <cellStyle name="Comma [0] 2 11" xfId="35"/>
    <cellStyle name="Comma [0] 2 11 2" xfId="36"/>
    <cellStyle name="Comma [0] 2 11 2 2" xfId="37"/>
    <cellStyle name="Comma [0] 2 11 3" xfId="38"/>
    <cellStyle name="Comma [0] 2 11 4" xfId="39"/>
    <cellStyle name="Comma [0] 2 12" xfId="40"/>
    <cellStyle name="Comma [0] 2 12 2" xfId="41"/>
    <cellStyle name="Comma [0] 2 12 2 2" xfId="42"/>
    <cellStyle name="Comma [0] 2 12 2 2 2" xfId="43"/>
    <cellStyle name="Comma [0] 2 12 2 3" xfId="44"/>
    <cellStyle name="Comma [0] 2 12 2 4" xfId="45"/>
    <cellStyle name="Comma [0] 2 12 2 5" xfId="46"/>
    <cellStyle name="Comma [0] 2 12 3" xfId="47"/>
    <cellStyle name="Comma [0] 2 12 3 2" xfId="48"/>
    <cellStyle name="Comma [0] 2 12 4" xfId="49"/>
    <cellStyle name="Comma [0] 2 12 5" xfId="50"/>
    <cellStyle name="Comma [0] 2 12 6" xfId="51"/>
    <cellStyle name="Comma [0] 2 13" xfId="52"/>
    <cellStyle name="Comma [0] 2 13 2" xfId="53"/>
    <cellStyle name="Comma [0] 2 13 2 2" xfId="54"/>
    <cellStyle name="Comma [0] 2 13 2 2 2" xfId="55"/>
    <cellStyle name="Comma [0] 2 13 2 3" xfId="56"/>
    <cellStyle name="Comma [0] 2 13 2 4" xfId="57"/>
    <cellStyle name="Comma [0] 2 13 2 5" xfId="58"/>
    <cellStyle name="Comma [0] 2 13 3" xfId="59"/>
    <cellStyle name="Comma [0] 2 13 3 2" xfId="60"/>
    <cellStyle name="Comma [0] 2 13 4" xfId="61"/>
    <cellStyle name="Comma [0] 2 13 5" xfId="62"/>
    <cellStyle name="Comma [0] 2 13 6" xfId="63"/>
    <cellStyle name="Comma [0] 2 14" xfId="64"/>
    <cellStyle name="Comma [0] 2 14 2" xfId="65"/>
    <cellStyle name="Comma [0] 2 14 2 2" xfId="66"/>
    <cellStyle name="Comma [0] 2 14 3" xfId="67"/>
    <cellStyle name="Comma [0] 2 14 4" xfId="68"/>
    <cellStyle name="Comma [0] 2 14 5" xfId="69"/>
    <cellStyle name="Comma [0] 2 15" xfId="70"/>
    <cellStyle name="Comma [0] 2 15 2" xfId="71"/>
    <cellStyle name="Comma [0] 2 15 2 2" xfId="72"/>
    <cellStyle name="Comma [0] 2 15 3" xfId="73"/>
    <cellStyle name="Comma [0] 2 15 4" xfId="74"/>
    <cellStyle name="Comma [0] 2 15 5" xfId="75"/>
    <cellStyle name="Comma [0] 2 16" xfId="76"/>
    <cellStyle name="Comma [0] 2 16 2" xfId="77"/>
    <cellStyle name="Comma [0] 2 17" xfId="78"/>
    <cellStyle name="Comma [0] 2 17 2" xfId="79"/>
    <cellStyle name="Comma [0] 2 18" xfId="80"/>
    <cellStyle name="Comma [0] 2 187" xfId="81"/>
    <cellStyle name="Comma [0] 2 19" xfId="82"/>
    <cellStyle name="Comma [0] 2 2" xfId="83"/>
    <cellStyle name="Comma [0] 2 2 10" xfId="84"/>
    <cellStyle name="Comma [0] 2 2 10 2" xfId="85"/>
    <cellStyle name="Comma [0] 2 2 10 2 2" xfId="86"/>
    <cellStyle name="Comma [0] 2 2 10 2 2 2" xfId="87"/>
    <cellStyle name="Comma [0] 2 2 10 2 3" xfId="88"/>
    <cellStyle name="Comma [0] 2 2 10 2 4" xfId="89"/>
    <cellStyle name="Comma [0] 2 2 10 2 5" xfId="90"/>
    <cellStyle name="Comma [0] 2 2 10 3" xfId="91"/>
    <cellStyle name="Comma [0] 2 2 10 3 2" xfId="92"/>
    <cellStyle name="Comma [0] 2 2 10 4" xfId="93"/>
    <cellStyle name="Comma [0] 2 2 10 5" xfId="94"/>
    <cellStyle name="Comma [0] 2 2 10 6" xfId="95"/>
    <cellStyle name="Comma [0] 2 2 11" xfId="96"/>
    <cellStyle name="Comma [0] 2 2 11 2" xfId="97"/>
    <cellStyle name="Comma [0] 2 2 11 2 2" xfId="98"/>
    <cellStyle name="Comma [0] 2 2 11 3" xfId="99"/>
    <cellStyle name="Comma [0] 2 2 11 4" xfId="100"/>
    <cellStyle name="Comma [0] 2 2 11 5" xfId="101"/>
    <cellStyle name="Comma [0] 2 2 12" xfId="102"/>
    <cellStyle name="Comma [0] 2 2 12 2" xfId="103"/>
    <cellStyle name="Comma [0] 2 2 12 2 2" xfId="104"/>
    <cellStyle name="Comma [0] 2 2 12 3" xfId="105"/>
    <cellStyle name="Comma [0] 2 2 12 4" xfId="106"/>
    <cellStyle name="Comma [0] 2 2 12 5" xfId="107"/>
    <cellStyle name="Comma [0] 2 2 13" xfId="108"/>
    <cellStyle name="Comma [0] 2 2 13 2" xfId="109"/>
    <cellStyle name="Comma [0] 2 2 13 2 2" xfId="110"/>
    <cellStyle name="Comma [0] 2 2 13 3" xfId="111"/>
    <cellStyle name="Comma [0] 2 2 13 4" xfId="112"/>
    <cellStyle name="Comma [0] 2 2 13 5" xfId="113"/>
    <cellStyle name="Comma [0] 2 2 14" xfId="114"/>
    <cellStyle name="Comma [0] 2 2 14 2" xfId="115"/>
    <cellStyle name="Comma [0] 2 2 15" xfId="116"/>
    <cellStyle name="Comma [0] 2 2 16" xfId="117"/>
    <cellStyle name="Comma [0] 2 2 17" xfId="118"/>
    <cellStyle name="Comma [0] 2 2 2" xfId="119"/>
    <cellStyle name="Comma [0] 2 2 2 10" xfId="120"/>
    <cellStyle name="Comma [0] 2 2 2 10 2" xfId="121"/>
    <cellStyle name="Comma [0] 2 2 2 11" xfId="122"/>
    <cellStyle name="Comma [0] 2 2 2 12" xfId="123"/>
    <cellStyle name="Comma [0] 2 2 2 13" xfId="124"/>
    <cellStyle name="Comma [0] 2 2 2 2" xfId="125"/>
    <cellStyle name="Comma [0] 2 2 2 2 10" xfId="126"/>
    <cellStyle name="Comma [0] 2 2 2 2 11" xfId="127"/>
    <cellStyle name="Comma [0] 2 2 2 2 2" xfId="128"/>
    <cellStyle name="Comma [0] 2 2 2 2 2 2" xfId="129"/>
    <cellStyle name="Comma [0] 2 2 2 2 2 2 2" xfId="130"/>
    <cellStyle name="Comma [0] 2 2 2 2 2 2 2 2" xfId="131"/>
    <cellStyle name="Comma [0] 2 2 2 2 2 2 2 2 2" xfId="132"/>
    <cellStyle name="Comma [0] 2 2 2 2 2 2 2 3" xfId="133"/>
    <cellStyle name="Comma [0] 2 2 2 2 2 2 2 4" xfId="134"/>
    <cellStyle name="Comma [0] 2 2 2 2 2 2 2 5" xfId="135"/>
    <cellStyle name="Comma [0] 2 2 2 2 2 2 3" xfId="136"/>
    <cellStyle name="Comma [0] 2 2 2 2 2 2 3 2" xfId="137"/>
    <cellStyle name="Comma [0] 2 2 2 2 2 2 4" xfId="138"/>
    <cellStyle name="Comma [0] 2 2 2 2 2 2 5" xfId="139"/>
    <cellStyle name="Comma [0] 2 2 2 2 2 2 6" xfId="140"/>
    <cellStyle name="Comma [0] 2 2 2 2 2 3" xfId="141"/>
    <cellStyle name="Comma [0] 2 2 2 2 2 3 2" xfId="142"/>
    <cellStyle name="Comma [0] 2 2 2 2 2 3 2 2" xfId="143"/>
    <cellStyle name="Comma [0] 2 2 2 2 2 3 3" xfId="144"/>
    <cellStyle name="Comma [0] 2 2 2 2 2 3 4" xfId="145"/>
    <cellStyle name="Comma [0] 2 2 2 2 2 3 5" xfId="146"/>
    <cellStyle name="Comma [0] 2 2 2 2 2 4" xfId="147"/>
    <cellStyle name="Comma [0] 2 2 2 2 2 4 2" xfId="148"/>
    <cellStyle name="Comma [0] 2 2 2 2 2 5" xfId="149"/>
    <cellStyle name="Comma [0] 2 2 2 2 2 6" xfId="150"/>
    <cellStyle name="Comma [0] 2 2 2 2 2 7" xfId="151"/>
    <cellStyle name="Comma [0] 2 2 2 2 3" xfId="152"/>
    <cellStyle name="Comma [0] 2 2 2 2 3 2" xfId="153"/>
    <cellStyle name="Comma [0] 2 2 2 2 3 2 2" xfId="154"/>
    <cellStyle name="Comma [0] 2 2 2 2 3 2 2 2" xfId="155"/>
    <cellStyle name="Comma [0] 2 2 2 2 3 2 2 2 2" xfId="156"/>
    <cellStyle name="Comma [0] 2 2 2 2 3 2 2 3" xfId="157"/>
    <cellStyle name="Comma [0] 2 2 2 2 3 2 2 4" xfId="158"/>
    <cellStyle name="Comma [0] 2 2 2 2 3 2 2 5" xfId="159"/>
    <cellStyle name="Comma [0] 2 2 2 2 3 2 3" xfId="160"/>
    <cellStyle name="Comma [0] 2 2 2 2 3 2 3 2" xfId="161"/>
    <cellStyle name="Comma [0] 2 2 2 2 3 2 4" xfId="162"/>
    <cellStyle name="Comma [0] 2 2 2 2 3 2 5" xfId="163"/>
    <cellStyle name="Comma [0] 2 2 2 2 3 2 6" xfId="164"/>
    <cellStyle name="Comma [0] 2 2 2 2 3 3" xfId="165"/>
    <cellStyle name="Comma [0] 2 2 2 2 3 3 2" xfId="166"/>
    <cellStyle name="Comma [0] 2 2 2 2 3 3 2 2" xfId="167"/>
    <cellStyle name="Comma [0] 2 2 2 2 3 3 3" xfId="168"/>
    <cellStyle name="Comma [0] 2 2 2 2 3 3 4" xfId="169"/>
    <cellStyle name="Comma [0] 2 2 2 2 3 3 5" xfId="170"/>
    <cellStyle name="Comma [0] 2 2 2 2 3 4" xfId="171"/>
    <cellStyle name="Comma [0] 2 2 2 2 3 4 2" xfId="172"/>
    <cellStyle name="Comma [0] 2 2 2 2 3 5" xfId="173"/>
    <cellStyle name="Comma [0] 2 2 2 2 3 6" xfId="174"/>
    <cellStyle name="Comma [0] 2 2 2 2 3 7" xfId="175"/>
    <cellStyle name="Comma [0] 2 2 2 2 4" xfId="176"/>
    <cellStyle name="Comma [0] 2 2 2 2 4 2" xfId="177"/>
    <cellStyle name="Comma [0] 2 2 2 2 4 2 2" xfId="178"/>
    <cellStyle name="Comma [0] 2 2 2 2 4 2 2 2" xfId="179"/>
    <cellStyle name="Comma [0] 2 2 2 2 4 2 3" xfId="180"/>
    <cellStyle name="Comma [0] 2 2 2 2 4 2 4" xfId="181"/>
    <cellStyle name="Comma [0] 2 2 2 2 4 2 5" xfId="182"/>
    <cellStyle name="Comma [0] 2 2 2 2 4 3" xfId="183"/>
    <cellStyle name="Comma [0] 2 2 2 2 4 3 2" xfId="184"/>
    <cellStyle name="Comma [0] 2 2 2 2 4 4" xfId="185"/>
    <cellStyle name="Comma [0] 2 2 2 2 4 5" xfId="186"/>
    <cellStyle name="Comma [0] 2 2 2 2 4 6" xfId="187"/>
    <cellStyle name="Comma [0] 2 2 2 2 5" xfId="188"/>
    <cellStyle name="Comma [0] 2 2 2 2 5 2" xfId="189"/>
    <cellStyle name="Comma [0] 2 2 2 2 5 2 2" xfId="190"/>
    <cellStyle name="Comma [0] 2 2 2 2 5 2 2 2" xfId="191"/>
    <cellStyle name="Comma [0] 2 2 2 2 5 2 3" xfId="192"/>
    <cellStyle name="Comma [0] 2 2 2 2 5 2 4" xfId="193"/>
    <cellStyle name="Comma [0] 2 2 2 2 5 2 5" xfId="194"/>
    <cellStyle name="Comma [0] 2 2 2 2 5 3" xfId="195"/>
    <cellStyle name="Comma [0] 2 2 2 2 5 3 2" xfId="196"/>
    <cellStyle name="Comma [0] 2 2 2 2 5 4" xfId="197"/>
    <cellStyle name="Comma [0] 2 2 2 2 5 5" xfId="198"/>
    <cellStyle name="Comma [0] 2 2 2 2 5 6" xfId="199"/>
    <cellStyle name="Comma [0] 2 2 2 2 6" xfId="200"/>
    <cellStyle name="Comma [0] 2 2 2 2 6 2" xfId="201"/>
    <cellStyle name="Comma [0] 2 2 2 2 6 2 2" xfId="202"/>
    <cellStyle name="Comma [0] 2 2 2 2 6 3" xfId="203"/>
    <cellStyle name="Comma [0] 2 2 2 2 6 4" xfId="204"/>
    <cellStyle name="Comma [0] 2 2 2 2 6 5" xfId="205"/>
    <cellStyle name="Comma [0] 2 2 2 2 7" xfId="206"/>
    <cellStyle name="Comma [0] 2 2 2 2 7 2" xfId="207"/>
    <cellStyle name="Comma [0] 2 2 2 2 7 2 2" xfId="208"/>
    <cellStyle name="Comma [0] 2 2 2 2 7 3" xfId="209"/>
    <cellStyle name="Comma [0] 2 2 2 2 7 4" xfId="210"/>
    <cellStyle name="Comma [0] 2 2 2 2 7 5" xfId="211"/>
    <cellStyle name="Comma [0] 2 2 2 2 8" xfId="212"/>
    <cellStyle name="Comma [0] 2 2 2 2 8 2" xfId="213"/>
    <cellStyle name="Comma [0] 2 2 2 2 9" xfId="214"/>
    <cellStyle name="Comma [0] 2 2 2 3" xfId="215"/>
    <cellStyle name="Comma [0] 2 2 2 3 2" xfId="216"/>
    <cellStyle name="Comma [0] 2 2 2 4" xfId="217"/>
    <cellStyle name="Comma [0] 2 2 2 4 2" xfId="218"/>
    <cellStyle name="Comma [0] 2 2 2 4 2 2" xfId="219"/>
    <cellStyle name="Comma [0] 2 2 2 4 2 2 2" xfId="220"/>
    <cellStyle name="Comma [0] 2 2 2 4 2 2 2 2" xfId="221"/>
    <cellStyle name="Comma [0] 2 2 2 4 2 2 3" xfId="222"/>
    <cellStyle name="Comma [0] 2 2 2 4 2 2 4" xfId="223"/>
    <cellStyle name="Comma [0] 2 2 2 4 2 2 5" xfId="224"/>
    <cellStyle name="Comma [0] 2 2 2 4 2 3" xfId="225"/>
    <cellStyle name="Comma [0] 2 2 2 4 2 3 2" xfId="226"/>
    <cellStyle name="Comma [0] 2 2 2 4 2 4" xfId="227"/>
    <cellStyle name="Comma [0] 2 2 2 4 2 5" xfId="228"/>
    <cellStyle name="Comma [0] 2 2 2 4 2 6" xfId="229"/>
    <cellStyle name="Comma [0] 2 2 2 4 3" xfId="230"/>
    <cellStyle name="Comma [0] 2 2 2 4 3 2" xfId="231"/>
    <cellStyle name="Comma [0] 2 2 2 4 3 2 2" xfId="232"/>
    <cellStyle name="Comma [0] 2 2 2 4 3 3" xfId="233"/>
    <cellStyle name="Comma [0] 2 2 2 4 3 4" xfId="234"/>
    <cellStyle name="Comma [0] 2 2 2 4 3 5" xfId="235"/>
    <cellStyle name="Comma [0] 2 2 2 4 4" xfId="236"/>
    <cellStyle name="Comma [0] 2 2 2 4 4 2" xfId="237"/>
    <cellStyle name="Comma [0] 2 2 2 4 5" xfId="238"/>
    <cellStyle name="Comma [0] 2 2 2 4 6" xfId="239"/>
    <cellStyle name="Comma [0] 2 2 2 4 7" xfId="240"/>
    <cellStyle name="Comma [0] 2 2 2 5" xfId="241"/>
    <cellStyle name="Comma [0] 2 2 2 5 2" xfId="242"/>
    <cellStyle name="Comma [0] 2 2 2 5 2 2" xfId="243"/>
    <cellStyle name="Comma [0] 2 2 2 5 2 2 2" xfId="244"/>
    <cellStyle name="Comma [0] 2 2 2 5 2 2 2 2" xfId="245"/>
    <cellStyle name="Comma [0] 2 2 2 5 2 2 3" xfId="246"/>
    <cellStyle name="Comma [0] 2 2 2 5 2 2 4" xfId="247"/>
    <cellStyle name="Comma [0] 2 2 2 5 2 2 5" xfId="248"/>
    <cellStyle name="Comma [0] 2 2 2 5 2 3" xfId="249"/>
    <cellStyle name="Comma [0] 2 2 2 5 2 3 2" xfId="250"/>
    <cellStyle name="Comma [0] 2 2 2 5 2 4" xfId="251"/>
    <cellStyle name="Comma [0] 2 2 2 5 2 5" xfId="252"/>
    <cellStyle name="Comma [0] 2 2 2 5 2 6" xfId="253"/>
    <cellStyle name="Comma [0] 2 2 2 5 3" xfId="254"/>
    <cellStyle name="Comma [0] 2 2 2 5 3 2" xfId="255"/>
    <cellStyle name="Comma [0] 2 2 2 5 3 2 2" xfId="256"/>
    <cellStyle name="Comma [0] 2 2 2 5 3 3" xfId="257"/>
    <cellStyle name="Comma [0] 2 2 2 5 3 4" xfId="258"/>
    <cellStyle name="Comma [0] 2 2 2 5 3 5" xfId="259"/>
    <cellStyle name="Comma [0] 2 2 2 5 4" xfId="260"/>
    <cellStyle name="Comma [0] 2 2 2 5 4 2" xfId="261"/>
    <cellStyle name="Comma [0] 2 2 2 5 5" xfId="262"/>
    <cellStyle name="Comma [0] 2 2 2 5 6" xfId="263"/>
    <cellStyle name="Comma [0] 2 2 2 5 7" xfId="264"/>
    <cellStyle name="Comma [0] 2 2 2 6" xfId="265"/>
    <cellStyle name="Comma [0] 2 2 2 6 2" xfId="266"/>
    <cellStyle name="Comma [0] 2 2 2 6 2 2" xfId="267"/>
    <cellStyle name="Comma [0] 2 2 2 6 2 2 2" xfId="268"/>
    <cellStyle name="Comma [0] 2 2 2 6 2 3" xfId="269"/>
    <cellStyle name="Comma [0] 2 2 2 6 2 4" xfId="270"/>
    <cellStyle name="Comma [0] 2 2 2 6 2 5" xfId="271"/>
    <cellStyle name="Comma [0] 2 2 2 6 3" xfId="272"/>
    <cellStyle name="Comma [0] 2 2 2 6 3 2" xfId="273"/>
    <cellStyle name="Comma [0] 2 2 2 6 4" xfId="274"/>
    <cellStyle name="Comma [0] 2 2 2 6 5" xfId="275"/>
    <cellStyle name="Comma [0] 2 2 2 6 6" xfId="276"/>
    <cellStyle name="Comma [0] 2 2 2 7" xfId="277"/>
    <cellStyle name="Comma [0] 2 2 2 7 2" xfId="278"/>
    <cellStyle name="Comma [0] 2 2 2 7 2 2" xfId="279"/>
    <cellStyle name="Comma [0] 2 2 2 7 2 2 2" xfId="280"/>
    <cellStyle name="Comma [0] 2 2 2 7 2 3" xfId="281"/>
    <cellStyle name="Comma [0] 2 2 2 7 2 4" xfId="282"/>
    <cellStyle name="Comma [0] 2 2 2 7 2 5" xfId="283"/>
    <cellStyle name="Comma [0] 2 2 2 7 3" xfId="284"/>
    <cellStyle name="Comma [0] 2 2 2 7 3 2" xfId="285"/>
    <cellStyle name="Comma [0] 2 2 2 7 4" xfId="286"/>
    <cellStyle name="Comma [0] 2 2 2 7 5" xfId="287"/>
    <cellStyle name="Comma [0] 2 2 2 7 6" xfId="288"/>
    <cellStyle name="Comma [0] 2 2 2 8" xfId="289"/>
    <cellStyle name="Comma [0] 2 2 2 8 2" xfId="290"/>
    <cellStyle name="Comma [0] 2 2 2 8 2 2" xfId="291"/>
    <cellStyle name="Comma [0] 2 2 2 8 3" xfId="292"/>
    <cellStyle name="Comma [0] 2 2 2 8 4" xfId="293"/>
    <cellStyle name="Comma [0] 2 2 2 8 5" xfId="294"/>
    <cellStyle name="Comma [0] 2 2 2 9" xfId="295"/>
    <cellStyle name="Comma [0] 2 2 2 9 2" xfId="296"/>
    <cellStyle name="Comma [0] 2 2 2 9 2 2" xfId="297"/>
    <cellStyle name="Comma [0] 2 2 2 9 3" xfId="298"/>
    <cellStyle name="Comma [0] 2 2 2 9 4" xfId="299"/>
    <cellStyle name="Comma [0] 2 2 2 9 5" xfId="300"/>
    <cellStyle name="Comma [0] 2 2 3" xfId="301"/>
    <cellStyle name="Comma [0] 2 2 3 10" xfId="302"/>
    <cellStyle name="Comma [0] 2 2 3 11" xfId="303"/>
    <cellStyle name="Comma [0] 2 2 3 12" xfId="304"/>
    <cellStyle name="Comma [0] 2 2 3 2" xfId="305"/>
    <cellStyle name="Comma [0] 2 2 3 2 2" xfId="306"/>
    <cellStyle name="Comma [0] 2 2 3 3" xfId="307"/>
    <cellStyle name="Comma [0] 2 2 3 3 2" xfId="308"/>
    <cellStyle name="Comma [0] 2 2 3 3 2 2" xfId="309"/>
    <cellStyle name="Comma [0] 2 2 3 3 2 2 2" xfId="310"/>
    <cellStyle name="Comma [0] 2 2 3 3 2 2 2 2" xfId="311"/>
    <cellStyle name="Comma [0] 2 2 3 3 2 2 3" xfId="312"/>
    <cellStyle name="Comma [0] 2 2 3 3 2 2 4" xfId="313"/>
    <cellStyle name="Comma [0] 2 2 3 3 2 2 5" xfId="314"/>
    <cellStyle name="Comma [0] 2 2 3 3 2 3" xfId="315"/>
    <cellStyle name="Comma [0] 2 2 3 3 2 3 2" xfId="316"/>
    <cellStyle name="Comma [0] 2 2 3 3 2 4" xfId="317"/>
    <cellStyle name="Comma [0] 2 2 3 3 2 5" xfId="318"/>
    <cellStyle name="Comma [0] 2 2 3 3 2 6" xfId="319"/>
    <cellStyle name="Comma [0] 2 2 3 3 3" xfId="320"/>
    <cellStyle name="Comma [0] 2 2 3 3 3 2" xfId="321"/>
    <cellStyle name="Comma [0] 2 2 3 3 3 2 2" xfId="322"/>
    <cellStyle name="Comma [0] 2 2 3 3 3 3" xfId="323"/>
    <cellStyle name="Comma [0] 2 2 3 3 3 4" xfId="324"/>
    <cellStyle name="Comma [0] 2 2 3 3 3 5" xfId="325"/>
    <cellStyle name="Comma [0] 2 2 3 3 4" xfId="326"/>
    <cellStyle name="Comma [0] 2 2 3 3 4 2" xfId="327"/>
    <cellStyle name="Comma [0] 2 2 3 3 5" xfId="328"/>
    <cellStyle name="Comma [0] 2 2 3 3 6" xfId="329"/>
    <cellStyle name="Comma [0] 2 2 3 3 7" xfId="330"/>
    <cellStyle name="Comma [0] 2 2 3 4" xfId="331"/>
    <cellStyle name="Comma [0] 2 2 3 4 2" xfId="332"/>
    <cellStyle name="Comma [0] 2 2 3 4 2 2" xfId="333"/>
    <cellStyle name="Comma [0] 2 2 3 4 2 2 2" xfId="334"/>
    <cellStyle name="Comma [0] 2 2 3 4 2 2 2 2" xfId="335"/>
    <cellStyle name="Comma [0] 2 2 3 4 2 2 3" xfId="336"/>
    <cellStyle name="Comma [0] 2 2 3 4 2 2 4" xfId="337"/>
    <cellStyle name="Comma [0] 2 2 3 4 2 2 5" xfId="338"/>
    <cellStyle name="Comma [0] 2 2 3 4 2 3" xfId="339"/>
    <cellStyle name="Comma [0] 2 2 3 4 2 3 2" xfId="340"/>
    <cellStyle name="Comma [0] 2 2 3 4 2 4" xfId="341"/>
    <cellStyle name="Comma [0] 2 2 3 4 2 5" xfId="342"/>
    <cellStyle name="Comma [0] 2 2 3 4 2 6" xfId="343"/>
    <cellStyle name="Comma [0] 2 2 3 4 3" xfId="344"/>
    <cellStyle name="Comma [0] 2 2 3 4 3 2" xfId="345"/>
    <cellStyle name="Comma [0] 2 2 3 4 3 2 2" xfId="346"/>
    <cellStyle name="Comma [0] 2 2 3 4 3 3" xfId="347"/>
    <cellStyle name="Comma [0] 2 2 3 4 3 4" xfId="348"/>
    <cellStyle name="Comma [0] 2 2 3 4 3 5" xfId="349"/>
    <cellStyle name="Comma [0] 2 2 3 4 4" xfId="350"/>
    <cellStyle name="Comma [0] 2 2 3 4 4 2" xfId="351"/>
    <cellStyle name="Comma [0] 2 2 3 4 5" xfId="352"/>
    <cellStyle name="Comma [0] 2 2 3 4 6" xfId="353"/>
    <cellStyle name="Comma [0] 2 2 3 4 7" xfId="354"/>
    <cellStyle name="Comma [0] 2 2 3 5" xfId="355"/>
    <cellStyle name="Comma [0] 2 2 3 5 2" xfId="356"/>
    <cellStyle name="Comma [0] 2 2 3 5 2 2" xfId="357"/>
    <cellStyle name="Comma [0] 2 2 3 5 2 2 2" xfId="358"/>
    <cellStyle name="Comma [0] 2 2 3 5 2 3" xfId="359"/>
    <cellStyle name="Comma [0] 2 2 3 5 2 4" xfId="360"/>
    <cellStyle name="Comma [0] 2 2 3 5 2 5" xfId="361"/>
    <cellStyle name="Comma [0] 2 2 3 5 3" xfId="362"/>
    <cellStyle name="Comma [0] 2 2 3 5 3 2" xfId="363"/>
    <cellStyle name="Comma [0] 2 2 3 5 4" xfId="364"/>
    <cellStyle name="Comma [0] 2 2 3 5 5" xfId="365"/>
    <cellStyle name="Comma [0] 2 2 3 5 6" xfId="366"/>
    <cellStyle name="Comma [0] 2 2 3 6" xfId="367"/>
    <cellStyle name="Comma [0] 2 2 3 6 2" xfId="368"/>
    <cellStyle name="Comma [0] 2 2 3 6 2 2" xfId="369"/>
    <cellStyle name="Comma [0] 2 2 3 6 2 2 2" xfId="370"/>
    <cellStyle name="Comma [0] 2 2 3 6 2 3" xfId="371"/>
    <cellStyle name="Comma [0] 2 2 3 6 2 4" xfId="372"/>
    <cellStyle name="Comma [0] 2 2 3 6 2 5" xfId="373"/>
    <cellStyle name="Comma [0] 2 2 3 6 3" xfId="374"/>
    <cellStyle name="Comma [0] 2 2 3 6 3 2" xfId="375"/>
    <cellStyle name="Comma [0] 2 2 3 6 4" xfId="376"/>
    <cellStyle name="Comma [0] 2 2 3 6 5" xfId="377"/>
    <cellStyle name="Comma [0] 2 2 3 6 6" xfId="378"/>
    <cellStyle name="Comma [0] 2 2 3 7" xfId="379"/>
    <cellStyle name="Comma [0] 2 2 3 7 2" xfId="380"/>
    <cellStyle name="Comma [0] 2 2 3 7 2 2" xfId="381"/>
    <cellStyle name="Comma [0] 2 2 3 7 3" xfId="382"/>
    <cellStyle name="Comma [0] 2 2 3 7 4" xfId="383"/>
    <cellStyle name="Comma [0] 2 2 3 7 5" xfId="384"/>
    <cellStyle name="Comma [0] 2 2 3 8" xfId="385"/>
    <cellStyle name="Comma [0] 2 2 3 8 2" xfId="386"/>
    <cellStyle name="Comma [0] 2 2 3 8 2 2" xfId="387"/>
    <cellStyle name="Comma [0] 2 2 3 8 3" xfId="388"/>
    <cellStyle name="Comma [0] 2 2 3 8 4" xfId="389"/>
    <cellStyle name="Comma [0] 2 2 3 8 5" xfId="390"/>
    <cellStyle name="Comma [0] 2 2 3 9" xfId="391"/>
    <cellStyle name="Comma [0] 2 2 3 9 2" xfId="392"/>
    <cellStyle name="Comma [0] 2 2 4" xfId="393"/>
    <cellStyle name="Comma [0] 2 2 4 10" xfId="394"/>
    <cellStyle name="Comma [0] 2 2 4 11" xfId="395"/>
    <cellStyle name="Comma [0] 2 2 4 2" xfId="396"/>
    <cellStyle name="Comma [0] 2 2 4 2 2" xfId="397"/>
    <cellStyle name="Comma [0] 2 2 4 2 2 2" xfId="398"/>
    <cellStyle name="Comma [0] 2 2 4 2 2 2 2" xfId="399"/>
    <cellStyle name="Comma [0] 2 2 4 2 2 2 2 2" xfId="400"/>
    <cellStyle name="Comma [0] 2 2 4 2 2 2 3" xfId="401"/>
    <cellStyle name="Comma [0] 2 2 4 2 2 2 4" xfId="402"/>
    <cellStyle name="Comma [0] 2 2 4 2 2 2 5" xfId="403"/>
    <cellStyle name="Comma [0] 2 2 4 2 2 3" xfId="404"/>
    <cellStyle name="Comma [0] 2 2 4 2 2 3 2" xfId="405"/>
    <cellStyle name="Comma [0] 2 2 4 2 2 4" xfId="406"/>
    <cellStyle name="Comma [0] 2 2 4 2 2 5" xfId="407"/>
    <cellStyle name="Comma [0] 2 2 4 2 2 6" xfId="408"/>
    <cellStyle name="Comma [0] 2 2 4 2 3" xfId="409"/>
    <cellStyle name="Comma [0] 2 2 4 2 3 2" xfId="410"/>
    <cellStyle name="Comma [0] 2 2 4 2 3 2 2" xfId="411"/>
    <cellStyle name="Comma [0] 2 2 4 2 3 3" xfId="412"/>
    <cellStyle name="Comma [0] 2 2 4 2 3 4" xfId="413"/>
    <cellStyle name="Comma [0] 2 2 4 2 3 5" xfId="414"/>
    <cellStyle name="Comma [0] 2 2 4 2 4" xfId="415"/>
    <cellStyle name="Comma [0] 2 2 4 2 4 2" xfId="416"/>
    <cellStyle name="Comma [0] 2 2 4 2 5" xfId="417"/>
    <cellStyle name="Comma [0] 2 2 4 2 6" xfId="418"/>
    <cellStyle name="Comma [0] 2 2 4 2 7" xfId="419"/>
    <cellStyle name="Comma [0] 2 2 4 3" xfId="420"/>
    <cellStyle name="Comma [0] 2 2 4 3 2" xfId="421"/>
    <cellStyle name="Comma [0] 2 2 4 3 2 2" xfId="422"/>
    <cellStyle name="Comma [0] 2 2 4 3 2 2 2" xfId="423"/>
    <cellStyle name="Comma [0] 2 2 4 3 2 2 2 2" xfId="424"/>
    <cellStyle name="Comma [0] 2 2 4 3 2 2 3" xfId="425"/>
    <cellStyle name="Comma [0] 2 2 4 3 2 2 4" xfId="426"/>
    <cellStyle name="Comma [0] 2 2 4 3 2 2 5" xfId="427"/>
    <cellStyle name="Comma [0] 2 2 4 3 2 3" xfId="428"/>
    <cellStyle name="Comma [0] 2 2 4 3 2 3 2" xfId="429"/>
    <cellStyle name="Comma [0] 2 2 4 3 2 4" xfId="430"/>
    <cellStyle name="Comma [0] 2 2 4 3 2 5" xfId="431"/>
    <cellStyle name="Comma [0] 2 2 4 3 2 6" xfId="432"/>
    <cellStyle name="Comma [0] 2 2 4 3 3" xfId="433"/>
    <cellStyle name="Comma [0] 2 2 4 3 3 2" xfId="434"/>
    <cellStyle name="Comma [0] 2 2 4 3 3 2 2" xfId="435"/>
    <cellStyle name="Comma [0] 2 2 4 3 3 3" xfId="436"/>
    <cellStyle name="Comma [0] 2 2 4 3 3 4" xfId="437"/>
    <cellStyle name="Comma [0] 2 2 4 3 3 5" xfId="438"/>
    <cellStyle name="Comma [0] 2 2 4 3 4" xfId="439"/>
    <cellStyle name="Comma [0] 2 2 4 3 4 2" xfId="440"/>
    <cellStyle name="Comma [0] 2 2 4 3 5" xfId="441"/>
    <cellStyle name="Comma [0] 2 2 4 3 6" xfId="442"/>
    <cellStyle name="Comma [0] 2 2 4 3 7" xfId="443"/>
    <cellStyle name="Comma [0] 2 2 4 4" xfId="444"/>
    <cellStyle name="Comma [0] 2 2 4 4 2" xfId="445"/>
    <cellStyle name="Comma [0] 2 2 4 4 2 2" xfId="446"/>
    <cellStyle name="Comma [0] 2 2 4 4 2 2 2" xfId="447"/>
    <cellStyle name="Comma [0] 2 2 4 4 2 3" xfId="448"/>
    <cellStyle name="Comma [0] 2 2 4 4 2 4" xfId="449"/>
    <cellStyle name="Comma [0] 2 2 4 4 2 5" xfId="450"/>
    <cellStyle name="Comma [0] 2 2 4 4 3" xfId="451"/>
    <cellStyle name="Comma [0] 2 2 4 4 3 2" xfId="452"/>
    <cellStyle name="Comma [0] 2 2 4 4 4" xfId="453"/>
    <cellStyle name="Comma [0] 2 2 4 4 5" xfId="454"/>
    <cellStyle name="Comma [0] 2 2 4 4 6" xfId="455"/>
    <cellStyle name="Comma [0] 2 2 4 5" xfId="456"/>
    <cellStyle name="Comma [0] 2 2 4 5 2" xfId="457"/>
    <cellStyle name="Comma [0] 2 2 4 5 2 2" xfId="458"/>
    <cellStyle name="Comma [0] 2 2 4 5 2 2 2" xfId="459"/>
    <cellStyle name="Comma [0] 2 2 4 5 2 3" xfId="460"/>
    <cellStyle name="Comma [0] 2 2 4 5 2 4" xfId="461"/>
    <cellStyle name="Comma [0] 2 2 4 5 2 5" xfId="462"/>
    <cellStyle name="Comma [0] 2 2 4 5 3" xfId="463"/>
    <cellStyle name="Comma [0] 2 2 4 5 3 2" xfId="464"/>
    <cellStyle name="Comma [0] 2 2 4 5 4" xfId="465"/>
    <cellStyle name="Comma [0] 2 2 4 5 5" xfId="466"/>
    <cellStyle name="Comma [0] 2 2 4 5 6" xfId="467"/>
    <cellStyle name="Comma [0] 2 2 4 6" xfId="468"/>
    <cellStyle name="Comma [0] 2 2 4 6 2" xfId="469"/>
    <cellStyle name="Comma [0] 2 2 4 6 2 2" xfId="470"/>
    <cellStyle name="Comma [0] 2 2 4 6 3" xfId="471"/>
    <cellStyle name="Comma [0] 2 2 4 6 4" xfId="472"/>
    <cellStyle name="Comma [0] 2 2 4 6 5" xfId="473"/>
    <cellStyle name="Comma [0] 2 2 4 7" xfId="474"/>
    <cellStyle name="Comma [0] 2 2 4 7 2" xfId="475"/>
    <cellStyle name="Comma [0] 2 2 4 7 2 2" xfId="476"/>
    <cellStyle name="Comma [0] 2 2 4 7 3" xfId="477"/>
    <cellStyle name="Comma [0] 2 2 4 7 4" xfId="478"/>
    <cellStyle name="Comma [0] 2 2 4 7 5" xfId="479"/>
    <cellStyle name="Comma [0] 2 2 4 8" xfId="480"/>
    <cellStyle name="Comma [0] 2 2 4 8 2" xfId="481"/>
    <cellStyle name="Comma [0] 2 2 4 9" xfId="482"/>
    <cellStyle name="Comma [0] 2 2 5" xfId="483"/>
    <cellStyle name="Comma [0] 2 2 5 10" xfId="484"/>
    <cellStyle name="Comma [0] 2 2 5 11" xfId="485"/>
    <cellStyle name="Comma [0] 2 2 5 2" xfId="486"/>
    <cellStyle name="Comma [0] 2 2 5 2 2" xfId="487"/>
    <cellStyle name="Comma [0] 2 2 5 2 2 2" xfId="488"/>
    <cellStyle name="Comma [0] 2 2 5 2 2 2 2" xfId="489"/>
    <cellStyle name="Comma [0] 2 2 5 2 2 2 2 2" xfId="490"/>
    <cellStyle name="Comma [0] 2 2 5 2 2 2 3" xfId="491"/>
    <cellStyle name="Comma [0] 2 2 5 2 2 2 4" xfId="492"/>
    <cellStyle name="Comma [0] 2 2 5 2 2 2 5" xfId="493"/>
    <cellStyle name="Comma [0] 2 2 5 2 2 3" xfId="494"/>
    <cellStyle name="Comma [0] 2 2 5 2 2 3 2" xfId="495"/>
    <cellStyle name="Comma [0] 2 2 5 2 2 4" xfId="496"/>
    <cellStyle name="Comma [0] 2 2 5 2 2 5" xfId="497"/>
    <cellStyle name="Comma [0] 2 2 5 2 2 6" xfId="498"/>
    <cellStyle name="Comma [0] 2 2 5 2 3" xfId="499"/>
    <cellStyle name="Comma [0] 2 2 5 2 3 2" xfId="500"/>
    <cellStyle name="Comma [0] 2 2 5 2 3 2 2" xfId="501"/>
    <cellStyle name="Comma [0] 2 2 5 2 3 3" xfId="502"/>
    <cellStyle name="Comma [0] 2 2 5 2 3 4" xfId="503"/>
    <cellStyle name="Comma [0] 2 2 5 2 3 5" xfId="504"/>
    <cellStyle name="Comma [0] 2 2 5 2 4" xfId="505"/>
    <cellStyle name="Comma [0] 2 2 5 2 4 2" xfId="506"/>
    <cellStyle name="Comma [0] 2 2 5 2 5" xfId="507"/>
    <cellStyle name="Comma [0] 2 2 5 2 6" xfId="508"/>
    <cellStyle name="Comma [0] 2 2 5 2 7" xfId="509"/>
    <cellStyle name="Comma [0] 2 2 5 3" xfId="510"/>
    <cellStyle name="Comma [0] 2 2 5 3 2" xfId="511"/>
    <cellStyle name="Comma [0] 2 2 5 3 2 2" xfId="512"/>
    <cellStyle name="Comma [0] 2 2 5 3 2 2 2" xfId="513"/>
    <cellStyle name="Comma [0] 2 2 5 3 2 2 2 2" xfId="514"/>
    <cellStyle name="Comma [0] 2 2 5 3 2 2 3" xfId="515"/>
    <cellStyle name="Comma [0] 2 2 5 3 2 2 4" xfId="516"/>
    <cellStyle name="Comma [0] 2 2 5 3 2 2 5" xfId="517"/>
    <cellStyle name="Comma [0] 2 2 5 3 2 3" xfId="518"/>
    <cellStyle name="Comma [0] 2 2 5 3 2 3 2" xfId="519"/>
    <cellStyle name="Comma [0] 2 2 5 3 2 4" xfId="520"/>
    <cellStyle name="Comma [0] 2 2 5 3 2 5" xfId="521"/>
    <cellStyle name="Comma [0] 2 2 5 3 2 6" xfId="522"/>
    <cellStyle name="Comma [0] 2 2 5 3 3" xfId="523"/>
    <cellStyle name="Comma [0] 2 2 5 3 3 2" xfId="524"/>
    <cellStyle name="Comma [0] 2 2 5 3 3 2 2" xfId="525"/>
    <cellStyle name="Comma [0] 2 2 5 3 3 3" xfId="526"/>
    <cellStyle name="Comma [0] 2 2 5 3 3 4" xfId="527"/>
    <cellStyle name="Comma [0] 2 2 5 3 3 5" xfId="528"/>
    <cellStyle name="Comma [0] 2 2 5 3 4" xfId="529"/>
    <cellStyle name="Comma [0] 2 2 5 3 4 2" xfId="530"/>
    <cellStyle name="Comma [0] 2 2 5 3 5" xfId="531"/>
    <cellStyle name="Comma [0] 2 2 5 3 6" xfId="532"/>
    <cellStyle name="Comma [0] 2 2 5 3 7" xfId="533"/>
    <cellStyle name="Comma [0] 2 2 5 4" xfId="534"/>
    <cellStyle name="Comma [0] 2 2 5 4 2" xfId="535"/>
    <cellStyle name="Comma [0] 2 2 5 4 2 2" xfId="536"/>
    <cellStyle name="Comma [0] 2 2 5 4 2 2 2" xfId="537"/>
    <cellStyle name="Comma [0] 2 2 5 4 2 3" xfId="538"/>
    <cellStyle name="Comma [0] 2 2 5 4 2 4" xfId="539"/>
    <cellStyle name="Comma [0] 2 2 5 4 2 5" xfId="540"/>
    <cellStyle name="Comma [0] 2 2 5 4 3" xfId="541"/>
    <cellStyle name="Comma [0] 2 2 5 4 3 2" xfId="542"/>
    <cellStyle name="Comma [0] 2 2 5 4 4" xfId="543"/>
    <cellStyle name="Comma [0] 2 2 5 4 5" xfId="544"/>
    <cellStyle name="Comma [0] 2 2 5 4 6" xfId="545"/>
    <cellStyle name="Comma [0] 2 2 5 5" xfId="546"/>
    <cellStyle name="Comma [0] 2 2 5 5 2" xfId="547"/>
    <cellStyle name="Comma [0] 2 2 5 5 2 2" xfId="548"/>
    <cellStyle name="Comma [0] 2 2 5 5 2 2 2" xfId="549"/>
    <cellStyle name="Comma [0] 2 2 5 5 2 3" xfId="550"/>
    <cellStyle name="Comma [0] 2 2 5 5 2 4" xfId="551"/>
    <cellStyle name="Comma [0] 2 2 5 5 2 5" xfId="552"/>
    <cellStyle name="Comma [0] 2 2 5 5 3" xfId="553"/>
    <cellStyle name="Comma [0] 2 2 5 5 3 2" xfId="554"/>
    <cellStyle name="Comma [0] 2 2 5 5 4" xfId="555"/>
    <cellStyle name="Comma [0] 2 2 5 5 5" xfId="556"/>
    <cellStyle name="Comma [0] 2 2 5 5 6" xfId="557"/>
    <cellStyle name="Comma [0] 2 2 5 6" xfId="558"/>
    <cellStyle name="Comma [0] 2 2 5 6 2" xfId="559"/>
    <cellStyle name="Comma [0] 2 2 5 6 2 2" xfId="560"/>
    <cellStyle name="Comma [0] 2 2 5 6 3" xfId="561"/>
    <cellStyle name="Comma [0] 2 2 5 6 4" xfId="562"/>
    <cellStyle name="Comma [0] 2 2 5 6 5" xfId="563"/>
    <cellStyle name="Comma [0] 2 2 5 7" xfId="564"/>
    <cellStyle name="Comma [0] 2 2 5 7 2" xfId="565"/>
    <cellStyle name="Comma [0] 2 2 5 7 2 2" xfId="566"/>
    <cellStyle name="Comma [0] 2 2 5 7 3" xfId="567"/>
    <cellStyle name="Comma [0] 2 2 5 7 4" xfId="568"/>
    <cellStyle name="Comma [0] 2 2 5 7 5" xfId="569"/>
    <cellStyle name="Comma [0] 2 2 5 8" xfId="570"/>
    <cellStyle name="Comma [0] 2 2 5 8 2" xfId="571"/>
    <cellStyle name="Comma [0] 2 2 5 9" xfId="572"/>
    <cellStyle name="Comma [0] 2 2 6" xfId="573"/>
    <cellStyle name="Comma [0] 2 2 6 2" xfId="574"/>
    <cellStyle name="Comma [0] 2 2 7" xfId="575"/>
    <cellStyle name="Comma [0] 2 2 7 2" xfId="576"/>
    <cellStyle name="Comma [0] 2 2 7 2 2" xfId="577"/>
    <cellStyle name="Comma [0] 2 2 7 2 2 2" xfId="578"/>
    <cellStyle name="Comma [0] 2 2 7 2 2 2 2" xfId="579"/>
    <cellStyle name="Comma [0] 2 2 7 2 2 3" xfId="580"/>
    <cellStyle name="Comma [0] 2 2 7 2 2 4" xfId="581"/>
    <cellStyle name="Comma [0] 2 2 7 2 2 5" xfId="582"/>
    <cellStyle name="Comma [0] 2 2 7 2 3" xfId="583"/>
    <cellStyle name="Comma [0] 2 2 7 2 3 2" xfId="584"/>
    <cellStyle name="Comma [0] 2 2 7 2 4" xfId="585"/>
    <cellStyle name="Comma [0] 2 2 7 2 5" xfId="586"/>
    <cellStyle name="Comma [0] 2 2 7 2 6" xfId="587"/>
    <cellStyle name="Comma [0] 2 2 7 3" xfId="588"/>
    <cellStyle name="Comma [0] 2 2 7 3 2" xfId="589"/>
    <cellStyle name="Comma [0] 2 2 7 3 2 2" xfId="590"/>
    <cellStyle name="Comma [0] 2 2 7 3 3" xfId="591"/>
    <cellStyle name="Comma [0] 2 2 7 3 4" xfId="592"/>
    <cellStyle name="Comma [0] 2 2 7 3 5" xfId="593"/>
    <cellStyle name="Comma [0] 2 2 7 4" xfId="594"/>
    <cellStyle name="Comma [0] 2 2 7 4 2" xfId="595"/>
    <cellStyle name="Comma [0] 2 2 7 5" xfId="596"/>
    <cellStyle name="Comma [0] 2 2 7 6" xfId="597"/>
    <cellStyle name="Comma [0] 2 2 7 7" xfId="598"/>
    <cellStyle name="Comma [0] 2 2 8" xfId="599"/>
    <cellStyle name="Comma [0] 2 2 8 2" xfId="600"/>
    <cellStyle name="Comma [0] 2 2 8 2 2" xfId="601"/>
    <cellStyle name="Comma [0] 2 2 8 2 2 2" xfId="602"/>
    <cellStyle name="Comma [0] 2 2 8 2 2 2 2" xfId="603"/>
    <cellStyle name="Comma [0] 2 2 8 2 2 3" xfId="604"/>
    <cellStyle name="Comma [0] 2 2 8 2 2 4" xfId="605"/>
    <cellStyle name="Comma [0] 2 2 8 2 2 5" xfId="606"/>
    <cellStyle name="Comma [0] 2 2 8 2 3" xfId="607"/>
    <cellStyle name="Comma [0] 2 2 8 2 3 2" xfId="608"/>
    <cellStyle name="Comma [0] 2 2 8 2 4" xfId="609"/>
    <cellStyle name="Comma [0] 2 2 8 2 5" xfId="610"/>
    <cellStyle name="Comma [0] 2 2 8 2 6" xfId="611"/>
    <cellStyle name="Comma [0] 2 2 8 3" xfId="612"/>
    <cellStyle name="Comma [0] 2 2 8 3 2" xfId="613"/>
    <cellStyle name="Comma [0] 2 2 8 3 2 2" xfId="614"/>
    <cellStyle name="Comma [0] 2 2 8 3 3" xfId="615"/>
    <cellStyle name="Comma [0] 2 2 8 3 4" xfId="616"/>
    <cellStyle name="Comma [0] 2 2 8 3 5" xfId="617"/>
    <cellStyle name="Comma [0] 2 2 8 4" xfId="618"/>
    <cellStyle name="Comma [0] 2 2 8 4 2" xfId="619"/>
    <cellStyle name="Comma [0] 2 2 8 5" xfId="620"/>
    <cellStyle name="Comma [0] 2 2 8 6" xfId="621"/>
    <cellStyle name="Comma [0] 2 2 8 7" xfId="622"/>
    <cellStyle name="Comma [0] 2 2 9" xfId="623"/>
    <cellStyle name="Comma [0] 2 2 9 2" xfId="624"/>
    <cellStyle name="Comma [0] 2 2 9 2 2" xfId="625"/>
    <cellStyle name="Comma [0] 2 2 9 2 2 2" xfId="626"/>
    <cellStyle name="Comma [0] 2 2 9 2 3" xfId="627"/>
    <cellStyle name="Comma [0] 2 2 9 2 4" xfId="628"/>
    <cellStyle name="Comma [0] 2 2 9 2 5" xfId="629"/>
    <cellStyle name="Comma [0] 2 2 9 3" xfId="630"/>
    <cellStyle name="Comma [0] 2 2 9 3 2" xfId="631"/>
    <cellStyle name="Comma [0] 2 2 9 4" xfId="632"/>
    <cellStyle name="Comma [0] 2 2 9 5" xfId="633"/>
    <cellStyle name="Comma [0] 2 2 9 6" xfId="634"/>
    <cellStyle name="Comma [0] 2 3" xfId="635"/>
    <cellStyle name="Comma [0] 2 3 10" xfId="636"/>
    <cellStyle name="Comma [0] 2 3 10 2" xfId="637"/>
    <cellStyle name="Comma [0] 2 3 10 2 2" xfId="638"/>
    <cellStyle name="Comma [0] 2 3 10 2 2 2" xfId="639"/>
    <cellStyle name="Comma [0] 2 3 10 2 3" xfId="640"/>
    <cellStyle name="Comma [0] 2 3 10 2 4" xfId="641"/>
    <cellStyle name="Comma [0] 2 3 10 2 5" xfId="642"/>
    <cellStyle name="Comma [0] 2 3 10 3" xfId="643"/>
    <cellStyle name="Comma [0] 2 3 10 3 2" xfId="644"/>
    <cellStyle name="Comma [0] 2 3 10 4" xfId="645"/>
    <cellStyle name="Comma [0] 2 3 10 5" xfId="646"/>
    <cellStyle name="Comma [0] 2 3 10 6" xfId="647"/>
    <cellStyle name="Comma [0] 2 3 11" xfId="648"/>
    <cellStyle name="Comma [0] 2 3 11 2" xfId="649"/>
    <cellStyle name="Comma [0] 2 3 11 2 2" xfId="650"/>
    <cellStyle name="Comma [0] 2 3 11 3" xfId="651"/>
    <cellStyle name="Comma [0] 2 3 11 4" xfId="652"/>
    <cellStyle name="Comma [0] 2 3 11 5" xfId="653"/>
    <cellStyle name="Comma [0] 2 3 12" xfId="654"/>
    <cellStyle name="Comma [0] 2 3 12 2" xfId="655"/>
    <cellStyle name="Comma [0] 2 3 12 2 2" xfId="656"/>
    <cellStyle name="Comma [0] 2 3 12 3" xfId="657"/>
    <cellStyle name="Comma [0] 2 3 12 4" xfId="658"/>
    <cellStyle name="Comma [0] 2 3 12 5" xfId="659"/>
    <cellStyle name="Comma [0] 2 3 13" xfId="660"/>
    <cellStyle name="Comma [0] 2 3 13 2" xfId="661"/>
    <cellStyle name="Comma [0] 2 3 14" xfId="662"/>
    <cellStyle name="Comma [0] 2 3 15" xfId="663"/>
    <cellStyle name="Comma [0] 2 3 16" xfId="664"/>
    <cellStyle name="Comma [0] 2 3 2" xfId="665"/>
    <cellStyle name="Comma [0] 2 3 2 10" xfId="666"/>
    <cellStyle name="Comma [0] 2 3 2 11" xfId="667"/>
    <cellStyle name="Comma [0] 2 3 2 12" xfId="668"/>
    <cellStyle name="Comma [0] 2 3 2 2" xfId="669"/>
    <cellStyle name="Comma [0] 2 3 2 2 2" xfId="670"/>
    <cellStyle name="Comma [0] 2 3 2 3" xfId="671"/>
    <cellStyle name="Comma [0] 2 3 2 3 2" xfId="672"/>
    <cellStyle name="Comma [0] 2 3 2 3 2 2" xfId="673"/>
    <cellStyle name="Comma [0] 2 3 2 3 2 2 2" xfId="674"/>
    <cellStyle name="Comma [0] 2 3 2 3 2 2 2 2" xfId="675"/>
    <cellStyle name="Comma [0] 2 3 2 3 2 2 3" xfId="676"/>
    <cellStyle name="Comma [0] 2 3 2 3 2 2 4" xfId="677"/>
    <cellStyle name="Comma [0] 2 3 2 3 2 2 5" xfId="678"/>
    <cellStyle name="Comma [0] 2 3 2 3 2 3" xfId="679"/>
    <cellStyle name="Comma [0] 2 3 2 3 2 3 2" xfId="680"/>
    <cellStyle name="Comma [0] 2 3 2 3 2 4" xfId="681"/>
    <cellStyle name="Comma [0] 2 3 2 3 2 5" xfId="682"/>
    <cellStyle name="Comma [0] 2 3 2 3 2 6" xfId="683"/>
    <cellStyle name="Comma [0] 2 3 2 3 3" xfId="684"/>
    <cellStyle name="Comma [0] 2 3 2 3 3 2" xfId="685"/>
    <cellStyle name="Comma [0] 2 3 2 3 3 2 2" xfId="686"/>
    <cellStyle name="Comma [0] 2 3 2 3 3 3" xfId="687"/>
    <cellStyle name="Comma [0] 2 3 2 3 3 4" xfId="688"/>
    <cellStyle name="Comma [0] 2 3 2 3 3 5" xfId="689"/>
    <cellStyle name="Comma [0] 2 3 2 3 4" xfId="690"/>
    <cellStyle name="Comma [0] 2 3 2 3 4 2" xfId="691"/>
    <cellStyle name="Comma [0] 2 3 2 3 5" xfId="692"/>
    <cellStyle name="Comma [0] 2 3 2 3 6" xfId="693"/>
    <cellStyle name="Comma [0] 2 3 2 3 7" xfId="694"/>
    <cellStyle name="Comma [0] 2 3 2 4" xfId="695"/>
    <cellStyle name="Comma [0] 2 3 2 4 2" xfId="696"/>
    <cellStyle name="Comma [0] 2 3 2 4 2 2" xfId="697"/>
    <cellStyle name="Comma [0] 2 3 2 4 2 2 2" xfId="698"/>
    <cellStyle name="Comma [0] 2 3 2 4 2 2 2 2" xfId="699"/>
    <cellStyle name="Comma [0] 2 3 2 4 2 2 3" xfId="700"/>
    <cellStyle name="Comma [0] 2 3 2 4 2 2 4" xfId="701"/>
    <cellStyle name="Comma [0] 2 3 2 4 2 2 5" xfId="702"/>
    <cellStyle name="Comma [0] 2 3 2 4 2 3" xfId="703"/>
    <cellStyle name="Comma [0] 2 3 2 4 2 3 2" xfId="704"/>
    <cellStyle name="Comma [0] 2 3 2 4 2 4" xfId="705"/>
    <cellStyle name="Comma [0] 2 3 2 4 2 5" xfId="706"/>
    <cellStyle name="Comma [0] 2 3 2 4 2 6" xfId="707"/>
    <cellStyle name="Comma [0] 2 3 2 4 3" xfId="708"/>
    <cellStyle name="Comma [0] 2 3 2 4 3 2" xfId="709"/>
    <cellStyle name="Comma [0] 2 3 2 4 3 2 2" xfId="710"/>
    <cellStyle name="Comma [0] 2 3 2 4 3 3" xfId="711"/>
    <cellStyle name="Comma [0] 2 3 2 4 3 4" xfId="712"/>
    <cellStyle name="Comma [0] 2 3 2 4 3 5" xfId="713"/>
    <cellStyle name="Comma [0] 2 3 2 4 4" xfId="714"/>
    <cellStyle name="Comma [0] 2 3 2 4 4 2" xfId="715"/>
    <cellStyle name="Comma [0] 2 3 2 4 5" xfId="716"/>
    <cellStyle name="Comma [0] 2 3 2 4 6" xfId="717"/>
    <cellStyle name="Comma [0] 2 3 2 4 7" xfId="718"/>
    <cellStyle name="Comma [0] 2 3 2 5" xfId="719"/>
    <cellStyle name="Comma [0] 2 3 2 5 2" xfId="720"/>
    <cellStyle name="Comma [0] 2 3 2 5 2 2" xfId="721"/>
    <cellStyle name="Comma [0] 2 3 2 5 2 2 2" xfId="722"/>
    <cellStyle name="Comma [0] 2 3 2 5 2 3" xfId="723"/>
    <cellStyle name="Comma [0] 2 3 2 5 2 4" xfId="724"/>
    <cellStyle name="Comma [0] 2 3 2 5 2 5" xfId="725"/>
    <cellStyle name="Comma [0] 2 3 2 5 3" xfId="726"/>
    <cellStyle name="Comma [0] 2 3 2 5 3 2" xfId="727"/>
    <cellStyle name="Comma [0] 2 3 2 5 4" xfId="728"/>
    <cellStyle name="Comma [0] 2 3 2 5 5" xfId="729"/>
    <cellStyle name="Comma [0] 2 3 2 5 6" xfId="730"/>
    <cellStyle name="Comma [0] 2 3 2 6" xfId="731"/>
    <cellStyle name="Comma [0] 2 3 2 6 2" xfId="732"/>
    <cellStyle name="Comma [0] 2 3 2 6 2 2" xfId="733"/>
    <cellStyle name="Comma [0] 2 3 2 6 2 2 2" xfId="734"/>
    <cellStyle name="Comma [0] 2 3 2 6 2 3" xfId="735"/>
    <cellStyle name="Comma [0] 2 3 2 6 2 4" xfId="736"/>
    <cellStyle name="Comma [0] 2 3 2 6 2 5" xfId="737"/>
    <cellStyle name="Comma [0] 2 3 2 6 3" xfId="738"/>
    <cellStyle name="Comma [0] 2 3 2 6 3 2" xfId="739"/>
    <cellStyle name="Comma [0] 2 3 2 6 4" xfId="740"/>
    <cellStyle name="Comma [0] 2 3 2 6 5" xfId="741"/>
    <cellStyle name="Comma [0] 2 3 2 6 6" xfId="742"/>
    <cellStyle name="Comma [0] 2 3 2 7" xfId="743"/>
    <cellStyle name="Comma [0] 2 3 2 7 2" xfId="744"/>
    <cellStyle name="Comma [0] 2 3 2 7 2 2" xfId="745"/>
    <cellStyle name="Comma [0] 2 3 2 7 3" xfId="746"/>
    <cellStyle name="Comma [0] 2 3 2 7 4" xfId="747"/>
    <cellStyle name="Comma [0] 2 3 2 7 5" xfId="748"/>
    <cellStyle name="Comma [0] 2 3 2 8" xfId="749"/>
    <cellStyle name="Comma [0] 2 3 2 8 2" xfId="750"/>
    <cellStyle name="Comma [0] 2 3 2 8 2 2" xfId="751"/>
    <cellStyle name="Comma [0] 2 3 2 8 3" xfId="752"/>
    <cellStyle name="Comma [0] 2 3 2 8 4" xfId="753"/>
    <cellStyle name="Comma [0] 2 3 2 8 5" xfId="754"/>
    <cellStyle name="Comma [0] 2 3 2 9" xfId="755"/>
    <cellStyle name="Comma [0] 2 3 2 9 2" xfId="756"/>
    <cellStyle name="Comma [0] 2 3 3" xfId="757"/>
    <cellStyle name="Comma [0] 2 3 3 10" xfId="758"/>
    <cellStyle name="Comma [0] 2 3 3 11" xfId="759"/>
    <cellStyle name="Comma [0] 2 3 3 12" xfId="760"/>
    <cellStyle name="Comma [0] 2 3 3 2" xfId="761"/>
    <cellStyle name="Comma [0] 2 3 3 2 2" xfId="762"/>
    <cellStyle name="Comma [0] 2 3 3 3" xfId="763"/>
    <cellStyle name="Comma [0] 2 3 3 3 2" xfId="764"/>
    <cellStyle name="Comma [0] 2 3 3 3 2 2" xfId="765"/>
    <cellStyle name="Comma [0] 2 3 3 3 2 2 2" xfId="766"/>
    <cellStyle name="Comma [0] 2 3 3 3 2 2 2 2" xfId="767"/>
    <cellStyle name="Comma [0] 2 3 3 3 2 2 3" xfId="768"/>
    <cellStyle name="Comma [0] 2 3 3 3 2 2 4" xfId="769"/>
    <cellStyle name="Comma [0] 2 3 3 3 2 2 5" xfId="770"/>
    <cellStyle name="Comma [0] 2 3 3 3 2 3" xfId="771"/>
    <cellStyle name="Comma [0] 2 3 3 3 2 3 2" xfId="772"/>
    <cellStyle name="Comma [0] 2 3 3 3 2 4" xfId="773"/>
    <cellStyle name="Comma [0] 2 3 3 3 2 5" xfId="774"/>
    <cellStyle name="Comma [0] 2 3 3 3 2 6" xfId="775"/>
    <cellStyle name="Comma [0] 2 3 3 3 3" xfId="776"/>
    <cellStyle name="Comma [0] 2 3 3 3 3 2" xfId="777"/>
    <cellStyle name="Comma [0] 2 3 3 3 3 2 2" xfId="778"/>
    <cellStyle name="Comma [0] 2 3 3 3 3 3" xfId="779"/>
    <cellStyle name="Comma [0] 2 3 3 3 3 4" xfId="780"/>
    <cellStyle name="Comma [0] 2 3 3 3 3 5" xfId="781"/>
    <cellStyle name="Comma [0] 2 3 3 3 4" xfId="782"/>
    <cellStyle name="Comma [0] 2 3 3 3 4 2" xfId="783"/>
    <cellStyle name="Comma [0] 2 3 3 3 5" xfId="784"/>
    <cellStyle name="Comma [0] 2 3 3 3 6" xfId="785"/>
    <cellStyle name="Comma [0] 2 3 3 3 7" xfId="786"/>
    <cellStyle name="Comma [0] 2 3 3 4" xfId="787"/>
    <cellStyle name="Comma [0] 2 3 3 4 2" xfId="788"/>
    <cellStyle name="Comma [0] 2 3 3 4 2 2" xfId="789"/>
    <cellStyle name="Comma [0] 2 3 3 4 2 2 2" xfId="790"/>
    <cellStyle name="Comma [0] 2 3 3 4 2 2 2 2" xfId="791"/>
    <cellStyle name="Comma [0] 2 3 3 4 2 2 3" xfId="792"/>
    <cellStyle name="Comma [0] 2 3 3 4 2 2 4" xfId="793"/>
    <cellStyle name="Comma [0] 2 3 3 4 2 2 5" xfId="794"/>
    <cellStyle name="Comma [0] 2 3 3 4 2 3" xfId="795"/>
    <cellStyle name="Comma [0] 2 3 3 4 2 3 2" xfId="796"/>
    <cellStyle name="Comma [0] 2 3 3 4 2 4" xfId="797"/>
    <cellStyle name="Comma [0] 2 3 3 4 2 5" xfId="798"/>
    <cellStyle name="Comma [0] 2 3 3 4 2 6" xfId="799"/>
    <cellStyle name="Comma [0] 2 3 3 4 3" xfId="800"/>
    <cellStyle name="Comma [0] 2 3 3 4 3 2" xfId="801"/>
    <cellStyle name="Comma [0] 2 3 3 4 3 2 2" xfId="802"/>
    <cellStyle name="Comma [0] 2 3 3 4 3 3" xfId="803"/>
    <cellStyle name="Comma [0] 2 3 3 4 3 4" xfId="804"/>
    <cellStyle name="Comma [0] 2 3 3 4 3 5" xfId="805"/>
    <cellStyle name="Comma [0] 2 3 3 4 4" xfId="806"/>
    <cellStyle name="Comma [0] 2 3 3 4 4 2" xfId="807"/>
    <cellStyle name="Comma [0] 2 3 3 4 5" xfId="808"/>
    <cellStyle name="Comma [0] 2 3 3 4 6" xfId="809"/>
    <cellStyle name="Comma [0] 2 3 3 4 7" xfId="810"/>
    <cellStyle name="Comma [0] 2 3 3 5" xfId="811"/>
    <cellStyle name="Comma [0] 2 3 3 5 2" xfId="812"/>
    <cellStyle name="Comma [0] 2 3 3 5 2 2" xfId="813"/>
    <cellStyle name="Comma [0] 2 3 3 5 2 2 2" xfId="814"/>
    <cellStyle name="Comma [0] 2 3 3 5 2 3" xfId="815"/>
    <cellStyle name="Comma [0] 2 3 3 5 2 4" xfId="816"/>
    <cellStyle name="Comma [0] 2 3 3 5 2 5" xfId="817"/>
    <cellStyle name="Comma [0] 2 3 3 5 3" xfId="818"/>
    <cellStyle name="Comma [0] 2 3 3 5 3 2" xfId="819"/>
    <cellStyle name="Comma [0] 2 3 3 5 4" xfId="820"/>
    <cellStyle name="Comma [0] 2 3 3 5 5" xfId="821"/>
    <cellStyle name="Comma [0] 2 3 3 5 6" xfId="822"/>
    <cellStyle name="Comma [0] 2 3 3 6" xfId="823"/>
    <cellStyle name="Comma [0] 2 3 3 6 2" xfId="824"/>
    <cellStyle name="Comma [0] 2 3 3 6 2 2" xfId="825"/>
    <cellStyle name="Comma [0] 2 3 3 6 2 2 2" xfId="826"/>
    <cellStyle name="Comma [0] 2 3 3 6 2 3" xfId="827"/>
    <cellStyle name="Comma [0] 2 3 3 6 2 4" xfId="828"/>
    <cellStyle name="Comma [0] 2 3 3 6 2 5" xfId="829"/>
    <cellStyle name="Comma [0] 2 3 3 6 3" xfId="830"/>
    <cellStyle name="Comma [0] 2 3 3 6 3 2" xfId="831"/>
    <cellStyle name="Comma [0] 2 3 3 6 4" xfId="832"/>
    <cellStyle name="Comma [0] 2 3 3 6 5" xfId="833"/>
    <cellStyle name="Comma [0] 2 3 3 6 6" xfId="834"/>
    <cellStyle name="Comma [0] 2 3 3 7" xfId="835"/>
    <cellStyle name="Comma [0] 2 3 3 7 2" xfId="836"/>
    <cellStyle name="Comma [0] 2 3 3 7 2 2" xfId="837"/>
    <cellStyle name="Comma [0] 2 3 3 7 3" xfId="838"/>
    <cellStyle name="Comma [0] 2 3 3 7 4" xfId="839"/>
    <cellStyle name="Comma [0] 2 3 3 7 5" xfId="840"/>
    <cellStyle name="Comma [0] 2 3 3 8" xfId="841"/>
    <cellStyle name="Comma [0] 2 3 3 8 2" xfId="842"/>
    <cellStyle name="Comma [0] 2 3 3 8 2 2" xfId="843"/>
    <cellStyle name="Comma [0] 2 3 3 8 3" xfId="844"/>
    <cellStyle name="Comma [0] 2 3 3 8 4" xfId="845"/>
    <cellStyle name="Comma [0] 2 3 3 8 5" xfId="846"/>
    <cellStyle name="Comma [0] 2 3 3 9" xfId="847"/>
    <cellStyle name="Comma [0] 2 3 3 9 2" xfId="848"/>
    <cellStyle name="Comma [0] 2 3 4" xfId="849"/>
    <cellStyle name="Comma [0] 2 3 4 10" xfId="850"/>
    <cellStyle name="Comma [0] 2 3 4 11" xfId="851"/>
    <cellStyle name="Comma [0] 2 3 4 2" xfId="852"/>
    <cellStyle name="Comma [0] 2 3 4 2 2" xfId="853"/>
    <cellStyle name="Comma [0] 2 3 4 2 2 2" xfId="854"/>
    <cellStyle name="Comma [0] 2 3 4 2 2 2 2" xfId="855"/>
    <cellStyle name="Comma [0] 2 3 4 2 2 2 2 2" xfId="856"/>
    <cellStyle name="Comma [0] 2 3 4 2 2 2 3" xfId="857"/>
    <cellStyle name="Comma [0] 2 3 4 2 2 2 4" xfId="858"/>
    <cellStyle name="Comma [0] 2 3 4 2 2 2 5" xfId="859"/>
    <cellStyle name="Comma [0] 2 3 4 2 2 3" xfId="860"/>
    <cellStyle name="Comma [0] 2 3 4 2 2 3 2" xfId="861"/>
    <cellStyle name="Comma [0] 2 3 4 2 2 4" xfId="862"/>
    <cellStyle name="Comma [0] 2 3 4 2 2 5" xfId="863"/>
    <cellStyle name="Comma [0] 2 3 4 2 2 6" xfId="864"/>
    <cellStyle name="Comma [0] 2 3 4 2 3" xfId="865"/>
    <cellStyle name="Comma [0] 2 3 4 2 3 2" xfId="866"/>
    <cellStyle name="Comma [0] 2 3 4 2 3 2 2" xfId="867"/>
    <cellStyle name="Comma [0] 2 3 4 2 3 3" xfId="868"/>
    <cellStyle name="Comma [0] 2 3 4 2 3 4" xfId="869"/>
    <cellStyle name="Comma [0] 2 3 4 2 3 5" xfId="870"/>
    <cellStyle name="Comma [0] 2 3 4 2 4" xfId="871"/>
    <cellStyle name="Comma [0] 2 3 4 2 4 2" xfId="872"/>
    <cellStyle name="Comma [0] 2 3 4 2 5" xfId="873"/>
    <cellStyle name="Comma [0] 2 3 4 2 6" xfId="874"/>
    <cellStyle name="Comma [0] 2 3 4 2 7" xfId="875"/>
    <cellStyle name="Comma [0] 2 3 4 3" xfId="876"/>
    <cellStyle name="Comma [0] 2 3 4 3 2" xfId="877"/>
    <cellStyle name="Comma [0] 2 3 4 3 2 2" xfId="878"/>
    <cellStyle name="Comma [0] 2 3 4 3 2 2 2" xfId="879"/>
    <cellStyle name="Comma [0] 2 3 4 3 2 2 2 2" xfId="880"/>
    <cellStyle name="Comma [0] 2 3 4 3 2 2 3" xfId="881"/>
    <cellStyle name="Comma [0] 2 3 4 3 2 2 4" xfId="882"/>
    <cellStyle name="Comma [0] 2 3 4 3 2 2 5" xfId="883"/>
    <cellStyle name="Comma [0] 2 3 4 3 2 3" xfId="884"/>
    <cellStyle name="Comma [0] 2 3 4 3 2 3 2" xfId="885"/>
    <cellStyle name="Comma [0] 2 3 4 3 2 4" xfId="886"/>
    <cellStyle name="Comma [0] 2 3 4 3 2 5" xfId="887"/>
    <cellStyle name="Comma [0] 2 3 4 3 2 6" xfId="888"/>
    <cellStyle name="Comma [0] 2 3 4 3 3" xfId="889"/>
    <cellStyle name="Comma [0] 2 3 4 3 3 2" xfId="890"/>
    <cellStyle name="Comma [0] 2 3 4 3 3 2 2" xfId="891"/>
    <cellStyle name="Comma [0] 2 3 4 3 3 3" xfId="892"/>
    <cellStyle name="Comma [0] 2 3 4 3 3 4" xfId="893"/>
    <cellStyle name="Comma [0] 2 3 4 3 3 5" xfId="894"/>
    <cellStyle name="Comma [0] 2 3 4 3 4" xfId="895"/>
    <cellStyle name="Comma [0] 2 3 4 3 4 2" xfId="896"/>
    <cellStyle name="Comma [0] 2 3 4 3 5" xfId="897"/>
    <cellStyle name="Comma [0] 2 3 4 3 6" xfId="898"/>
    <cellStyle name="Comma [0] 2 3 4 3 7" xfId="899"/>
    <cellStyle name="Comma [0] 2 3 4 4" xfId="900"/>
    <cellStyle name="Comma [0] 2 3 4 4 2" xfId="901"/>
    <cellStyle name="Comma [0] 2 3 4 4 2 2" xfId="902"/>
    <cellStyle name="Comma [0] 2 3 4 4 2 2 2" xfId="903"/>
    <cellStyle name="Comma [0] 2 3 4 4 2 3" xfId="904"/>
    <cellStyle name="Comma [0] 2 3 4 4 2 4" xfId="905"/>
    <cellStyle name="Comma [0] 2 3 4 4 2 5" xfId="906"/>
    <cellStyle name="Comma [0] 2 3 4 4 3" xfId="907"/>
    <cellStyle name="Comma [0] 2 3 4 4 3 2" xfId="908"/>
    <cellStyle name="Comma [0] 2 3 4 4 4" xfId="909"/>
    <cellStyle name="Comma [0] 2 3 4 4 5" xfId="910"/>
    <cellStyle name="Comma [0] 2 3 4 4 6" xfId="911"/>
    <cellStyle name="Comma [0] 2 3 4 5" xfId="912"/>
    <cellStyle name="Comma [0] 2 3 4 5 2" xfId="913"/>
    <cellStyle name="Comma [0] 2 3 4 5 2 2" xfId="914"/>
    <cellStyle name="Comma [0] 2 3 4 5 2 2 2" xfId="915"/>
    <cellStyle name="Comma [0] 2 3 4 5 2 3" xfId="916"/>
    <cellStyle name="Comma [0] 2 3 4 5 2 4" xfId="917"/>
    <cellStyle name="Comma [0] 2 3 4 5 2 5" xfId="918"/>
    <cellStyle name="Comma [0] 2 3 4 5 3" xfId="919"/>
    <cellStyle name="Comma [0] 2 3 4 5 3 2" xfId="920"/>
    <cellStyle name="Comma [0] 2 3 4 5 4" xfId="921"/>
    <cellStyle name="Comma [0] 2 3 4 5 5" xfId="922"/>
    <cellStyle name="Comma [0] 2 3 4 5 6" xfId="923"/>
    <cellStyle name="Comma [0] 2 3 4 6" xfId="924"/>
    <cellStyle name="Comma [0] 2 3 4 6 2" xfId="925"/>
    <cellStyle name="Comma [0] 2 3 4 6 2 2" xfId="926"/>
    <cellStyle name="Comma [0] 2 3 4 6 3" xfId="927"/>
    <cellStyle name="Comma [0] 2 3 4 6 4" xfId="928"/>
    <cellStyle name="Comma [0] 2 3 4 6 5" xfId="929"/>
    <cellStyle name="Comma [0] 2 3 4 7" xfId="930"/>
    <cellStyle name="Comma [0] 2 3 4 7 2" xfId="931"/>
    <cellStyle name="Comma [0] 2 3 4 7 2 2" xfId="932"/>
    <cellStyle name="Comma [0] 2 3 4 7 3" xfId="933"/>
    <cellStyle name="Comma [0] 2 3 4 7 4" xfId="934"/>
    <cellStyle name="Comma [0] 2 3 4 7 5" xfId="935"/>
    <cellStyle name="Comma [0] 2 3 4 8" xfId="936"/>
    <cellStyle name="Comma [0] 2 3 4 8 2" xfId="937"/>
    <cellStyle name="Comma [0] 2 3 4 9" xfId="938"/>
    <cellStyle name="Comma [0] 2 3 5" xfId="939"/>
    <cellStyle name="Comma [0] 2 3 5 10" xfId="940"/>
    <cellStyle name="Comma [0] 2 3 5 11" xfId="941"/>
    <cellStyle name="Comma [0] 2 3 5 2" xfId="942"/>
    <cellStyle name="Comma [0] 2 3 5 2 2" xfId="943"/>
    <cellStyle name="Comma [0] 2 3 5 2 2 2" xfId="944"/>
    <cellStyle name="Comma [0] 2 3 5 2 2 2 2" xfId="945"/>
    <cellStyle name="Comma [0] 2 3 5 2 2 2 2 2" xfId="946"/>
    <cellStyle name="Comma [0] 2 3 5 2 2 2 3" xfId="947"/>
    <cellStyle name="Comma [0] 2 3 5 2 2 2 4" xfId="948"/>
    <cellStyle name="Comma [0] 2 3 5 2 2 2 5" xfId="949"/>
    <cellStyle name="Comma [0] 2 3 5 2 2 3" xfId="950"/>
    <cellStyle name="Comma [0] 2 3 5 2 2 3 2" xfId="951"/>
    <cellStyle name="Comma [0] 2 3 5 2 2 4" xfId="952"/>
    <cellStyle name="Comma [0] 2 3 5 2 2 5" xfId="953"/>
    <cellStyle name="Comma [0] 2 3 5 2 2 6" xfId="954"/>
    <cellStyle name="Comma [0] 2 3 5 2 3" xfId="955"/>
    <cellStyle name="Comma [0] 2 3 5 2 3 2" xfId="956"/>
    <cellStyle name="Comma [0] 2 3 5 2 3 2 2" xfId="957"/>
    <cellStyle name="Comma [0] 2 3 5 2 3 3" xfId="958"/>
    <cellStyle name="Comma [0] 2 3 5 2 3 4" xfId="959"/>
    <cellStyle name="Comma [0] 2 3 5 2 3 5" xfId="960"/>
    <cellStyle name="Comma [0] 2 3 5 2 4" xfId="961"/>
    <cellStyle name="Comma [0] 2 3 5 2 4 2" xfId="962"/>
    <cellStyle name="Comma [0] 2 3 5 2 5" xfId="963"/>
    <cellStyle name="Comma [0] 2 3 5 2 6" xfId="964"/>
    <cellStyle name="Comma [0] 2 3 5 2 7" xfId="965"/>
    <cellStyle name="Comma [0] 2 3 5 3" xfId="966"/>
    <cellStyle name="Comma [0] 2 3 5 3 2" xfId="967"/>
    <cellStyle name="Comma [0] 2 3 5 3 2 2" xfId="968"/>
    <cellStyle name="Comma [0] 2 3 5 3 2 2 2" xfId="969"/>
    <cellStyle name="Comma [0] 2 3 5 3 2 2 2 2" xfId="970"/>
    <cellStyle name="Comma [0] 2 3 5 3 2 2 3" xfId="971"/>
    <cellStyle name="Comma [0] 2 3 5 3 2 2 4" xfId="972"/>
    <cellStyle name="Comma [0] 2 3 5 3 2 2 5" xfId="973"/>
    <cellStyle name="Comma [0] 2 3 5 3 2 3" xfId="974"/>
    <cellStyle name="Comma [0] 2 3 5 3 2 3 2" xfId="975"/>
    <cellStyle name="Comma [0] 2 3 5 3 2 4" xfId="976"/>
    <cellStyle name="Comma [0] 2 3 5 3 2 5" xfId="977"/>
    <cellStyle name="Comma [0] 2 3 5 3 2 6" xfId="978"/>
    <cellStyle name="Comma [0] 2 3 5 3 3" xfId="979"/>
    <cellStyle name="Comma [0] 2 3 5 3 3 2" xfId="980"/>
    <cellStyle name="Comma [0] 2 3 5 3 3 2 2" xfId="981"/>
    <cellStyle name="Comma [0] 2 3 5 3 3 3" xfId="982"/>
    <cellStyle name="Comma [0] 2 3 5 3 3 4" xfId="983"/>
    <cellStyle name="Comma [0] 2 3 5 3 3 5" xfId="984"/>
    <cellStyle name="Comma [0] 2 3 5 3 4" xfId="985"/>
    <cellStyle name="Comma [0] 2 3 5 3 4 2" xfId="986"/>
    <cellStyle name="Comma [0] 2 3 5 3 5" xfId="987"/>
    <cellStyle name="Comma [0] 2 3 5 3 6" xfId="988"/>
    <cellStyle name="Comma [0] 2 3 5 3 7" xfId="989"/>
    <cellStyle name="Comma [0] 2 3 5 4" xfId="990"/>
    <cellStyle name="Comma [0] 2 3 5 4 2" xfId="991"/>
    <cellStyle name="Comma [0] 2 3 5 4 2 2" xfId="992"/>
    <cellStyle name="Comma [0] 2 3 5 4 2 2 2" xfId="993"/>
    <cellStyle name="Comma [0] 2 3 5 4 2 3" xfId="994"/>
    <cellStyle name="Comma [0] 2 3 5 4 2 4" xfId="995"/>
    <cellStyle name="Comma [0] 2 3 5 4 2 5" xfId="996"/>
    <cellStyle name="Comma [0] 2 3 5 4 3" xfId="997"/>
    <cellStyle name="Comma [0] 2 3 5 4 3 2" xfId="998"/>
    <cellStyle name="Comma [0] 2 3 5 4 4" xfId="999"/>
    <cellStyle name="Comma [0] 2 3 5 4 5" xfId="1000"/>
    <cellStyle name="Comma [0] 2 3 5 4 6" xfId="1001"/>
    <cellStyle name="Comma [0] 2 3 5 5" xfId="1002"/>
    <cellStyle name="Comma [0] 2 3 5 5 2" xfId="1003"/>
    <cellStyle name="Comma [0] 2 3 5 5 2 2" xfId="1004"/>
    <cellStyle name="Comma [0] 2 3 5 5 2 2 2" xfId="1005"/>
    <cellStyle name="Comma [0] 2 3 5 5 2 3" xfId="1006"/>
    <cellStyle name="Comma [0] 2 3 5 5 2 4" xfId="1007"/>
    <cellStyle name="Comma [0] 2 3 5 5 2 5" xfId="1008"/>
    <cellStyle name="Comma [0] 2 3 5 5 3" xfId="1009"/>
    <cellStyle name="Comma [0] 2 3 5 5 3 2" xfId="1010"/>
    <cellStyle name="Comma [0] 2 3 5 5 4" xfId="1011"/>
    <cellStyle name="Comma [0] 2 3 5 5 5" xfId="1012"/>
    <cellStyle name="Comma [0] 2 3 5 5 6" xfId="1013"/>
    <cellStyle name="Comma [0] 2 3 5 6" xfId="1014"/>
    <cellStyle name="Comma [0] 2 3 5 6 2" xfId="1015"/>
    <cellStyle name="Comma [0] 2 3 5 6 2 2" xfId="1016"/>
    <cellStyle name="Comma [0] 2 3 5 6 3" xfId="1017"/>
    <cellStyle name="Comma [0] 2 3 5 6 4" xfId="1018"/>
    <cellStyle name="Comma [0] 2 3 5 6 5" xfId="1019"/>
    <cellStyle name="Comma [0] 2 3 5 7" xfId="1020"/>
    <cellStyle name="Comma [0] 2 3 5 7 2" xfId="1021"/>
    <cellStyle name="Comma [0] 2 3 5 7 2 2" xfId="1022"/>
    <cellStyle name="Comma [0] 2 3 5 7 3" xfId="1023"/>
    <cellStyle name="Comma [0] 2 3 5 7 4" xfId="1024"/>
    <cellStyle name="Comma [0] 2 3 5 7 5" xfId="1025"/>
    <cellStyle name="Comma [0] 2 3 5 8" xfId="1026"/>
    <cellStyle name="Comma [0] 2 3 5 8 2" xfId="1027"/>
    <cellStyle name="Comma [0] 2 3 5 9" xfId="1028"/>
    <cellStyle name="Comma [0] 2 3 6" xfId="1029"/>
    <cellStyle name="Comma [0] 2 3 6 2" xfId="1030"/>
    <cellStyle name="Comma [0] 2 3 7" xfId="1031"/>
    <cellStyle name="Comma [0] 2 3 7 2" xfId="1032"/>
    <cellStyle name="Comma [0] 2 3 7 2 2" xfId="1033"/>
    <cellStyle name="Comma [0] 2 3 7 2 2 2" xfId="1034"/>
    <cellStyle name="Comma [0] 2 3 7 2 2 2 2" xfId="1035"/>
    <cellStyle name="Comma [0] 2 3 7 2 2 3" xfId="1036"/>
    <cellStyle name="Comma [0] 2 3 7 2 2 4" xfId="1037"/>
    <cellStyle name="Comma [0] 2 3 7 2 2 5" xfId="1038"/>
    <cellStyle name="Comma [0] 2 3 7 2 3" xfId="1039"/>
    <cellStyle name="Comma [0] 2 3 7 2 3 2" xfId="1040"/>
    <cellStyle name="Comma [0] 2 3 7 2 4" xfId="1041"/>
    <cellStyle name="Comma [0] 2 3 7 2 5" xfId="1042"/>
    <cellStyle name="Comma [0] 2 3 7 2 6" xfId="1043"/>
    <cellStyle name="Comma [0] 2 3 7 3" xfId="1044"/>
    <cellStyle name="Comma [0] 2 3 7 3 2" xfId="1045"/>
    <cellStyle name="Comma [0] 2 3 7 3 2 2" xfId="1046"/>
    <cellStyle name="Comma [0] 2 3 7 3 3" xfId="1047"/>
    <cellStyle name="Comma [0] 2 3 7 3 4" xfId="1048"/>
    <cellStyle name="Comma [0] 2 3 7 3 5" xfId="1049"/>
    <cellStyle name="Comma [0] 2 3 7 4" xfId="1050"/>
    <cellStyle name="Comma [0] 2 3 7 4 2" xfId="1051"/>
    <cellStyle name="Comma [0] 2 3 7 5" xfId="1052"/>
    <cellStyle name="Comma [0] 2 3 7 6" xfId="1053"/>
    <cellStyle name="Comma [0] 2 3 7 7" xfId="1054"/>
    <cellStyle name="Comma [0] 2 3 8" xfId="1055"/>
    <cellStyle name="Comma [0] 2 3 8 2" xfId="1056"/>
    <cellStyle name="Comma [0] 2 3 8 2 2" xfId="1057"/>
    <cellStyle name="Comma [0] 2 3 8 2 2 2" xfId="1058"/>
    <cellStyle name="Comma [0] 2 3 8 2 2 2 2" xfId="1059"/>
    <cellStyle name="Comma [0] 2 3 8 2 2 3" xfId="1060"/>
    <cellStyle name="Comma [0] 2 3 8 2 2 4" xfId="1061"/>
    <cellStyle name="Comma [0] 2 3 8 2 2 5" xfId="1062"/>
    <cellStyle name="Comma [0] 2 3 8 2 3" xfId="1063"/>
    <cellStyle name="Comma [0] 2 3 8 2 3 2" xfId="1064"/>
    <cellStyle name="Comma [0] 2 3 8 2 4" xfId="1065"/>
    <cellStyle name="Comma [0] 2 3 8 2 5" xfId="1066"/>
    <cellStyle name="Comma [0] 2 3 8 2 6" xfId="1067"/>
    <cellStyle name="Comma [0] 2 3 8 3" xfId="1068"/>
    <cellStyle name="Comma [0] 2 3 8 3 2" xfId="1069"/>
    <cellStyle name="Comma [0] 2 3 8 3 2 2" xfId="1070"/>
    <cellStyle name="Comma [0] 2 3 8 3 3" xfId="1071"/>
    <cellStyle name="Comma [0] 2 3 8 3 4" xfId="1072"/>
    <cellStyle name="Comma [0] 2 3 8 3 5" xfId="1073"/>
    <cellStyle name="Comma [0] 2 3 8 4" xfId="1074"/>
    <cellStyle name="Comma [0] 2 3 8 4 2" xfId="1075"/>
    <cellStyle name="Comma [0] 2 3 8 5" xfId="1076"/>
    <cellStyle name="Comma [0] 2 3 8 6" xfId="1077"/>
    <cellStyle name="Comma [0] 2 3 8 7" xfId="1078"/>
    <cellStyle name="Comma [0] 2 3 9" xfId="1079"/>
    <cellStyle name="Comma [0] 2 3 9 2" xfId="1080"/>
    <cellStyle name="Comma [0] 2 3 9 2 2" xfId="1081"/>
    <cellStyle name="Comma [0] 2 3 9 2 2 2" xfId="1082"/>
    <cellStyle name="Comma [0] 2 3 9 2 3" xfId="1083"/>
    <cellStyle name="Comma [0] 2 3 9 2 4" xfId="1084"/>
    <cellStyle name="Comma [0] 2 3 9 2 5" xfId="1085"/>
    <cellStyle name="Comma [0] 2 3 9 3" xfId="1086"/>
    <cellStyle name="Comma [0] 2 3 9 3 2" xfId="1087"/>
    <cellStyle name="Comma [0] 2 3 9 4" xfId="1088"/>
    <cellStyle name="Comma [0] 2 3 9 5" xfId="1089"/>
    <cellStyle name="Comma [0] 2 3 9 6" xfId="1090"/>
    <cellStyle name="Comma [0] 2 4" xfId="1091"/>
    <cellStyle name="Comma [0] 2 4 10" xfId="1092"/>
    <cellStyle name="Comma [0] 2 4 11" xfId="1093"/>
    <cellStyle name="Comma [0] 2 4 12" xfId="1094"/>
    <cellStyle name="Comma [0] 2 4 2" xfId="1095"/>
    <cellStyle name="Comma [0] 2 4 2 2" xfId="1096"/>
    <cellStyle name="Comma [0] 2 4 3" xfId="1097"/>
    <cellStyle name="Comma [0] 2 4 3 2" xfId="1098"/>
    <cellStyle name="Comma [0] 2 4 3 2 2" xfId="1099"/>
    <cellStyle name="Comma [0] 2 4 3 2 2 2" xfId="1100"/>
    <cellStyle name="Comma [0] 2 4 3 2 2 2 2" xfId="1101"/>
    <cellStyle name="Comma [0] 2 4 3 2 2 3" xfId="1102"/>
    <cellStyle name="Comma [0] 2 4 3 2 2 4" xfId="1103"/>
    <cellStyle name="Comma [0] 2 4 3 2 2 5" xfId="1104"/>
    <cellStyle name="Comma [0] 2 4 3 2 3" xfId="1105"/>
    <cellStyle name="Comma [0] 2 4 3 2 3 2" xfId="1106"/>
    <cellStyle name="Comma [0] 2 4 3 2 4" xfId="1107"/>
    <cellStyle name="Comma [0] 2 4 3 2 5" xfId="1108"/>
    <cellStyle name="Comma [0] 2 4 3 2 6" xfId="1109"/>
    <cellStyle name="Comma [0] 2 4 3 3" xfId="1110"/>
    <cellStyle name="Comma [0] 2 4 3 3 2" xfId="1111"/>
    <cellStyle name="Comma [0] 2 4 3 3 2 2" xfId="1112"/>
    <cellStyle name="Comma [0] 2 4 3 3 3" xfId="1113"/>
    <cellStyle name="Comma [0] 2 4 3 3 4" xfId="1114"/>
    <cellStyle name="Comma [0] 2 4 3 3 5" xfId="1115"/>
    <cellStyle name="Comma [0] 2 4 3 4" xfId="1116"/>
    <cellStyle name="Comma [0] 2 4 3 4 2" xfId="1117"/>
    <cellStyle name="Comma [0] 2 4 3 5" xfId="1118"/>
    <cellStyle name="Comma [0] 2 4 3 6" xfId="1119"/>
    <cellStyle name="Comma [0] 2 4 3 7" xfId="1120"/>
    <cellStyle name="Comma [0] 2 4 4" xfId="1121"/>
    <cellStyle name="Comma [0] 2 4 4 2" xfId="1122"/>
    <cellStyle name="Comma [0] 2 4 4 2 2" xfId="1123"/>
    <cellStyle name="Comma [0] 2 4 4 2 2 2" xfId="1124"/>
    <cellStyle name="Comma [0] 2 4 4 2 2 2 2" xfId="1125"/>
    <cellStyle name="Comma [0] 2 4 4 2 2 3" xfId="1126"/>
    <cellStyle name="Comma [0] 2 4 4 2 2 4" xfId="1127"/>
    <cellStyle name="Comma [0] 2 4 4 2 2 5" xfId="1128"/>
    <cellStyle name="Comma [0] 2 4 4 2 3" xfId="1129"/>
    <cellStyle name="Comma [0] 2 4 4 2 3 2" xfId="1130"/>
    <cellStyle name="Comma [0] 2 4 4 2 4" xfId="1131"/>
    <cellStyle name="Comma [0] 2 4 4 2 5" xfId="1132"/>
    <cellStyle name="Comma [0] 2 4 4 2 6" xfId="1133"/>
    <cellStyle name="Comma [0] 2 4 4 3" xfId="1134"/>
    <cellStyle name="Comma [0] 2 4 4 3 2" xfId="1135"/>
    <cellStyle name="Comma [0] 2 4 4 3 2 2" xfId="1136"/>
    <cellStyle name="Comma [0] 2 4 4 3 3" xfId="1137"/>
    <cellStyle name="Comma [0] 2 4 4 3 4" xfId="1138"/>
    <cellStyle name="Comma [0] 2 4 4 3 5" xfId="1139"/>
    <cellStyle name="Comma [0] 2 4 4 4" xfId="1140"/>
    <cellStyle name="Comma [0] 2 4 4 4 2" xfId="1141"/>
    <cellStyle name="Comma [0] 2 4 4 5" xfId="1142"/>
    <cellStyle name="Comma [0] 2 4 4 6" xfId="1143"/>
    <cellStyle name="Comma [0] 2 4 4 7" xfId="1144"/>
    <cellStyle name="Comma [0] 2 4 5" xfId="1145"/>
    <cellStyle name="Comma [0] 2 4 5 2" xfId="1146"/>
    <cellStyle name="Comma [0] 2 4 5 2 2" xfId="1147"/>
    <cellStyle name="Comma [0] 2 4 5 2 2 2" xfId="1148"/>
    <cellStyle name="Comma [0] 2 4 5 2 3" xfId="1149"/>
    <cellStyle name="Comma [0] 2 4 5 2 4" xfId="1150"/>
    <cellStyle name="Comma [0] 2 4 5 2 5" xfId="1151"/>
    <cellStyle name="Comma [0] 2 4 5 3" xfId="1152"/>
    <cellStyle name="Comma [0] 2 4 5 3 2" xfId="1153"/>
    <cellStyle name="Comma [0] 2 4 5 4" xfId="1154"/>
    <cellStyle name="Comma [0] 2 4 5 5" xfId="1155"/>
    <cellStyle name="Comma [0] 2 4 5 6" xfId="1156"/>
    <cellStyle name="Comma [0] 2 4 6" xfId="1157"/>
    <cellStyle name="Comma [0] 2 4 6 2" xfId="1158"/>
    <cellStyle name="Comma [0] 2 4 6 2 2" xfId="1159"/>
    <cellStyle name="Comma [0] 2 4 6 2 2 2" xfId="1160"/>
    <cellStyle name="Comma [0] 2 4 6 2 3" xfId="1161"/>
    <cellStyle name="Comma [0] 2 4 6 2 4" xfId="1162"/>
    <cellStyle name="Comma [0] 2 4 6 2 5" xfId="1163"/>
    <cellStyle name="Comma [0] 2 4 6 3" xfId="1164"/>
    <cellStyle name="Comma [0] 2 4 6 3 2" xfId="1165"/>
    <cellStyle name="Comma [0] 2 4 6 4" xfId="1166"/>
    <cellStyle name="Comma [0] 2 4 6 5" xfId="1167"/>
    <cellStyle name="Comma [0] 2 4 6 6" xfId="1168"/>
    <cellStyle name="Comma [0] 2 4 7" xfId="1169"/>
    <cellStyle name="Comma [0] 2 4 7 2" xfId="1170"/>
    <cellStyle name="Comma [0] 2 4 7 2 2" xfId="1171"/>
    <cellStyle name="Comma [0] 2 4 7 3" xfId="1172"/>
    <cellStyle name="Comma [0] 2 4 7 4" xfId="1173"/>
    <cellStyle name="Comma [0] 2 4 7 5" xfId="1174"/>
    <cellStyle name="Comma [0] 2 4 8" xfId="1175"/>
    <cellStyle name="Comma [0] 2 4 8 2" xfId="1176"/>
    <cellStyle name="Comma [0] 2 4 8 2 2" xfId="1177"/>
    <cellStyle name="Comma [0] 2 4 8 3" xfId="1178"/>
    <cellStyle name="Comma [0] 2 4 8 4" xfId="1179"/>
    <cellStyle name="Comma [0] 2 4 8 5" xfId="1180"/>
    <cellStyle name="Comma [0] 2 4 9" xfId="1181"/>
    <cellStyle name="Comma [0] 2 4 9 2" xfId="1182"/>
    <cellStyle name="Comma [0] 2 5" xfId="1183"/>
    <cellStyle name="Comma [0] 2 5 10" xfId="1184"/>
    <cellStyle name="Comma [0] 2 5 11" xfId="1185"/>
    <cellStyle name="Comma [0] 2 5 12" xfId="1186"/>
    <cellStyle name="Comma [0] 2 5 2" xfId="1187"/>
    <cellStyle name="Comma [0] 2 5 2 2" xfId="1188"/>
    <cellStyle name="Comma [0] 2 5 3" xfId="1189"/>
    <cellStyle name="Comma [0] 2 5 3 2" xfId="1190"/>
    <cellStyle name="Comma [0] 2 5 3 2 2" xfId="1191"/>
    <cellStyle name="Comma [0] 2 5 3 2 2 2" xfId="1192"/>
    <cellStyle name="Comma [0] 2 5 3 2 2 2 2" xfId="1193"/>
    <cellStyle name="Comma [0] 2 5 3 2 2 3" xfId="1194"/>
    <cellStyle name="Comma [0] 2 5 3 2 2 4" xfId="1195"/>
    <cellStyle name="Comma [0] 2 5 3 2 2 5" xfId="1196"/>
    <cellStyle name="Comma [0] 2 5 3 2 3" xfId="1197"/>
    <cellStyle name="Comma [0] 2 5 3 2 3 2" xfId="1198"/>
    <cellStyle name="Comma [0] 2 5 3 2 4" xfId="1199"/>
    <cellStyle name="Comma [0] 2 5 3 2 5" xfId="1200"/>
    <cellStyle name="Comma [0] 2 5 3 2 6" xfId="1201"/>
    <cellStyle name="Comma [0] 2 5 3 3" xfId="1202"/>
    <cellStyle name="Comma [0] 2 5 3 3 2" xfId="1203"/>
    <cellStyle name="Comma [0] 2 5 3 3 2 2" xfId="1204"/>
    <cellStyle name="Comma [0] 2 5 3 3 3" xfId="1205"/>
    <cellStyle name="Comma [0] 2 5 3 3 4" xfId="1206"/>
    <cellStyle name="Comma [0] 2 5 3 3 5" xfId="1207"/>
    <cellStyle name="Comma [0] 2 5 3 4" xfId="1208"/>
    <cellStyle name="Comma [0] 2 5 3 4 2" xfId="1209"/>
    <cellStyle name="Comma [0] 2 5 3 5" xfId="1210"/>
    <cellStyle name="Comma [0] 2 5 3 6" xfId="1211"/>
    <cellStyle name="Comma [0] 2 5 3 7" xfId="1212"/>
    <cellStyle name="Comma [0] 2 5 4" xfId="1213"/>
    <cellStyle name="Comma [0] 2 5 4 2" xfId="1214"/>
    <cellStyle name="Comma [0] 2 5 4 2 2" xfId="1215"/>
    <cellStyle name="Comma [0] 2 5 4 2 2 2" xfId="1216"/>
    <cellStyle name="Comma [0] 2 5 4 2 2 2 2" xfId="1217"/>
    <cellStyle name="Comma [0] 2 5 4 2 2 3" xfId="1218"/>
    <cellStyle name="Comma [0] 2 5 4 2 2 4" xfId="1219"/>
    <cellStyle name="Comma [0] 2 5 4 2 2 5" xfId="1220"/>
    <cellStyle name="Comma [0] 2 5 4 2 3" xfId="1221"/>
    <cellStyle name="Comma [0] 2 5 4 2 3 2" xfId="1222"/>
    <cellStyle name="Comma [0] 2 5 4 2 4" xfId="1223"/>
    <cellStyle name="Comma [0] 2 5 4 2 5" xfId="1224"/>
    <cellStyle name="Comma [0] 2 5 4 2 6" xfId="1225"/>
    <cellStyle name="Comma [0] 2 5 4 3" xfId="1226"/>
    <cellStyle name="Comma [0] 2 5 4 3 2" xfId="1227"/>
    <cellStyle name="Comma [0] 2 5 4 3 2 2" xfId="1228"/>
    <cellStyle name="Comma [0] 2 5 4 3 3" xfId="1229"/>
    <cellStyle name="Comma [0] 2 5 4 3 4" xfId="1230"/>
    <cellStyle name="Comma [0] 2 5 4 3 5" xfId="1231"/>
    <cellStyle name="Comma [0] 2 5 4 4" xfId="1232"/>
    <cellStyle name="Comma [0] 2 5 4 4 2" xfId="1233"/>
    <cellStyle name="Comma [0] 2 5 4 5" xfId="1234"/>
    <cellStyle name="Comma [0] 2 5 4 6" xfId="1235"/>
    <cellStyle name="Comma [0] 2 5 4 7" xfId="1236"/>
    <cellStyle name="Comma [0] 2 5 5" xfId="1237"/>
    <cellStyle name="Comma [0] 2 5 5 2" xfId="1238"/>
    <cellStyle name="Comma [0] 2 5 5 2 2" xfId="1239"/>
    <cellStyle name="Comma [0] 2 5 5 2 2 2" xfId="1240"/>
    <cellStyle name="Comma [0] 2 5 5 2 3" xfId="1241"/>
    <cellStyle name="Comma [0] 2 5 5 2 4" xfId="1242"/>
    <cellStyle name="Comma [0] 2 5 5 2 5" xfId="1243"/>
    <cellStyle name="Comma [0] 2 5 5 3" xfId="1244"/>
    <cellStyle name="Comma [0] 2 5 5 3 2" xfId="1245"/>
    <cellStyle name="Comma [0] 2 5 5 4" xfId="1246"/>
    <cellStyle name="Comma [0] 2 5 5 5" xfId="1247"/>
    <cellStyle name="Comma [0] 2 5 5 6" xfId="1248"/>
    <cellStyle name="Comma [0] 2 5 6" xfId="1249"/>
    <cellStyle name="Comma [0] 2 5 6 2" xfId="1250"/>
    <cellStyle name="Comma [0] 2 5 6 2 2" xfId="1251"/>
    <cellStyle name="Comma [0] 2 5 6 2 2 2" xfId="1252"/>
    <cellStyle name="Comma [0] 2 5 6 2 3" xfId="1253"/>
    <cellStyle name="Comma [0] 2 5 6 2 4" xfId="1254"/>
    <cellStyle name="Comma [0] 2 5 6 2 5" xfId="1255"/>
    <cellStyle name="Comma [0] 2 5 6 3" xfId="1256"/>
    <cellStyle name="Comma [0] 2 5 6 3 2" xfId="1257"/>
    <cellStyle name="Comma [0] 2 5 6 4" xfId="1258"/>
    <cellStyle name="Comma [0] 2 5 6 5" xfId="1259"/>
    <cellStyle name="Comma [0] 2 5 6 6" xfId="1260"/>
    <cellStyle name="Comma [0] 2 5 7" xfId="1261"/>
    <cellStyle name="Comma [0] 2 5 7 2" xfId="1262"/>
    <cellStyle name="Comma [0] 2 5 7 2 2" xfId="1263"/>
    <cellStyle name="Comma [0] 2 5 7 3" xfId="1264"/>
    <cellStyle name="Comma [0] 2 5 7 4" xfId="1265"/>
    <cellStyle name="Comma [0] 2 5 7 5" xfId="1266"/>
    <cellStyle name="Comma [0] 2 5 8" xfId="1267"/>
    <cellStyle name="Comma [0] 2 5 8 2" xfId="1268"/>
    <cellStyle name="Comma [0] 2 5 8 2 2" xfId="1269"/>
    <cellStyle name="Comma [0] 2 5 8 3" xfId="1270"/>
    <cellStyle name="Comma [0] 2 5 8 4" xfId="1271"/>
    <cellStyle name="Comma [0] 2 5 8 5" xfId="1272"/>
    <cellStyle name="Comma [0] 2 5 9" xfId="1273"/>
    <cellStyle name="Comma [0] 2 5 9 2" xfId="1274"/>
    <cellStyle name="Comma [0] 2 6" xfId="1275"/>
    <cellStyle name="Comma [0] 2 6 10" xfId="1276"/>
    <cellStyle name="Comma [0] 2 6 11" xfId="1277"/>
    <cellStyle name="Comma [0] 2 6 2" xfId="1278"/>
    <cellStyle name="Comma [0] 2 6 2 2" xfId="1279"/>
    <cellStyle name="Comma [0] 2 6 2 2 2" xfId="1280"/>
    <cellStyle name="Comma [0] 2 6 2 2 2 2" xfId="1281"/>
    <cellStyle name="Comma [0] 2 6 2 2 2 2 2" xfId="1282"/>
    <cellStyle name="Comma [0] 2 6 2 2 2 3" xfId="1283"/>
    <cellStyle name="Comma [0] 2 6 2 2 2 4" xfId="1284"/>
    <cellStyle name="Comma [0] 2 6 2 2 2 5" xfId="1285"/>
    <cellStyle name="Comma [0] 2 6 2 2 3" xfId="1286"/>
    <cellStyle name="Comma [0] 2 6 2 2 3 2" xfId="1287"/>
    <cellStyle name="Comma [0] 2 6 2 2 4" xfId="1288"/>
    <cellStyle name="Comma [0] 2 6 2 2 5" xfId="1289"/>
    <cellStyle name="Comma [0] 2 6 2 2 6" xfId="1290"/>
    <cellStyle name="Comma [0] 2 6 2 3" xfId="1291"/>
    <cellStyle name="Comma [0] 2 6 2 3 2" xfId="1292"/>
    <cellStyle name="Comma [0] 2 6 2 3 2 2" xfId="1293"/>
    <cellStyle name="Comma [0] 2 6 2 3 3" xfId="1294"/>
    <cellStyle name="Comma [0] 2 6 2 3 4" xfId="1295"/>
    <cellStyle name="Comma [0] 2 6 2 3 5" xfId="1296"/>
    <cellStyle name="Comma [0] 2 6 2 4" xfId="1297"/>
    <cellStyle name="Comma [0] 2 6 2 4 2" xfId="1298"/>
    <cellStyle name="Comma [0] 2 6 2 5" xfId="1299"/>
    <cellStyle name="Comma [0] 2 6 2 6" xfId="1300"/>
    <cellStyle name="Comma [0] 2 6 2 7" xfId="1301"/>
    <cellStyle name="Comma [0] 2 6 3" xfId="1302"/>
    <cellStyle name="Comma [0] 2 6 3 2" xfId="1303"/>
    <cellStyle name="Comma [0] 2 6 3 2 2" xfId="1304"/>
    <cellStyle name="Comma [0] 2 6 3 2 2 2" xfId="1305"/>
    <cellStyle name="Comma [0] 2 6 3 2 2 2 2" xfId="1306"/>
    <cellStyle name="Comma [0] 2 6 3 2 2 3" xfId="1307"/>
    <cellStyle name="Comma [0] 2 6 3 2 2 4" xfId="1308"/>
    <cellStyle name="Comma [0] 2 6 3 2 2 5" xfId="1309"/>
    <cellStyle name="Comma [0] 2 6 3 2 3" xfId="1310"/>
    <cellStyle name="Comma [0] 2 6 3 2 3 2" xfId="1311"/>
    <cellStyle name="Comma [0] 2 6 3 2 4" xfId="1312"/>
    <cellStyle name="Comma [0] 2 6 3 2 5" xfId="1313"/>
    <cellStyle name="Comma [0] 2 6 3 2 6" xfId="1314"/>
    <cellStyle name="Comma [0] 2 6 3 3" xfId="1315"/>
    <cellStyle name="Comma [0] 2 6 3 3 2" xfId="1316"/>
    <cellStyle name="Comma [0] 2 6 3 3 2 2" xfId="1317"/>
    <cellStyle name="Comma [0] 2 6 3 3 3" xfId="1318"/>
    <cellStyle name="Comma [0] 2 6 3 3 4" xfId="1319"/>
    <cellStyle name="Comma [0] 2 6 3 3 5" xfId="1320"/>
    <cellStyle name="Comma [0] 2 6 3 4" xfId="1321"/>
    <cellStyle name="Comma [0] 2 6 3 4 2" xfId="1322"/>
    <cellStyle name="Comma [0] 2 6 3 5" xfId="1323"/>
    <cellStyle name="Comma [0] 2 6 3 6" xfId="1324"/>
    <cellStyle name="Comma [0] 2 6 3 7" xfId="1325"/>
    <cellStyle name="Comma [0] 2 6 4" xfId="1326"/>
    <cellStyle name="Comma [0] 2 6 4 2" xfId="1327"/>
    <cellStyle name="Comma [0] 2 6 4 2 2" xfId="1328"/>
    <cellStyle name="Comma [0] 2 6 4 2 2 2" xfId="1329"/>
    <cellStyle name="Comma [0] 2 6 4 2 3" xfId="1330"/>
    <cellStyle name="Comma [0] 2 6 4 2 4" xfId="1331"/>
    <cellStyle name="Comma [0] 2 6 4 2 5" xfId="1332"/>
    <cellStyle name="Comma [0] 2 6 4 3" xfId="1333"/>
    <cellStyle name="Comma [0] 2 6 4 3 2" xfId="1334"/>
    <cellStyle name="Comma [0] 2 6 4 4" xfId="1335"/>
    <cellStyle name="Comma [0] 2 6 4 5" xfId="1336"/>
    <cellStyle name="Comma [0] 2 6 4 6" xfId="1337"/>
    <cellStyle name="Comma [0] 2 6 5" xfId="1338"/>
    <cellStyle name="Comma [0] 2 6 5 2" xfId="1339"/>
    <cellStyle name="Comma [0] 2 6 5 2 2" xfId="1340"/>
    <cellStyle name="Comma [0] 2 6 5 2 2 2" xfId="1341"/>
    <cellStyle name="Comma [0] 2 6 5 2 3" xfId="1342"/>
    <cellStyle name="Comma [0] 2 6 5 2 4" xfId="1343"/>
    <cellStyle name="Comma [0] 2 6 5 2 5" xfId="1344"/>
    <cellStyle name="Comma [0] 2 6 5 3" xfId="1345"/>
    <cellStyle name="Comma [0] 2 6 5 3 2" xfId="1346"/>
    <cellStyle name="Comma [0] 2 6 5 4" xfId="1347"/>
    <cellStyle name="Comma [0] 2 6 5 5" xfId="1348"/>
    <cellStyle name="Comma [0] 2 6 5 6" xfId="1349"/>
    <cellStyle name="Comma [0] 2 6 6" xfId="1350"/>
    <cellStyle name="Comma [0] 2 6 6 2" xfId="1351"/>
    <cellStyle name="Comma [0] 2 6 6 2 2" xfId="1352"/>
    <cellStyle name="Comma [0] 2 6 6 3" xfId="1353"/>
    <cellStyle name="Comma [0] 2 6 6 4" xfId="1354"/>
    <cellStyle name="Comma [0] 2 6 6 5" xfId="1355"/>
    <cellStyle name="Comma [0] 2 6 7" xfId="1356"/>
    <cellStyle name="Comma [0] 2 6 7 2" xfId="1357"/>
    <cellStyle name="Comma [0] 2 6 7 2 2" xfId="1358"/>
    <cellStyle name="Comma [0] 2 6 7 3" xfId="1359"/>
    <cellStyle name="Comma [0] 2 6 7 4" xfId="1360"/>
    <cellStyle name="Comma [0] 2 6 7 5" xfId="1361"/>
    <cellStyle name="Comma [0] 2 6 8" xfId="1362"/>
    <cellStyle name="Comma [0] 2 6 8 2" xfId="1363"/>
    <cellStyle name="Comma [0] 2 6 9" xfId="1364"/>
    <cellStyle name="Comma [0] 2 7" xfId="1365"/>
    <cellStyle name="Comma [0] 2 7 10" xfId="1366"/>
    <cellStyle name="Comma [0] 2 7 11" xfId="1367"/>
    <cellStyle name="Comma [0] 2 7 2" xfId="1368"/>
    <cellStyle name="Comma [0] 2 7 2 2" xfId="1369"/>
    <cellStyle name="Comma [0] 2 7 2 2 2" xfId="1370"/>
    <cellStyle name="Comma [0] 2 7 2 2 2 2" xfId="1371"/>
    <cellStyle name="Comma [0] 2 7 2 2 2 2 2" xfId="1372"/>
    <cellStyle name="Comma [0] 2 7 2 2 2 3" xfId="1373"/>
    <cellStyle name="Comma [0] 2 7 2 2 2 4" xfId="1374"/>
    <cellStyle name="Comma [0] 2 7 2 2 2 5" xfId="1375"/>
    <cellStyle name="Comma [0] 2 7 2 2 3" xfId="1376"/>
    <cellStyle name="Comma [0] 2 7 2 2 3 2" xfId="1377"/>
    <cellStyle name="Comma [0] 2 7 2 2 4" xfId="1378"/>
    <cellStyle name="Comma [0] 2 7 2 2 5" xfId="1379"/>
    <cellStyle name="Comma [0] 2 7 2 2 6" xfId="1380"/>
    <cellStyle name="Comma [0] 2 7 2 3" xfId="1381"/>
    <cellStyle name="Comma [0] 2 7 2 3 2" xfId="1382"/>
    <cellStyle name="Comma [0] 2 7 2 3 2 2" xfId="1383"/>
    <cellStyle name="Comma [0] 2 7 2 3 3" xfId="1384"/>
    <cellStyle name="Comma [0] 2 7 2 3 4" xfId="1385"/>
    <cellStyle name="Comma [0] 2 7 2 3 5" xfId="1386"/>
    <cellStyle name="Comma [0] 2 7 2 4" xfId="1387"/>
    <cellStyle name="Comma [0] 2 7 2 4 2" xfId="1388"/>
    <cellStyle name="Comma [0] 2 7 2 5" xfId="1389"/>
    <cellStyle name="Comma [0] 2 7 2 6" xfId="1390"/>
    <cellStyle name="Comma [0] 2 7 2 7" xfId="1391"/>
    <cellStyle name="Comma [0] 2 7 3" xfId="1392"/>
    <cellStyle name="Comma [0] 2 7 3 2" xfId="1393"/>
    <cellStyle name="Comma [0] 2 7 3 2 2" xfId="1394"/>
    <cellStyle name="Comma [0] 2 7 3 2 2 2" xfId="1395"/>
    <cellStyle name="Comma [0] 2 7 3 2 2 2 2" xfId="1396"/>
    <cellStyle name="Comma [0] 2 7 3 2 2 3" xfId="1397"/>
    <cellStyle name="Comma [0] 2 7 3 2 2 4" xfId="1398"/>
    <cellStyle name="Comma [0] 2 7 3 2 2 5" xfId="1399"/>
    <cellStyle name="Comma [0] 2 7 3 2 3" xfId="1400"/>
    <cellStyle name="Comma [0] 2 7 3 2 3 2" xfId="1401"/>
    <cellStyle name="Comma [0] 2 7 3 2 4" xfId="1402"/>
    <cellStyle name="Comma [0] 2 7 3 2 5" xfId="1403"/>
    <cellStyle name="Comma [0] 2 7 3 2 6" xfId="1404"/>
    <cellStyle name="Comma [0] 2 7 3 3" xfId="1405"/>
    <cellStyle name="Comma [0] 2 7 3 3 2" xfId="1406"/>
    <cellStyle name="Comma [0] 2 7 3 3 2 2" xfId="1407"/>
    <cellStyle name="Comma [0] 2 7 3 3 3" xfId="1408"/>
    <cellStyle name="Comma [0] 2 7 3 3 4" xfId="1409"/>
    <cellStyle name="Comma [0] 2 7 3 3 5" xfId="1410"/>
    <cellStyle name="Comma [0] 2 7 3 4" xfId="1411"/>
    <cellStyle name="Comma [0] 2 7 3 4 2" xfId="1412"/>
    <cellStyle name="Comma [0] 2 7 3 5" xfId="1413"/>
    <cellStyle name="Comma [0] 2 7 3 6" xfId="1414"/>
    <cellStyle name="Comma [0] 2 7 3 7" xfId="1415"/>
    <cellStyle name="Comma [0] 2 7 4" xfId="1416"/>
    <cellStyle name="Comma [0] 2 7 4 2" xfId="1417"/>
    <cellStyle name="Comma [0] 2 7 4 2 2" xfId="1418"/>
    <cellStyle name="Comma [0] 2 7 4 2 2 2" xfId="1419"/>
    <cellStyle name="Comma [0] 2 7 4 2 3" xfId="1420"/>
    <cellStyle name="Comma [0] 2 7 4 2 4" xfId="1421"/>
    <cellStyle name="Comma [0] 2 7 4 2 5" xfId="1422"/>
    <cellStyle name="Comma [0] 2 7 4 3" xfId="1423"/>
    <cellStyle name="Comma [0] 2 7 4 3 2" xfId="1424"/>
    <cellStyle name="Comma [0] 2 7 4 4" xfId="1425"/>
    <cellStyle name="Comma [0] 2 7 4 5" xfId="1426"/>
    <cellStyle name="Comma [0] 2 7 4 6" xfId="1427"/>
    <cellStyle name="Comma [0] 2 7 5" xfId="1428"/>
    <cellStyle name="Comma [0] 2 7 5 2" xfId="1429"/>
    <cellStyle name="Comma [0] 2 7 5 2 2" xfId="1430"/>
    <cellStyle name="Comma [0] 2 7 5 2 2 2" xfId="1431"/>
    <cellStyle name="Comma [0] 2 7 5 2 3" xfId="1432"/>
    <cellStyle name="Comma [0] 2 7 5 2 4" xfId="1433"/>
    <cellStyle name="Comma [0] 2 7 5 2 5" xfId="1434"/>
    <cellStyle name="Comma [0] 2 7 5 3" xfId="1435"/>
    <cellStyle name="Comma [0] 2 7 5 3 2" xfId="1436"/>
    <cellStyle name="Comma [0] 2 7 5 4" xfId="1437"/>
    <cellStyle name="Comma [0] 2 7 5 5" xfId="1438"/>
    <cellStyle name="Comma [0] 2 7 5 6" xfId="1439"/>
    <cellStyle name="Comma [0] 2 7 6" xfId="1440"/>
    <cellStyle name="Comma [0] 2 7 6 2" xfId="1441"/>
    <cellStyle name="Comma [0] 2 7 6 2 2" xfId="1442"/>
    <cellStyle name="Comma [0] 2 7 6 3" xfId="1443"/>
    <cellStyle name="Comma [0] 2 7 6 4" xfId="1444"/>
    <cellStyle name="Comma [0] 2 7 6 5" xfId="1445"/>
    <cellStyle name="Comma [0] 2 7 7" xfId="1446"/>
    <cellStyle name="Comma [0] 2 7 7 2" xfId="1447"/>
    <cellStyle name="Comma [0] 2 7 7 2 2" xfId="1448"/>
    <cellStyle name="Comma [0] 2 7 7 3" xfId="1449"/>
    <cellStyle name="Comma [0] 2 7 7 4" xfId="1450"/>
    <cellStyle name="Comma [0] 2 7 7 5" xfId="1451"/>
    <cellStyle name="Comma [0] 2 7 8" xfId="1452"/>
    <cellStyle name="Comma [0] 2 7 8 2" xfId="1453"/>
    <cellStyle name="Comma [0] 2 7 9" xfId="1454"/>
    <cellStyle name="Comma [0] 2 8" xfId="1455"/>
    <cellStyle name="Comma [0] 2 8 2" xfId="1456"/>
    <cellStyle name="Comma [0] 2 9" xfId="1457"/>
    <cellStyle name="Comma [0] 2 9 2" xfId="1458"/>
    <cellStyle name="Comma [0] 2 9 2 2" xfId="1459"/>
    <cellStyle name="Comma [0] 2 9 2 2 2" xfId="1460"/>
    <cellStyle name="Comma [0] 2 9 2 2 2 2" xfId="1461"/>
    <cellStyle name="Comma [0] 2 9 2 2 3" xfId="1462"/>
    <cellStyle name="Comma [0] 2 9 2 2 4" xfId="1463"/>
    <cellStyle name="Comma [0] 2 9 2 2 5" xfId="1464"/>
    <cellStyle name="Comma [0] 2 9 2 3" xfId="1465"/>
    <cellStyle name="Comma [0] 2 9 2 3 2" xfId="1466"/>
    <cellStyle name="Comma [0] 2 9 2 4" xfId="1467"/>
    <cellStyle name="Comma [0] 2 9 2 5" xfId="1468"/>
    <cellStyle name="Comma [0] 2 9 2 6" xfId="1469"/>
    <cellStyle name="Comma [0] 2 9 3" xfId="1470"/>
    <cellStyle name="Comma [0] 2 9 3 2" xfId="1471"/>
    <cellStyle name="Comma [0] 2 9 3 2 2" xfId="1472"/>
    <cellStyle name="Comma [0] 2 9 3 3" xfId="1473"/>
    <cellStyle name="Comma [0] 2 9 3 4" xfId="1474"/>
    <cellStyle name="Comma [0] 2 9 3 5" xfId="1475"/>
    <cellStyle name="Comma [0] 2 9 4" xfId="1476"/>
    <cellStyle name="Comma [0] 2 9 4 2" xfId="1477"/>
    <cellStyle name="Comma [0] 2 9 5" xfId="1478"/>
    <cellStyle name="Comma [0] 2 9 6" xfId="1479"/>
    <cellStyle name="Comma [0] 2 9 7" xfId="1480"/>
    <cellStyle name="Comma [0] 3" xfId="1481"/>
    <cellStyle name="Comma [0] 3 10" xfId="1482"/>
    <cellStyle name="Comma [0] 3 11" xfId="1483"/>
    <cellStyle name="Comma [0] 3 2" xfId="1484"/>
    <cellStyle name="Comma [0] 3 2 2" xfId="1485"/>
    <cellStyle name="Comma [0] 3 2 2 2" xfId="1486"/>
    <cellStyle name="Comma [0] 3 2 2 2 2" xfId="1487"/>
    <cellStyle name="Comma [0] 3 2 2 2 2 2" xfId="1488"/>
    <cellStyle name="Comma [0] 3 2 2 2 3" xfId="1489"/>
    <cellStyle name="Comma [0] 3 2 2 2 4" xfId="1490"/>
    <cellStyle name="Comma [0] 3 2 2 2 5" xfId="1491"/>
    <cellStyle name="Comma [0] 3 2 2 3" xfId="1492"/>
    <cellStyle name="Comma [0] 3 2 2 3 2" xfId="1493"/>
    <cellStyle name="Comma [0] 3 2 2 4" xfId="1494"/>
    <cellStyle name="Comma [0] 3 2 2 5" xfId="1495"/>
    <cellStyle name="Comma [0] 3 2 2 6" xfId="1496"/>
    <cellStyle name="Comma [0] 3 2 3" xfId="1497"/>
    <cellStyle name="Comma [0] 3 2 3 2" xfId="1498"/>
    <cellStyle name="Comma [0] 3 2 3 2 2" xfId="1499"/>
    <cellStyle name="Comma [0] 3 2 3 3" xfId="1500"/>
    <cellStyle name="Comma [0] 3 2 3 4" xfId="1501"/>
    <cellStyle name="Comma [0] 3 2 3 5" xfId="1502"/>
    <cellStyle name="Comma [0] 3 2 4" xfId="1503"/>
    <cellStyle name="Comma [0] 3 2 4 2" xfId="1504"/>
    <cellStyle name="Comma [0] 3 2 5" xfId="1505"/>
    <cellStyle name="Comma [0] 3 2 6" xfId="1506"/>
    <cellStyle name="Comma [0] 3 2 7" xfId="1507"/>
    <cellStyle name="Comma [0] 3 3" xfId="1508"/>
    <cellStyle name="Comma [0] 3 3 2" xfId="1509"/>
    <cellStyle name="Comma [0] 3 3 2 2" xfId="1510"/>
    <cellStyle name="Comma [0] 3 3 2 2 2" xfId="1511"/>
    <cellStyle name="Comma [0] 3 3 2 2 2 2" xfId="1512"/>
    <cellStyle name="Comma [0] 3 3 2 2 3" xfId="1513"/>
    <cellStyle name="Comma [0] 3 3 2 2 4" xfId="1514"/>
    <cellStyle name="Comma [0] 3 3 2 2 5" xfId="1515"/>
    <cellStyle name="Comma [0] 3 3 2 3" xfId="1516"/>
    <cellStyle name="Comma [0] 3 3 2 3 2" xfId="1517"/>
    <cellStyle name="Comma [0] 3 3 2 4" xfId="1518"/>
    <cellStyle name="Comma [0] 3 3 2 5" xfId="1519"/>
    <cellStyle name="Comma [0] 3 3 2 6" xfId="1520"/>
    <cellStyle name="Comma [0] 3 3 3" xfId="1521"/>
    <cellStyle name="Comma [0] 3 3 3 2" xfId="1522"/>
    <cellStyle name="Comma [0] 3 3 3 2 2" xfId="1523"/>
    <cellStyle name="Comma [0] 3 3 3 3" xfId="1524"/>
    <cellStyle name="Comma [0] 3 3 3 4" xfId="1525"/>
    <cellStyle name="Comma [0] 3 3 3 5" xfId="1526"/>
    <cellStyle name="Comma [0] 3 3 4" xfId="1527"/>
    <cellStyle name="Comma [0] 3 3 4 2" xfId="1528"/>
    <cellStyle name="Comma [0] 3 3 5" xfId="1529"/>
    <cellStyle name="Comma [0] 3 3 6" xfId="1530"/>
    <cellStyle name="Comma [0] 3 3 7" xfId="1531"/>
    <cellStyle name="Comma [0] 3 4" xfId="1532"/>
    <cellStyle name="Comma [0] 3 4 2" xfId="1533"/>
    <cellStyle name="Comma [0] 3 4 2 2" xfId="1534"/>
    <cellStyle name="Comma [0] 3 4 2 2 2" xfId="1535"/>
    <cellStyle name="Comma [0] 3 4 2 3" xfId="1536"/>
    <cellStyle name="Comma [0] 3 4 2 4" xfId="1537"/>
    <cellStyle name="Comma [0] 3 4 2 5" xfId="1538"/>
    <cellStyle name="Comma [0] 3 4 3" xfId="1539"/>
    <cellStyle name="Comma [0] 3 4 3 2" xfId="1540"/>
    <cellStyle name="Comma [0] 3 4 4" xfId="1541"/>
    <cellStyle name="Comma [0] 3 4 5" xfId="1542"/>
    <cellStyle name="Comma [0] 3 4 6" xfId="1543"/>
    <cellStyle name="Comma [0] 3 5" xfId="1544"/>
    <cellStyle name="Comma [0] 3 5 2" xfId="1545"/>
    <cellStyle name="Comma [0] 3 5 2 2" xfId="1546"/>
    <cellStyle name="Comma [0] 3 5 2 2 2" xfId="1547"/>
    <cellStyle name="Comma [0] 3 5 2 3" xfId="1548"/>
    <cellStyle name="Comma [0] 3 5 2 4" xfId="1549"/>
    <cellStyle name="Comma [0] 3 5 2 5" xfId="1550"/>
    <cellStyle name="Comma [0] 3 5 3" xfId="1551"/>
    <cellStyle name="Comma [0] 3 5 3 2" xfId="1552"/>
    <cellStyle name="Comma [0] 3 5 4" xfId="1553"/>
    <cellStyle name="Comma [0] 3 5 5" xfId="1554"/>
    <cellStyle name="Comma [0] 3 5 6" xfId="1555"/>
    <cellStyle name="Comma [0] 3 6" xfId="1556"/>
    <cellStyle name="Comma [0] 3 6 2" xfId="1557"/>
    <cellStyle name="Comma [0] 3 6 2 2" xfId="1558"/>
    <cellStyle name="Comma [0] 3 6 3" xfId="1559"/>
    <cellStyle name="Comma [0] 3 6 4" xfId="1560"/>
    <cellStyle name="Comma [0] 3 6 5" xfId="1561"/>
    <cellStyle name="Comma [0] 3 7" xfId="1562"/>
    <cellStyle name="Comma [0] 3 7 2" xfId="1563"/>
    <cellStyle name="Comma [0] 3 7 2 2" xfId="1564"/>
    <cellStyle name="Comma [0] 3 7 3" xfId="1565"/>
    <cellStyle name="Comma [0] 3 7 4" xfId="1566"/>
    <cellStyle name="Comma [0] 3 7 5" xfId="1567"/>
    <cellStyle name="Comma [0] 3 8" xfId="1568"/>
    <cellStyle name="Comma [0] 3 8 2" xfId="1569"/>
    <cellStyle name="Comma [0] 3 9" xfId="1570"/>
    <cellStyle name="Comma [0] 4" xfId="1571"/>
    <cellStyle name="Comma [0] 4 2" xfId="1572"/>
    <cellStyle name="Comma [0] 4 3" xfId="1573"/>
    <cellStyle name="Comma [0] 4 4" xfId="1574"/>
    <cellStyle name="Comma [0] 5" xfId="1575"/>
    <cellStyle name="Comma [0] 5 2" xfId="1576"/>
    <cellStyle name="Comma [0] 6" xfId="1577"/>
    <cellStyle name="Comma [0] 6 2" xfId="1578"/>
    <cellStyle name="Comma [0] 6 2 2" xfId="1579"/>
    <cellStyle name="Comma [0] 6 2 3" xfId="1580"/>
    <cellStyle name="Comma [0] 6 2 4" xfId="1581"/>
    <cellStyle name="Comma [0] 6 3" xfId="1582"/>
    <cellStyle name="Comma [0] 6 3 2" xfId="1583"/>
    <cellStyle name="Comma [0] 6 3 3" xfId="1584"/>
    <cellStyle name="Comma [0] 6 3 4" xfId="1585"/>
    <cellStyle name="Comma [0] 6 4" xfId="1586"/>
    <cellStyle name="Comma [0] 6 5" xfId="1587"/>
    <cellStyle name="Comma [0] 6 6" xfId="1588"/>
    <cellStyle name="Comma [0] 7" xfId="1589"/>
    <cellStyle name="Comma [0] 7 2" xfId="1590"/>
    <cellStyle name="Comma [0] 7 2 2" xfId="1591"/>
    <cellStyle name="Comma [0] 7 2 2 2" xfId="1592"/>
    <cellStyle name="Comma [0] 7 2 3" xfId="1593"/>
    <cellStyle name="Comma [0] 7 2 4" xfId="1594"/>
    <cellStyle name="Comma [0] 7 2 5" xfId="1595"/>
    <cellStyle name="Comma [0] 7 3" xfId="1596"/>
    <cellStyle name="Comma [0] 7 3 2" xfId="1597"/>
    <cellStyle name="Comma [0] 7 4" xfId="1598"/>
    <cellStyle name="Comma [0] 7 5" xfId="1599"/>
    <cellStyle name="Comma [0] 7 6" xfId="1600"/>
    <cellStyle name="Comma [0] 8" xfId="1601"/>
    <cellStyle name="Comma [0] 8 2" xfId="1602"/>
    <cellStyle name="Comma [0] 8 3" xfId="1603"/>
    <cellStyle name="Comma [0] 8 4" xfId="1604"/>
    <cellStyle name="Comma [0] 9" xfId="1605"/>
    <cellStyle name="Comma [0] 9 2" xfId="1606"/>
    <cellStyle name="Comma [0] 9 2 2" xfId="1607"/>
    <cellStyle name="Comma [0] 9 3" xfId="1608"/>
    <cellStyle name="Comma [0] 9 4" xfId="1609"/>
    <cellStyle name="Comma [0] 9 5" xfId="1610"/>
    <cellStyle name="Comma 10" xfId="1611"/>
    <cellStyle name="Comma 10 2" xfId="1612"/>
    <cellStyle name="Comma 10 3" xfId="1613"/>
    <cellStyle name="Comma 10 4" xfId="1614"/>
    <cellStyle name="Comma 11" xfId="1615"/>
    <cellStyle name="Comma 11 10" xfId="1616"/>
    <cellStyle name="Comma 11 11" xfId="1617"/>
    <cellStyle name="Comma 11 12" xfId="1618"/>
    <cellStyle name="Comma 11 2" xfId="1619"/>
    <cellStyle name="Comma 11 2 2" xfId="1620"/>
    <cellStyle name="Comma 11 2 2 2" xfId="1621"/>
    <cellStyle name="Comma 11 2 2 2 2" xfId="1622"/>
    <cellStyle name="Comma 11 2 2 2 2 2" xfId="1623"/>
    <cellStyle name="Comma 11 2 2 2 3" xfId="1624"/>
    <cellStyle name="Comma 11 2 2 2 4" xfId="1625"/>
    <cellStyle name="Comma 11 2 2 2 5" xfId="1626"/>
    <cellStyle name="Comma 11 2 2 3" xfId="1627"/>
    <cellStyle name="Comma 11 2 2 3 2" xfId="1628"/>
    <cellStyle name="Comma 11 2 2 4" xfId="1629"/>
    <cellStyle name="Comma 11 2 2 5" xfId="1630"/>
    <cellStyle name="Comma 11 2 2 6" xfId="1631"/>
    <cellStyle name="Comma 11 2 3" xfId="1632"/>
    <cellStyle name="Comma 11 2 3 2" xfId="1633"/>
    <cellStyle name="Comma 11 2 3 2 2" xfId="1634"/>
    <cellStyle name="Comma 11 2 3 3" xfId="1635"/>
    <cellStyle name="Comma 11 2 3 4" xfId="1636"/>
    <cellStyle name="Comma 11 2 3 5" xfId="1637"/>
    <cellStyle name="Comma 11 2 4" xfId="1638"/>
    <cellStyle name="Comma 11 2 4 2" xfId="1639"/>
    <cellStyle name="Comma 11 2 5" xfId="1640"/>
    <cellStyle name="Comma 11 2 6" xfId="1641"/>
    <cellStyle name="Comma 11 2 7" xfId="1642"/>
    <cellStyle name="Comma 11 3" xfId="1643"/>
    <cellStyle name="Comma 11 3 2" xfId="1644"/>
    <cellStyle name="Comma 11 3 2 2" xfId="1645"/>
    <cellStyle name="Comma 11 3 2 2 2" xfId="1646"/>
    <cellStyle name="Comma 11 3 2 2 2 2" xfId="1647"/>
    <cellStyle name="Comma 11 3 2 2 3" xfId="1648"/>
    <cellStyle name="Comma 11 3 2 2 4" xfId="1649"/>
    <cellStyle name="Comma 11 3 2 2 5" xfId="1650"/>
    <cellStyle name="Comma 11 3 2 3" xfId="1651"/>
    <cellStyle name="Comma 11 3 2 3 2" xfId="1652"/>
    <cellStyle name="Comma 11 3 2 4" xfId="1653"/>
    <cellStyle name="Comma 11 3 2 5" xfId="1654"/>
    <cellStyle name="Comma 11 3 2 6" xfId="1655"/>
    <cellStyle name="Comma 11 3 3" xfId="1656"/>
    <cellStyle name="Comma 11 3 3 2" xfId="1657"/>
    <cellStyle name="Comma 11 3 3 2 2" xfId="1658"/>
    <cellStyle name="Comma 11 3 3 3" xfId="1659"/>
    <cellStyle name="Comma 11 3 3 4" xfId="1660"/>
    <cellStyle name="Comma 11 3 3 5" xfId="1661"/>
    <cellStyle name="Comma 11 3 4" xfId="1662"/>
    <cellStyle name="Comma 11 3 4 2" xfId="1663"/>
    <cellStyle name="Comma 11 3 5" xfId="1664"/>
    <cellStyle name="Comma 11 3 6" xfId="1665"/>
    <cellStyle name="Comma 11 3 7" xfId="1666"/>
    <cellStyle name="Comma 11 4" xfId="1667"/>
    <cellStyle name="Comma 11 4 2" xfId="1668"/>
    <cellStyle name="Comma 11 4 2 2" xfId="1669"/>
    <cellStyle name="Comma 11 4 2 2 2" xfId="1670"/>
    <cellStyle name="Comma 11 4 2 3" xfId="1671"/>
    <cellStyle name="Comma 11 4 2 4" xfId="1672"/>
    <cellStyle name="Comma 11 4 2 5" xfId="1673"/>
    <cellStyle name="Comma 11 4 3" xfId="1674"/>
    <cellStyle name="Comma 11 4 3 2" xfId="1675"/>
    <cellStyle name="Comma 11 4 4" xfId="1676"/>
    <cellStyle name="Comma 11 4 5" xfId="1677"/>
    <cellStyle name="Comma 11 4 6" xfId="1678"/>
    <cellStyle name="Comma 11 5" xfId="1679"/>
    <cellStyle name="Comma 11 5 2" xfId="1680"/>
    <cellStyle name="Comma 11 5 2 2" xfId="1681"/>
    <cellStyle name="Comma 11 5 2 2 2" xfId="1682"/>
    <cellStyle name="Comma 11 5 2 3" xfId="1683"/>
    <cellStyle name="Comma 11 5 2 4" xfId="1684"/>
    <cellStyle name="Comma 11 5 2 5" xfId="1685"/>
    <cellStyle name="Comma 11 5 3" xfId="1686"/>
    <cellStyle name="Comma 11 5 3 2" xfId="1687"/>
    <cellStyle name="Comma 11 5 4" xfId="1688"/>
    <cellStyle name="Comma 11 5 5" xfId="1689"/>
    <cellStyle name="Comma 11 5 6" xfId="1690"/>
    <cellStyle name="Comma 11 6" xfId="1691"/>
    <cellStyle name="Comma 11 6 2" xfId="1692"/>
    <cellStyle name="Comma 11 6 2 2" xfId="1693"/>
    <cellStyle name="Comma 11 6 3" xfId="1694"/>
    <cellStyle name="Comma 11 6 4" xfId="1695"/>
    <cellStyle name="Comma 11 6 5" xfId="1696"/>
    <cellStyle name="Comma 11 7" xfId="1697"/>
    <cellStyle name="Comma 11 7 2" xfId="1698"/>
    <cellStyle name="Comma 11 7 2 2" xfId="1699"/>
    <cellStyle name="Comma 11 7 3" xfId="1700"/>
    <cellStyle name="Comma 11 7 4" xfId="1701"/>
    <cellStyle name="Comma 11 7 5" xfId="1702"/>
    <cellStyle name="Comma 11 8" xfId="1703"/>
    <cellStyle name="Comma 11 8 2" xfId="1704"/>
    <cellStyle name="Comma 11 8 2 2" xfId="1705"/>
    <cellStyle name="Comma 11 8 3" xfId="1706"/>
    <cellStyle name="Comma 11 8 4" xfId="1707"/>
    <cellStyle name="Comma 11 8 5" xfId="1708"/>
    <cellStyle name="Comma 11 9" xfId="1709"/>
    <cellStyle name="Comma 11 9 2" xfId="1710"/>
    <cellStyle name="Comma 12" xfId="1711"/>
    <cellStyle name="Comma 12 2" xfId="1712"/>
    <cellStyle name="Comma 12 3" xfId="1713"/>
    <cellStyle name="Comma 12 4" xfId="1714"/>
    <cellStyle name="Comma 13" xfId="1715"/>
    <cellStyle name="Comma 13 2" xfId="1716"/>
    <cellStyle name="Comma 13 3" xfId="1717"/>
    <cellStyle name="Comma 13 4" xfId="1718"/>
    <cellStyle name="Comma 14" xfId="1719"/>
    <cellStyle name="Comma 14 2" xfId="1720"/>
    <cellStyle name="Comma 14 3" xfId="1721"/>
    <cellStyle name="Comma 14 4" xfId="1722"/>
    <cellStyle name="Comma 15" xfId="1723"/>
    <cellStyle name="Comma 15 2" xfId="1724"/>
    <cellStyle name="Comma 15 3" xfId="1725"/>
    <cellStyle name="Comma 15 4" xfId="1726"/>
    <cellStyle name="Comma 16" xfId="1727"/>
    <cellStyle name="Comma 16 2" xfId="1728"/>
    <cellStyle name="Comma 16 3" xfId="1729"/>
    <cellStyle name="Comma 16 4" xfId="1730"/>
    <cellStyle name="Comma 17" xfId="1731"/>
    <cellStyle name="Comma 18" xfId="1732"/>
    <cellStyle name="Comma 19" xfId="1733"/>
    <cellStyle name="Comma 2" xfId="1734"/>
    <cellStyle name="Comma 2 10 2" xfId="1735"/>
    <cellStyle name="Comma 2 10 2 2" xfId="1736"/>
    <cellStyle name="Comma 2 10 2 3" xfId="1737"/>
    <cellStyle name="Comma 2 10 2 4" xfId="1738"/>
    <cellStyle name="Comma 2 10 2 5" xfId="1739"/>
    <cellStyle name="Comma 2 2" xfId="1740"/>
    <cellStyle name="Comma 2 2 2" xfId="1741"/>
    <cellStyle name="Comma 2 3" xfId="1742"/>
    <cellStyle name="Comma 2 39" xfId="1743"/>
    <cellStyle name="Comma 2 39 2" xfId="1744"/>
    <cellStyle name="Comma 2 4" xfId="1745"/>
    <cellStyle name="Comma 2 4 2" xfId="1746"/>
    <cellStyle name="Comma 2 4 2 2" xfId="1747"/>
    <cellStyle name="Comma 2 4 2 2 2" xfId="1748"/>
    <cellStyle name="Comma 2 4 2 3" xfId="1749"/>
    <cellStyle name="Comma 2 4 2 4" xfId="1750"/>
    <cellStyle name="Comma 2 4 2 5" xfId="1751"/>
    <cellStyle name="Comma 2 5" xfId="1752"/>
    <cellStyle name="Comma 2 9 2" xfId="1753"/>
    <cellStyle name="Comma 2 9 2 2" xfId="1754"/>
    <cellStyle name="Comma 2 9 2 3" xfId="1755"/>
    <cellStyle name="Comma 2 9 2 4" xfId="1756"/>
    <cellStyle name="Comma 20" xfId="1757"/>
    <cellStyle name="Comma 21" xfId="1758"/>
    <cellStyle name="Comma 22" xfId="1759"/>
    <cellStyle name="Comma 23" xfId="1760"/>
    <cellStyle name="Comma 24" xfId="1761"/>
    <cellStyle name="Comma 25" xfId="1762"/>
    <cellStyle name="Comma 26" xfId="1763"/>
    <cellStyle name="Comma 27" xfId="1764"/>
    <cellStyle name="Comma 28" xfId="1765"/>
    <cellStyle name="Comma 29" xfId="1766"/>
    <cellStyle name="Comma 3" xfId="1767"/>
    <cellStyle name="Comma 3 2" xfId="1768"/>
    <cellStyle name="Comma 3 3" xfId="1769"/>
    <cellStyle name="Comma 3 4" xfId="1770"/>
    <cellStyle name="Comma 30" xfId="1771"/>
    <cellStyle name="Comma 31" xfId="1772"/>
    <cellStyle name="Comma 32" xfId="1773"/>
    <cellStyle name="Comma 33" xfId="1774"/>
    <cellStyle name="Comma 34" xfId="1775"/>
    <cellStyle name="Comma 35" xfId="1776"/>
    <cellStyle name="Comma 36" xfId="1777"/>
    <cellStyle name="Comma 37" xfId="1778"/>
    <cellStyle name="Comma 38" xfId="1779"/>
    <cellStyle name="Comma 39" xfId="1780"/>
    <cellStyle name="Comma 4" xfId="1781"/>
    <cellStyle name="Comma 4 2" xfId="1782"/>
    <cellStyle name="Comma 4 3" xfId="1783"/>
    <cellStyle name="Comma 4 4" xfId="1784"/>
    <cellStyle name="Comma 40" xfId="1785"/>
    <cellStyle name="Comma 41" xfId="1786"/>
    <cellStyle name="Comma 42" xfId="1787"/>
    <cellStyle name="Comma 43" xfId="1788"/>
    <cellStyle name="Comma 44" xfId="1789"/>
    <cellStyle name="Comma 45" xfId="1790"/>
    <cellStyle name="Comma 46" xfId="1791"/>
    <cellStyle name="Comma 47" xfId="1792"/>
    <cellStyle name="Comma 47 2" xfId="1793"/>
    <cellStyle name="Comma 48" xfId="1794"/>
    <cellStyle name="Comma 5" xfId="1795"/>
    <cellStyle name="Comma 5 2" xfId="1796"/>
    <cellStyle name="Comma 5 3" xfId="1797"/>
    <cellStyle name="Comma 5 4" xfId="1798"/>
    <cellStyle name="Comma 6" xfId="1799"/>
    <cellStyle name="Comma 6 2" xfId="1800"/>
    <cellStyle name="Comma 6 3" xfId="1801"/>
    <cellStyle name="Comma 6 4" xfId="1802"/>
    <cellStyle name="Comma 7" xfId="1803"/>
    <cellStyle name="Comma 7 2" xfId="1804"/>
    <cellStyle name="Comma 7 3" xfId="1805"/>
    <cellStyle name="Comma 7 4" xfId="1806"/>
    <cellStyle name="Comma 71" xfId="1807"/>
    <cellStyle name="Comma 71 2" xfId="1808"/>
    <cellStyle name="Comma 71 3" xfId="1809"/>
    <cellStyle name="Comma 71 4" xfId="1810"/>
    <cellStyle name="Comma 8" xfId="1811"/>
    <cellStyle name="Comma 8 2" xfId="1812"/>
    <cellStyle name="Comma 8 3" xfId="1813"/>
    <cellStyle name="Comma 8 4" xfId="1814"/>
    <cellStyle name="Comma 9" xfId="1815"/>
    <cellStyle name="Comma 9 2" xfId="1816"/>
    <cellStyle name="Comma 9 3" xfId="1817"/>
    <cellStyle name="Comma 9 4" xfId="1818"/>
    <cellStyle name="Excel Built-in Comma [0]" xfId="1819"/>
    <cellStyle name="Excel Built-in Normal 1" xfId="1820"/>
    <cellStyle name="Excel Built-in Normal 2" xfId="1821"/>
    <cellStyle name="Heading 3 2" xfId="1822"/>
    <cellStyle name="Heading 3 2 2" xfId="1823"/>
    <cellStyle name="Heading 3 2 2 2" xfId="1824"/>
    <cellStyle name="Heading 3 2 3" xfId="1825"/>
    <cellStyle name="Heading 3 2 4" xfId="1826"/>
    <cellStyle name="Heading 3 2 5" xfId="1827"/>
    <cellStyle name="Heading 3 3" xfId="1828"/>
    <cellStyle name="Heading 3 3 2" xfId="1829"/>
    <cellStyle name="Normal" xfId="0" builtinId="0"/>
    <cellStyle name="Normal 10" xfId="1830"/>
    <cellStyle name="Normal 10 2" xfId="1831"/>
    <cellStyle name="Normal 10 2 2" xfId="1832"/>
    <cellStyle name="Normal 10 3" xfId="1833"/>
    <cellStyle name="Normal 10 3 10" xfId="1834"/>
    <cellStyle name="Normal 10 3 11" xfId="1835"/>
    <cellStyle name="Normal 10 3 12" xfId="1836"/>
    <cellStyle name="Normal 10 3 2" xfId="1837"/>
    <cellStyle name="Normal 10 3 2 2" xfId="1838"/>
    <cellStyle name="Normal 10 3 2 2 2" xfId="1839"/>
    <cellStyle name="Normal 10 3 2 2 2 2" xfId="1840"/>
    <cellStyle name="Normal 10 3 2 2 2 2 2" xfId="1841"/>
    <cellStyle name="Normal 10 3 2 2 2 3" xfId="1842"/>
    <cellStyle name="Normal 10 3 2 2 2 4" xfId="1843"/>
    <cellStyle name="Normal 10 3 2 2 2 5" xfId="1844"/>
    <cellStyle name="Normal 10 3 2 2 3" xfId="1845"/>
    <cellStyle name="Normal 10 3 2 2 3 2" xfId="1846"/>
    <cellStyle name="Normal 10 3 2 2 4" xfId="1847"/>
    <cellStyle name="Normal 10 3 2 2 5" xfId="1848"/>
    <cellStyle name="Normal 10 3 2 2 6" xfId="1849"/>
    <cellStyle name="Normal 10 3 2 3" xfId="1850"/>
    <cellStyle name="Normal 10 3 2 3 2" xfId="1851"/>
    <cellStyle name="Normal 10 3 2 3 2 2" xfId="1852"/>
    <cellStyle name="Normal 10 3 2 3 3" xfId="1853"/>
    <cellStyle name="Normal 10 3 2 3 4" xfId="1854"/>
    <cellStyle name="Normal 10 3 2 3 5" xfId="1855"/>
    <cellStyle name="Normal 10 3 2 4" xfId="1856"/>
    <cellStyle name="Normal 10 3 2 4 2" xfId="1857"/>
    <cellStyle name="Normal 10 3 2 5" xfId="1858"/>
    <cellStyle name="Normal 10 3 2 6" xfId="1859"/>
    <cellStyle name="Normal 10 3 2 7" xfId="1860"/>
    <cellStyle name="Normal 10 3 3" xfId="1861"/>
    <cellStyle name="Normal 10 3 3 2" xfId="1862"/>
    <cellStyle name="Normal 10 3 3 2 2" xfId="1863"/>
    <cellStyle name="Normal 10 3 3 2 2 2" xfId="1864"/>
    <cellStyle name="Normal 10 3 3 2 2 2 2" xfId="1865"/>
    <cellStyle name="Normal 10 3 3 2 2 3" xfId="1866"/>
    <cellStyle name="Normal 10 3 3 2 2 4" xfId="1867"/>
    <cellStyle name="Normal 10 3 3 2 2 5" xfId="1868"/>
    <cellStyle name="Normal 10 3 3 2 3" xfId="1869"/>
    <cellStyle name="Normal 10 3 3 2 3 2" xfId="1870"/>
    <cellStyle name="Normal 10 3 3 2 4" xfId="1871"/>
    <cellStyle name="Normal 10 3 3 2 5" xfId="1872"/>
    <cellStyle name="Normal 10 3 3 2 6" xfId="1873"/>
    <cellStyle name="Normal 10 3 3 3" xfId="1874"/>
    <cellStyle name="Normal 10 3 3 3 2" xfId="1875"/>
    <cellStyle name="Normal 10 3 3 3 2 2" xfId="1876"/>
    <cellStyle name="Normal 10 3 3 3 3" xfId="1877"/>
    <cellStyle name="Normal 10 3 3 3 4" xfId="1878"/>
    <cellStyle name="Normal 10 3 3 3 5" xfId="1879"/>
    <cellStyle name="Normal 10 3 3 4" xfId="1880"/>
    <cellStyle name="Normal 10 3 3 4 2" xfId="1881"/>
    <cellStyle name="Normal 10 3 3 5" xfId="1882"/>
    <cellStyle name="Normal 10 3 3 6" xfId="1883"/>
    <cellStyle name="Normal 10 3 3 7" xfId="1884"/>
    <cellStyle name="Normal 10 3 4" xfId="1885"/>
    <cellStyle name="Normal 10 3 4 2" xfId="1886"/>
    <cellStyle name="Normal 10 3 4 2 2" xfId="1887"/>
    <cellStyle name="Normal 10 3 4 2 2 2" xfId="1888"/>
    <cellStyle name="Normal 10 3 4 2 3" xfId="1889"/>
    <cellStyle name="Normal 10 3 4 2 4" xfId="1890"/>
    <cellStyle name="Normal 10 3 4 2 5" xfId="1891"/>
    <cellStyle name="Normal 10 3 4 3" xfId="1892"/>
    <cellStyle name="Normal 10 3 4 3 2" xfId="1893"/>
    <cellStyle name="Normal 10 3 4 4" xfId="1894"/>
    <cellStyle name="Normal 10 3 4 5" xfId="1895"/>
    <cellStyle name="Normal 10 3 4 6" xfId="1896"/>
    <cellStyle name="Normal 10 3 5" xfId="1897"/>
    <cellStyle name="Normal 10 3 5 2" xfId="1898"/>
    <cellStyle name="Normal 10 3 5 2 2" xfId="1899"/>
    <cellStyle name="Normal 10 3 5 2 2 2" xfId="1900"/>
    <cellStyle name="Normal 10 3 5 2 3" xfId="1901"/>
    <cellStyle name="Normal 10 3 5 2 4" xfId="1902"/>
    <cellStyle name="Normal 10 3 5 2 5" xfId="1903"/>
    <cellStyle name="Normal 10 3 5 3" xfId="1904"/>
    <cellStyle name="Normal 10 3 5 3 2" xfId="1905"/>
    <cellStyle name="Normal 10 3 5 4" xfId="1906"/>
    <cellStyle name="Normal 10 3 5 5" xfId="1907"/>
    <cellStyle name="Normal 10 3 5 6" xfId="1908"/>
    <cellStyle name="Normal 10 3 6" xfId="1909"/>
    <cellStyle name="Normal 10 3 6 2" xfId="1910"/>
    <cellStyle name="Normal 10 3 6 2 2" xfId="1911"/>
    <cellStyle name="Normal 10 3 6 3" xfId="1912"/>
    <cellStyle name="Normal 10 3 6 4" xfId="1913"/>
    <cellStyle name="Normal 10 3 6 5" xfId="1914"/>
    <cellStyle name="Normal 10 3 7" xfId="1915"/>
    <cellStyle name="Normal 10 3 7 2" xfId="1916"/>
    <cellStyle name="Normal 10 3 7 2 2" xfId="1917"/>
    <cellStyle name="Normal 10 3 7 3" xfId="1918"/>
    <cellStyle name="Normal 10 3 7 4" xfId="1919"/>
    <cellStyle name="Normal 10 3 7 5" xfId="1920"/>
    <cellStyle name="Normal 10 3 8" xfId="1921"/>
    <cellStyle name="Normal 10 3 8 2" xfId="1922"/>
    <cellStyle name="Normal 10 3 8 2 2" xfId="1923"/>
    <cellStyle name="Normal 10 3 8 3" xfId="1924"/>
    <cellStyle name="Normal 10 3 8 4" xfId="1925"/>
    <cellStyle name="Normal 10 3 8 5" xfId="1926"/>
    <cellStyle name="Normal 10 3 9" xfId="1927"/>
    <cellStyle name="Normal 10 3 9 2" xfId="1928"/>
    <cellStyle name="Normal 10 4" xfId="1929"/>
    <cellStyle name="Normal 10 4 2" xfId="1930"/>
    <cellStyle name="Normal 10 5" xfId="1931"/>
    <cellStyle name="Normal 10 6" xfId="1932"/>
    <cellStyle name="Normal 11" xfId="1933"/>
    <cellStyle name="Normal 11 10" xfId="1934"/>
    <cellStyle name="Normal 11 10 2" xfId="1935"/>
    <cellStyle name="Normal 11 11" xfId="1936"/>
    <cellStyle name="Normal 11 11 2" xfId="1937"/>
    <cellStyle name="Normal 11 12" xfId="1938"/>
    <cellStyle name="Normal 11 13" xfId="1939"/>
    <cellStyle name="Normal 11 14" xfId="1940"/>
    <cellStyle name="Normal 11 2" xfId="1941"/>
    <cellStyle name="Normal 11 2 2" xfId="1942"/>
    <cellStyle name="Normal 11 2 3" xfId="1943"/>
    <cellStyle name="Normal 11 2 4" xfId="1944"/>
    <cellStyle name="Normal 11 3" xfId="1945"/>
    <cellStyle name="Normal 11 3 2" xfId="1946"/>
    <cellStyle name="Normal 11 3 2 2" xfId="1947"/>
    <cellStyle name="Normal 11 3 2 2 2" xfId="1948"/>
    <cellStyle name="Normal 11 3 2 2 2 2" xfId="1949"/>
    <cellStyle name="Normal 11 3 2 2 3" xfId="1950"/>
    <cellStyle name="Normal 11 3 2 2 4" xfId="1951"/>
    <cellStyle name="Normal 11 3 2 2 5" xfId="1952"/>
    <cellStyle name="Normal 11 3 2 3" xfId="1953"/>
    <cellStyle name="Normal 11 3 2 3 2" xfId="1954"/>
    <cellStyle name="Normal 11 3 2 4" xfId="1955"/>
    <cellStyle name="Normal 11 3 2 5" xfId="1956"/>
    <cellStyle name="Normal 11 3 2 6" xfId="1957"/>
    <cellStyle name="Normal 11 3 3" xfId="1958"/>
    <cellStyle name="Normal 11 3 3 2" xfId="1959"/>
    <cellStyle name="Normal 11 3 3 2 2" xfId="1960"/>
    <cellStyle name="Normal 11 3 3 3" xfId="1961"/>
    <cellStyle name="Normal 11 3 3 4" xfId="1962"/>
    <cellStyle name="Normal 11 3 3 5" xfId="1963"/>
    <cellStyle name="Normal 11 3 4" xfId="1964"/>
    <cellStyle name="Normal 11 3 4 2" xfId="1965"/>
    <cellStyle name="Normal 11 3 5" xfId="1966"/>
    <cellStyle name="Normal 11 3 5 2" xfId="1967"/>
    <cellStyle name="Normal 11 3 6" xfId="1968"/>
    <cellStyle name="Normal 11 3 7" xfId="1969"/>
    <cellStyle name="Normal 11 4" xfId="1970"/>
    <cellStyle name="Normal 11 4 2" xfId="1971"/>
    <cellStyle name="Normal 11 4 2 2" xfId="1972"/>
    <cellStyle name="Normal 11 4 2 2 2" xfId="1973"/>
    <cellStyle name="Normal 11 4 2 2 2 2" xfId="1974"/>
    <cellStyle name="Normal 11 4 2 2 3" xfId="1975"/>
    <cellStyle name="Normal 11 4 2 2 4" xfId="1976"/>
    <cellStyle name="Normal 11 4 2 2 5" xfId="1977"/>
    <cellStyle name="Normal 11 4 2 3" xfId="1978"/>
    <cellStyle name="Normal 11 4 2 3 2" xfId="1979"/>
    <cellStyle name="Normal 11 4 2 4" xfId="1980"/>
    <cellStyle name="Normal 11 4 2 5" xfId="1981"/>
    <cellStyle name="Normal 11 4 2 6" xfId="1982"/>
    <cellStyle name="Normal 11 4 3" xfId="1983"/>
    <cellStyle name="Normal 11 4 3 2" xfId="1984"/>
    <cellStyle name="Normal 11 4 3 2 2" xfId="1985"/>
    <cellStyle name="Normal 11 4 3 3" xfId="1986"/>
    <cellStyle name="Normal 11 4 3 4" xfId="1987"/>
    <cellStyle name="Normal 11 4 3 5" xfId="1988"/>
    <cellStyle name="Normal 11 4 4" xfId="1989"/>
    <cellStyle name="Normal 11 4 4 2" xfId="1990"/>
    <cellStyle name="Normal 11 4 5" xfId="1991"/>
    <cellStyle name="Normal 11 4 6" xfId="1992"/>
    <cellStyle name="Normal 11 4 7" xfId="1993"/>
    <cellStyle name="Normal 11 5" xfId="1994"/>
    <cellStyle name="Normal 11 5 2" xfId="1995"/>
    <cellStyle name="Normal 11 5 2 2" xfId="1996"/>
    <cellStyle name="Normal 11 5 2 2 2" xfId="1997"/>
    <cellStyle name="Normal 11 5 2 3" xfId="1998"/>
    <cellStyle name="Normal 11 5 2 4" xfId="1999"/>
    <cellStyle name="Normal 11 5 2 5" xfId="2000"/>
    <cellStyle name="Normal 11 5 3" xfId="2001"/>
    <cellStyle name="Normal 11 5 3 2" xfId="2002"/>
    <cellStyle name="Normal 11 5 4" xfId="2003"/>
    <cellStyle name="Normal 11 5 5" xfId="2004"/>
    <cellStyle name="Normal 11 5 6" xfId="2005"/>
    <cellStyle name="Normal 11 6" xfId="2006"/>
    <cellStyle name="Normal 11 6 2" xfId="2007"/>
    <cellStyle name="Normal 11 6 2 2" xfId="2008"/>
    <cellStyle name="Normal 11 6 2 2 2" xfId="2009"/>
    <cellStyle name="Normal 11 6 2 3" xfId="2010"/>
    <cellStyle name="Normal 11 6 2 4" xfId="2011"/>
    <cellStyle name="Normal 11 6 2 5" xfId="2012"/>
    <cellStyle name="Normal 11 6 3" xfId="2013"/>
    <cellStyle name="Normal 11 6 3 2" xfId="2014"/>
    <cellStyle name="Normal 11 6 4" xfId="2015"/>
    <cellStyle name="Normal 11 6 5" xfId="2016"/>
    <cellStyle name="Normal 11 6 6" xfId="2017"/>
    <cellStyle name="Normal 11 7" xfId="2018"/>
    <cellStyle name="Normal 11 7 2" xfId="2019"/>
    <cellStyle name="Normal 11 7 2 2" xfId="2020"/>
    <cellStyle name="Normal 11 7 3" xfId="2021"/>
    <cellStyle name="Normal 11 7 4" xfId="2022"/>
    <cellStyle name="Normal 11 7 5" xfId="2023"/>
    <cellStyle name="Normal 11 8" xfId="2024"/>
    <cellStyle name="Normal 11 8 2" xfId="2025"/>
    <cellStyle name="Normal 11 8 2 2" xfId="2026"/>
    <cellStyle name="Normal 11 8 3" xfId="2027"/>
    <cellStyle name="Normal 11 8 4" xfId="2028"/>
    <cellStyle name="Normal 11 8 5" xfId="2029"/>
    <cellStyle name="Normal 11 9" xfId="2030"/>
    <cellStyle name="Normal 11 9 2" xfId="2031"/>
    <cellStyle name="Normal 11 9 2 2" xfId="2032"/>
    <cellStyle name="Normal 11 9 3" xfId="2033"/>
    <cellStyle name="Normal 11 9 4" xfId="2034"/>
    <cellStyle name="Normal 11 9 5" xfId="2035"/>
    <cellStyle name="Normal 12" xfId="2036"/>
    <cellStyle name="Normal 12 10" xfId="2037"/>
    <cellStyle name="Normal 12 11" xfId="2038"/>
    <cellStyle name="Normal 12 12" xfId="2039"/>
    <cellStyle name="Normal 12 2" xfId="2040"/>
    <cellStyle name="Normal 12 2 2" xfId="2041"/>
    <cellStyle name="Normal 12 2 2 2" xfId="2042"/>
    <cellStyle name="Normal 12 2 2 2 2" xfId="2043"/>
    <cellStyle name="Normal 12 2 2 2 2 2" xfId="2044"/>
    <cellStyle name="Normal 12 2 2 2 3" xfId="2045"/>
    <cellStyle name="Normal 12 2 2 2 4" xfId="2046"/>
    <cellStyle name="Normal 12 2 2 2 5" xfId="2047"/>
    <cellStyle name="Normal 12 2 2 3" xfId="2048"/>
    <cellStyle name="Normal 12 2 2 3 2" xfId="2049"/>
    <cellStyle name="Normal 12 2 2 4" xfId="2050"/>
    <cellStyle name="Normal 12 2 2 5" xfId="2051"/>
    <cellStyle name="Normal 12 2 2 6" xfId="2052"/>
    <cellStyle name="Normal 12 2 3" xfId="2053"/>
    <cellStyle name="Normal 12 2 3 2" xfId="2054"/>
    <cellStyle name="Normal 12 2 3 2 2" xfId="2055"/>
    <cellStyle name="Normal 12 2 3 3" xfId="2056"/>
    <cellStyle name="Normal 12 2 3 4" xfId="2057"/>
    <cellStyle name="Normal 12 2 3 5" xfId="2058"/>
    <cellStyle name="Normal 12 2 4" xfId="2059"/>
    <cellStyle name="Normal 12 2 4 2" xfId="2060"/>
    <cellStyle name="Normal 12 2 5" xfId="2061"/>
    <cellStyle name="Normal 12 2 6" xfId="2062"/>
    <cellStyle name="Normal 12 2 7" xfId="2063"/>
    <cellStyle name="Normal 12 3" xfId="2064"/>
    <cellStyle name="Normal 12 3 2" xfId="2065"/>
    <cellStyle name="Normal 12 3 2 2" xfId="2066"/>
    <cellStyle name="Normal 12 3 2 2 2" xfId="2067"/>
    <cellStyle name="Normal 12 3 2 2 2 2" xfId="2068"/>
    <cellStyle name="Normal 12 3 2 2 3" xfId="2069"/>
    <cellStyle name="Normal 12 3 2 2 4" xfId="2070"/>
    <cellStyle name="Normal 12 3 2 2 5" xfId="2071"/>
    <cellStyle name="Normal 12 3 2 3" xfId="2072"/>
    <cellStyle name="Normal 12 3 2 3 2" xfId="2073"/>
    <cellStyle name="Normal 12 3 2 4" xfId="2074"/>
    <cellStyle name="Normal 12 3 2 5" xfId="2075"/>
    <cellStyle name="Normal 12 3 2 6" xfId="2076"/>
    <cellStyle name="Normal 12 3 3" xfId="2077"/>
    <cellStyle name="Normal 12 3 3 2" xfId="2078"/>
    <cellStyle name="Normal 12 3 3 2 2" xfId="2079"/>
    <cellStyle name="Normal 12 3 3 3" xfId="2080"/>
    <cellStyle name="Normal 12 3 3 4" xfId="2081"/>
    <cellStyle name="Normal 12 3 3 5" xfId="2082"/>
    <cellStyle name="Normal 12 3 4" xfId="2083"/>
    <cellStyle name="Normal 12 3 4 2" xfId="2084"/>
    <cellStyle name="Normal 12 3 5" xfId="2085"/>
    <cellStyle name="Normal 12 3 6" xfId="2086"/>
    <cellStyle name="Normal 12 3 7" xfId="2087"/>
    <cellStyle name="Normal 12 4" xfId="2088"/>
    <cellStyle name="Normal 12 4 2" xfId="2089"/>
    <cellStyle name="Normal 12 4 2 2" xfId="2090"/>
    <cellStyle name="Normal 12 4 2 2 2" xfId="2091"/>
    <cellStyle name="Normal 12 4 2 3" xfId="2092"/>
    <cellStyle name="Normal 12 4 2 4" xfId="2093"/>
    <cellStyle name="Normal 12 4 2 5" xfId="2094"/>
    <cellStyle name="Normal 12 4 3" xfId="2095"/>
    <cellStyle name="Normal 12 4 3 2" xfId="2096"/>
    <cellStyle name="Normal 12 4 4" xfId="2097"/>
    <cellStyle name="Normal 12 4 5" xfId="2098"/>
    <cellStyle name="Normal 12 4 6" xfId="2099"/>
    <cellStyle name="Normal 12 5" xfId="2100"/>
    <cellStyle name="Normal 12 5 2" xfId="2101"/>
    <cellStyle name="Normal 12 5 2 2" xfId="2102"/>
    <cellStyle name="Normal 12 5 2 2 2" xfId="2103"/>
    <cellStyle name="Normal 12 5 2 3" xfId="2104"/>
    <cellStyle name="Normal 12 5 2 4" xfId="2105"/>
    <cellStyle name="Normal 12 5 2 5" xfId="2106"/>
    <cellStyle name="Normal 12 5 3" xfId="2107"/>
    <cellStyle name="Normal 12 5 3 2" xfId="2108"/>
    <cellStyle name="Normal 12 5 4" xfId="2109"/>
    <cellStyle name="Normal 12 5 5" xfId="2110"/>
    <cellStyle name="Normal 12 5 6" xfId="2111"/>
    <cellStyle name="Normal 12 6" xfId="2112"/>
    <cellStyle name="Normal 12 6 2" xfId="2113"/>
    <cellStyle name="Normal 12 6 2 2" xfId="2114"/>
    <cellStyle name="Normal 12 6 3" xfId="2115"/>
    <cellStyle name="Normal 12 6 4" xfId="2116"/>
    <cellStyle name="Normal 12 6 5" xfId="2117"/>
    <cellStyle name="Normal 12 7" xfId="2118"/>
    <cellStyle name="Normal 12 7 2" xfId="2119"/>
    <cellStyle name="Normal 12 7 2 2" xfId="2120"/>
    <cellStyle name="Normal 12 7 3" xfId="2121"/>
    <cellStyle name="Normal 12 7 4" xfId="2122"/>
    <cellStyle name="Normal 12 7 5" xfId="2123"/>
    <cellStyle name="Normal 12 8" xfId="2124"/>
    <cellStyle name="Normal 12 8 2" xfId="2125"/>
    <cellStyle name="Normal 12 8 2 2" xfId="2126"/>
    <cellStyle name="Normal 12 8 3" xfId="2127"/>
    <cellStyle name="Normal 12 8 4" xfId="2128"/>
    <cellStyle name="Normal 12 8 5" xfId="2129"/>
    <cellStyle name="Normal 12 9" xfId="2130"/>
    <cellStyle name="Normal 12 9 2" xfId="2131"/>
    <cellStyle name="Normal 13" xfId="2132"/>
    <cellStyle name="Normal 13 10" xfId="2133"/>
    <cellStyle name="Normal 13 10 2" xfId="2134"/>
    <cellStyle name="Normal 13 11" xfId="2135"/>
    <cellStyle name="Normal 13 12" xfId="2136"/>
    <cellStyle name="Normal 13 13" xfId="2137"/>
    <cellStyle name="Normal 13 2" xfId="2138"/>
    <cellStyle name="Normal 13 2 2" xfId="2139"/>
    <cellStyle name="Normal 13 2 2 2" xfId="2140"/>
    <cellStyle name="Normal 13 2 2 2 2" xfId="2141"/>
    <cellStyle name="Normal 13 2 2 2 2 2" xfId="2142"/>
    <cellStyle name="Normal 13 2 2 2 3" xfId="2143"/>
    <cellStyle name="Normal 13 2 2 2 4" xfId="2144"/>
    <cellStyle name="Normal 13 2 2 2 5" xfId="2145"/>
    <cellStyle name="Normal 13 2 2 3" xfId="2146"/>
    <cellStyle name="Normal 13 2 2 3 2" xfId="2147"/>
    <cellStyle name="Normal 13 2 2 4" xfId="2148"/>
    <cellStyle name="Normal 13 2 2 5" xfId="2149"/>
    <cellStyle name="Normal 13 2 2 6" xfId="2150"/>
    <cellStyle name="Normal 13 2 3" xfId="2151"/>
    <cellStyle name="Normal 13 2 3 2" xfId="2152"/>
    <cellStyle name="Normal 13 2 3 2 2" xfId="2153"/>
    <cellStyle name="Normal 13 2 3 3" xfId="2154"/>
    <cellStyle name="Normal 13 2 3 4" xfId="2155"/>
    <cellStyle name="Normal 13 2 3 5" xfId="2156"/>
    <cellStyle name="Normal 13 2 4" xfId="2157"/>
    <cellStyle name="Normal 13 2 4 2" xfId="2158"/>
    <cellStyle name="Normal 13 2 5" xfId="2159"/>
    <cellStyle name="Normal 13 2 6" xfId="2160"/>
    <cellStyle name="Normal 13 2 7" xfId="2161"/>
    <cellStyle name="Normal 13 3" xfId="2162"/>
    <cellStyle name="Normal 13 3 2" xfId="2163"/>
    <cellStyle name="Normal 13 3 2 2" xfId="2164"/>
    <cellStyle name="Normal 13 3 2 2 2" xfId="2165"/>
    <cellStyle name="Normal 13 3 2 2 2 2" xfId="2166"/>
    <cellStyle name="Normal 13 3 2 2 3" xfId="2167"/>
    <cellStyle name="Normal 13 3 2 2 4" xfId="2168"/>
    <cellStyle name="Normal 13 3 2 2 5" xfId="2169"/>
    <cellStyle name="Normal 13 3 2 3" xfId="2170"/>
    <cellStyle name="Normal 13 3 2 3 2" xfId="2171"/>
    <cellStyle name="Normal 13 3 2 4" xfId="2172"/>
    <cellStyle name="Normal 13 3 2 5" xfId="2173"/>
    <cellStyle name="Normal 13 3 2 6" xfId="2174"/>
    <cellStyle name="Normal 13 3 3" xfId="2175"/>
    <cellStyle name="Normal 13 3 3 2" xfId="2176"/>
    <cellStyle name="Normal 13 3 3 2 2" xfId="2177"/>
    <cellStyle name="Normal 13 3 3 3" xfId="2178"/>
    <cellStyle name="Normal 13 3 3 4" xfId="2179"/>
    <cellStyle name="Normal 13 3 3 5" xfId="2180"/>
    <cellStyle name="Normal 13 3 4" xfId="2181"/>
    <cellStyle name="Normal 13 3 4 2" xfId="2182"/>
    <cellStyle name="Normal 13 3 5" xfId="2183"/>
    <cellStyle name="Normal 13 3 6" xfId="2184"/>
    <cellStyle name="Normal 13 3 7" xfId="2185"/>
    <cellStyle name="Normal 13 4" xfId="2186"/>
    <cellStyle name="Normal 13 4 2" xfId="2187"/>
    <cellStyle name="Normal 13 4 2 2" xfId="2188"/>
    <cellStyle name="Normal 13 4 2 2 2" xfId="2189"/>
    <cellStyle name="Normal 13 4 2 3" xfId="2190"/>
    <cellStyle name="Normal 13 4 2 4" xfId="2191"/>
    <cellStyle name="Normal 13 4 2 5" xfId="2192"/>
    <cellStyle name="Normal 13 4 3" xfId="2193"/>
    <cellStyle name="Normal 13 4 3 2" xfId="2194"/>
    <cellStyle name="Normal 13 4 4" xfId="2195"/>
    <cellStyle name="Normal 13 4 5" xfId="2196"/>
    <cellStyle name="Normal 13 4 6" xfId="2197"/>
    <cellStyle name="Normal 13 5" xfId="2198"/>
    <cellStyle name="Normal 13 5 2" xfId="2199"/>
    <cellStyle name="Normal 13 5 2 2" xfId="2200"/>
    <cellStyle name="Normal 13 5 2 2 2" xfId="2201"/>
    <cellStyle name="Normal 13 5 2 2 2 2" xfId="2202"/>
    <cellStyle name="Normal 13 5 2 2 3" xfId="2203"/>
    <cellStyle name="Normal 13 5 2 2 4" xfId="2204"/>
    <cellStyle name="Normal 13 5 2 2 5" xfId="2205"/>
    <cellStyle name="Normal 13 5 2 3" xfId="2206"/>
    <cellStyle name="Normal 13 5 2 3 2" xfId="2207"/>
    <cellStyle name="Normal 13 5 2 4" xfId="2208"/>
    <cellStyle name="Normal 13 5 2 5" xfId="2209"/>
    <cellStyle name="Normal 13 5 2 6" xfId="2210"/>
    <cellStyle name="Normal 13 5 3" xfId="2211"/>
    <cellStyle name="Normal 13 5 3 2" xfId="2212"/>
    <cellStyle name="Normal 13 5 3 2 2" xfId="2213"/>
    <cellStyle name="Normal 13 5 3 3" xfId="2214"/>
    <cellStyle name="Normal 13 5 3 4" xfId="2215"/>
    <cellStyle name="Normal 13 5 3 5" xfId="2216"/>
    <cellStyle name="Normal 13 5 4" xfId="2217"/>
    <cellStyle name="Normal 13 5 4 2" xfId="2218"/>
    <cellStyle name="Normal 13 5 5" xfId="2219"/>
    <cellStyle name="Normal 13 5 6" xfId="2220"/>
    <cellStyle name="Normal 13 5 7" xfId="2221"/>
    <cellStyle name="Normal 13 6" xfId="2222"/>
    <cellStyle name="Normal 13 6 2" xfId="2223"/>
    <cellStyle name="Normal 13 6 2 2" xfId="2224"/>
    <cellStyle name="Normal 13 6 2 2 2" xfId="2225"/>
    <cellStyle name="Normal 13 6 2 3" xfId="2226"/>
    <cellStyle name="Normal 13 6 2 4" xfId="2227"/>
    <cellStyle name="Normal 13 6 2 5" xfId="2228"/>
    <cellStyle name="Normal 13 6 3" xfId="2229"/>
    <cellStyle name="Normal 13 6 3 2" xfId="2230"/>
    <cellStyle name="Normal 13 6 4" xfId="2231"/>
    <cellStyle name="Normal 13 6 5" xfId="2232"/>
    <cellStyle name="Normal 13 6 6" xfId="2233"/>
    <cellStyle name="Normal 13 7" xfId="2234"/>
    <cellStyle name="Normal 13 7 2" xfId="2235"/>
    <cellStyle name="Normal 13 7 2 2" xfId="2236"/>
    <cellStyle name="Normal 13 7 3" xfId="2237"/>
    <cellStyle name="Normal 13 7 4" xfId="2238"/>
    <cellStyle name="Normal 13 7 5" xfId="2239"/>
    <cellStyle name="Normal 13 8" xfId="2240"/>
    <cellStyle name="Normal 13 8 2" xfId="2241"/>
    <cellStyle name="Normal 13 8 2 2" xfId="2242"/>
    <cellStyle name="Normal 13 8 3" xfId="2243"/>
    <cellStyle name="Normal 13 8 4" xfId="2244"/>
    <cellStyle name="Normal 13 8 5" xfId="2245"/>
    <cellStyle name="Normal 13 9" xfId="2246"/>
    <cellStyle name="Normal 13 9 2" xfId="2247"/>
    <cellStyle name="Normal 13 9 2 2" xfId="2248"/>
    <cellStyle name="Normal 13 9 3" xfId="2249"/>
    <cellStyle name="Normal 13 9 4" xfId="2250"/>
    <cellStyle name="Normal 13 9 5" xfId="2251"/>
    <cellStyle name="Normal 14" xfId="2252"/>
    <cellStyle name="Normal 14 10" xfId="2253"/>
    <cellStyle name="Normal 14 11" xfId="2254"/>
    <cellStyle name="Normal 14 12" xfId="2255"/>
    <cellStyle name="Normal 14 2" xfId="2256"/>
    <cellStyle name="Normal 14 2 2" xfId="2257"/>
    <cellStyle name="Normal 14 2 2 2" xfId="2258"/>
    <cellStyle name="Normal 14 2 2 2 2" xfId="2259"/>
    <cellStyle name="Normal 14 2 2 2 2 2" xfId="2260"/>
    <cellStyle name="Normal 14 2 2 2 3" xfId="2261"/>
    <cellStyle name="Normal 14 2 2 2 4" xfId="2262"/>
    <cellStyle name="Normal 14 2 2 2 5" xfId="2263"/>
    <cellStyle name="Normal 14 2 2 3" xfId="2264"/>
    <cellStyle name="Normal 14 2 2 3 2" xfId="2265"/>
    <cellStyle name="Normal 14 2 2 4" xfId="2266"/>
    <cellStyle name="Normal 14 2 2 5" xfId="2267"/>
    <cellStyle name="Normal 14 2 2 6" xfId="2268"/>
    <cellStyle name="Normal 14 2 3" xfId="2269"/>
    <cellStyle name="Normal 14 2 3 2" xfId="2270"/>
    <cellStyle name="Normal 14 2 3 2 2" xfId="2271"/>
    <cellStyle name="Normal 14 2 3 3" xfId="2272"/>
    <cellStyle name="Normal 14 2 3 4" xfId="2273"/>
    <cellStyle name="Normal 14 2 3 5" xfId="2274"/>
    <cellStyle name="Normal 14 2 4" xfId="2275"/>
    <cellStyle name="Normal 14 2 4 2" xfId="2276"/>
    <cellStyle name="Normal 14 2 5" xfId="2277"/>
    <cellStyle name="Normal 14 2 6" xfId="2278"/>
    <cellStyle name="Normal 14 2 7" xfId="2279"/>
    <cellStyle name="Normal 14 3" xfId="2280"/>
    <cellStyle name="Normal 14 3 2" xfId="2281"/>
    <cellStyle name="Normal 14 3 2 2" xfId="2282"/>
    <cellStyle name="Normal 14 3 2 2 2" xfId="2283"/>
    <cellStyle name="Normal 14 3 2 2 2 2" xfId="2284"/>
    <cellStyle name="Normal 14 3 2 2 3" xfId="2285"/>
    <cellStyle name="Normal 14 3 2 2 4" xfId="2286"/>
    <cellStyle name="Normal 14 3 2 2 5" xfId="2287"/>
    <cellStyle name="Normal 14 3 2 3" xfId="2288"/>
    <cellStyle name="Normal 14 3 2 3 2" xfId="2289"/>
    <cellStyle name="Normal 14 3 2 4" xfId="2290"/>
    <cellStyle name="Normal 14 3 2 5" xfId="2291"/>
    <cellStyle name="Normal 14 3 2 6" xfId="2292"/>
    <cellStyle name="Normal 14 3 3" xfId="2293"/>
    <cellStyle name="Normal 14 3 3 2" xfId="2294"/>
    <cellStyle name="Normal 14 3 3 2 2" xfId="2295"/>
    <cellStyle name="Normal 14 3 3 3" xfId="2296"/>
    <cellStyle name="Normal 14 3 3 4" xfId="2297"/>
    <cellStyle name="Normal 14 3 3 5" xfId="2298"/>
    <cellStyle name="Normal 14 3 4" xfId="2299"/>
    <cellStyle name="Normal 14 3 4 2" xfId="2300"/>
    <cellStyle name="Normal 14 3 5" xfId="2301"/>
    <cellStyle name="Normal 14 3 6" xfId="2302"/>
    <cellStyle name="Normal 14 3 7" xfId="2303"/>
    <cellStyle name="Normal 14 4" xfId="2304"/>
    <cellStyle name="Normal 14 4 2" xfId="2305"/>
    <cellStyle name="Normal 14 4 2 2" xfId="2306"/>
    <cellStyle name="Normal 14 4 2 2 2" xfId="2307"/>
    <cellStyle name="Normal 14 4 2 3" xfId="2308"/>
    <cellStyle name="Normal 14 4 2 4" xfId="2309"/>
    <cellStyle name="Normal 14 4 2 5" xfId="2310"/>
    <cellStyle name="Normal 14 4 3" xfId="2311"/>
    <cellStyle name="Normal 14 4 3 2" xfId="2312"/>
    <cellStyle name="Normal 14 4 4" xfId="2313"/>
    <cellStyle name="Normal 14 4 5" xfId="2314"/>
    <cellStyle name="Normal 14 4 6" xfId="2315"/>
    <cellStyle name="Normal 14 5" xfId="2316"/>
    <cellStyle name="Normal 14 5 2" xfId="2317"/>
    <cellStyle name="Normal 14 5 2 2" xfId="2318"/>
    <cellStyle name="Normal 14 5 2 2 2" xfId="2319"/>
    <cellStyle name="Normal 14 5 2 3" xfId="2320"/>
    <cellStyle name="Normal 14 5 2 4" xfId="2321"/>
    <cellStyle name="Normal 14 5 2 5" xfId="2322"/>
    <cellStyle name="Normal 14 5 3" xfId="2323"/>
    <cellStyle name="Normal 14 5 3 2" xfId="2324"/>
    <cellStyle name="Normal 14 5 4" xfId="2325"/>
    <cellStyle name="Normal 14 5 5" xfId="2326"/>
    <cellStyle name="Normal 14 5 6" xfId="2327"/>
    <cellStyle name="Normal 14 6" xfId="2328"/>
    <cellStyle name="Normal 14 6 2" xfId="2329"/>
    <cellStyle name="Normal 14 6 2 2" xfId="2330"/>
    <cellStyle name="Normal 14 6 3" xfId="2331"/>
    <cellStyle name="Normal 14 6 4" xfId="2332"/>
    <cellStyle name="Normal 14 6 5" xfId="2333"/>
    <cellStyle name="Normal 14 7" xfId="2334"/>
    <cellStyle name="Normal 14 7 2" xfId="2335"/>
    <cellStyle name="Normal 14 7 2 2" xfId="2336"/>
    <cellStyle name="Normal 14 7 3" xfId="2337"/>
    <cellStyle name="Normal 14 7 4" xfId="2338"/>
    <cellStyle name="Normal 14 7 5" xfId="2339"/>
    <cellStyle name="Normal 14 8" xfId="2340"/>
    <cellStyle name="Normal 14 8 2" xfId="2341"/>
    <cellStyle name="Normal 14 8 2 2" xfId="2342"/>
    <cellStyle name="Normal 14 8 3" xfId="2343"/>
    <cellStyle name="Normal 14 8 4" xfId="2344"/>
    <cellStyle name="Normal 14 8 5" xfId="2345"/>
    <cellStyle name="Normal 14 9" xfId="2346"/>
    <cellStyle name="Normal 14 9 2" xfId="2347"/>
    <cellStyle name="Normal 15" xfId="2348"/>
    <cellStyle name="Normal 15 10" xfId="2349"/>
    <cellStyle name="Normal 15 11" xfId="2350"/>
    <cellStyle name="Normal 15 12" xfId="2351"/>
    <cellStyle name="Normal 15 2" xfId="2352"/>
    <cellStyle name="Normal 15 2 2" xfId="2353"/>
    <cellStyle name="Normal 15 2 2 2" xfId="2354"/>
    <cellStyle name="Normal 15 2 2 2 2" xfId="2355"/>
    <cellStyle name="Normal 15 2 2 2 2 2" xfId="2356"/>
    <cellStyle name="Normal 15 2 2 2 3" xfId="2357"/>
    <cellStyle name="Normal 15 2 2 2 4" xfId="2358"/>
    <cellStyle name="Normal 15 2 2 2 5" xfId="2359"/>
    <cellStyle name="Normal 15 2 2 3" xfId="2360"/>
    <cellStyle name="Normal 15 2 2 3 2" xfId="2361"/>
    <cellStyle name="Normal 15 2 2 4" xfId="2362"/>
    <cellStyle name="Normal 15 2 2 5" xfId="2363"/>
    <cellStyle name="Normal 15 2 2 6" xfId="2364"/>
    <cellStyle name="Normal 15 2 3" xfId="2365"/>
    <cellStyle name="Normal 15 2 3 2" xfId="2366"/>
    <cellStyle name="Normal 15 2 3 2 2" xfId="2367"/>
    <cellStyle name="Normal 15 2 3 3" xfId="2368"/>
    <cellStyle name="Normal 15 2 3 4" xfId="2369"/>
    <cellStyle name="Normal 15 2 3 5" xfId="2370"/>
    <cellStyle name="Normal 15 2 4" xfId="2371"/>
    <cellStyle name="Normal 15 2 4 2" xfId="2372"/>
    <cellStyle name="Normal 15 2 5" xfId="2373"/>
    <cellStyle name="Normal 15 2 6" xfId="2374"/>
    <cellStyle name="Normal 15 2 7" xfId="2375"/>
    <cellStyle name="Normal 15 3" xfId="2376"/>
    <cellStyle name="Normal 15 3 2" xfId="2377"/>
    <cellStyle name="Normal 15 3 2 2" xfId="2378"/>
    <cellStyle name="Normal 15 3 2 2 2" xfId="2379"/>
    <cellStyle name="Normal 15 3 2 2 2 2" xfId="2380"/>
    <cellStyle name="Normal 15 3 2 2 3" xfId="2381"/>
    <cellStyle name="Normal 15 3 2 2 4" xfId="2382"/>
    <cellStyle name="Normal 15 3 2 2 5" xfId="2383"/>
    <cellStyle name="Normal 15 3 2 3" xfId="2384"/>
    <cellStyle name="Normal 15 3 2 3 2" xfId="2385"/>
    <cellStyle name="Normal 15 3 2 4" xfId="2386"/>
    <cellStyle name="Normal 15 3 2 5" xfId="2387"/>
    <cellStyle name="Normal 15 3 2 6" xfId="2388"/>
    <cellStyle name="Normal 15 3 3" xfId="2389"/>
    <cellStyle name="Normal 15 3 3 2" xfId="2390"/>
    <cellStyle name="Normal 15 3 3 2 2" xfId="2391"/>
    <cellStyle name="Normal 15 3 3 3" xfId="2392"/>
    <cellStyle name="Normal 15 3 3 4" xfId="2393"/>
    <cellStyle name="Normal 15 3 3 5" xfId="2394"/>
    <cellStyle name="Normal 15 3 4" xfId="2395"/>
    <cellStyle name="Normal 15 3 4 2" xfId="2396"/>
    <cellStyle name="Normal 15 3 5" xfId="2397"/>
    <cellStyle name="Normal 15 3 6" xfId="2398"/>
    <cellStyle name="Normal 15 3 7" xfId="2399"/>
    <cellStyle name="Normal 15 4" xfId="2400"/>
    <cellStyle name="Normal 15 4 2" xfId="2401"/>
    <cellStyle name="Normal 15 4 2 2" xfId="2402"/>
    <cellStyle name="Normal 15 4 2 2 2" xfId="2403"/>
    <cellStyle name="Normal 15 4 2 3" xfId="2404"/>
    <cellStyle name="Normal 15 4 2 4" xfId="2405"/>
    <cellStyle name="Normal 15 4 2 5" xfId="2406"/>
    <cellStyle name="Normal 15 4 3" xfId="2407"/>
    <cellStyle name="Normal 15 4 3 2" xfId="2408"/>
    <cellStyle name="Normal 15 4 4" xfId="2409"/>
    <cellStyle name="Normal 15 4 5" xfId="2410"/>
    <cellStyle name="Normal 15 4 6" xfId="2411"/>
    <cellStyle name="Normal 15 5" xfId="2412"/>
    <cellStyle name="Normal 15 5 2" xfId="2413"/>
    <cellStyle name="Normal 15 5 2 2" xfId="2414"/>
    <cellStyle name="Normal 15 5 2 2 2" xfId="2415"/>
    <cellStyle name="Normal 15 5 2 3" xfId="2416"/>
    <cellStyle name="Normal 15 5 2 4" xfId="2417"/>
    <cellStyle name="Normal 15 5 2 5" xfId="2418"/>
    <cellStyle name="Normal 15 5 3" xfId="2419"/>
    <cellStyle name="Normal 15 5 3 2" xfId="2420"/>
    <cellStyle name="Normal 15 5 4" xfId="2421"/>
    <cellStyle name="Normal 15 5 5" xfId="2422"/>
    <cellStyle name="Normal 15 5 6" xfId="2423"/>
    <cellStyle name="Normal 15 6" xfId="2424"/>
    <cellStyle name="Normal 15 6 2" xfId="2425"/>
    <cellStyle name="Normal 15 6 2 2" xfId="2426"/>
    <cellStyle name="Normal 15 6 3" xfId="2427"/>
    <cellStyle name="Normal 15 6 4" xfId="2428"/>
    <cellStyle name="Normal 15 6 5" xfId="2429"/>
    <cellStyle name="Normal 15 7" xfId="2430"/>
    <cellStyle name="Normal 15 7 2" xfId="2431"/>
    <cellStyle name="Normal 15 7 2 2" xfId="2432"/>
    <cellStyle name="Normal 15 7 3" xfId="2433"/>
    <cellStyle name="Normal 15 7 4" xfId="2434"/>
    <cellStyle name="Normal 15 7 5" xfId="2435"/>
    <cellStyle name="Normal 15 8" xfId="2436"/>
    <cellStyle name="Normal 15 8 2" xfId="2437"/>
    <cellStyle name="Normal 15 8 2 2" xfId="2438"/>
    <cellStyle name="Normal 15 8 3" xfId="2439"/>
    <cellStyle name="Normal 15 8 4" xfId="2440"/>
    <cellStyle name="Normal 15 8 5" xfId="2441"/>
    <cellStyle name="Normal 15 9" xfId="2442"/>
    <cellStyle name="Normal 15 9 2" xfId="2443"/>
    <cellStyle name="Normal 16" xfId="2444"/>
    <cellStyle name="Normal 16 10" xfId="2445"/>
    <cellStyle name="Normal 16 11" xfId="2446"/>
    <cellStyle name="Normal 16 12" xfId="2447"/>
    <cellStyle name="Normal 16 2" xfId="2448"/>
    <cellStyle name="Normal 16 2 2" xfId="2449"/>
    <cellStyle name="Normal 16 2 2 2" xfId="2450"/>
    <cellStyle name="Normal 16 2 2 2 2" xfId="2451"/>
    <cellStyle name="Normal 16 2 2 2 2 2" xfId="2452"/>
    <cellStyle name="Normal 16 2 2 2 3" xfId="2453"/>
    <cellStyle name="Normal 16 2 2 2 4" xfId="2454"/>
    <cellStyle name="Normal 16 2 2 2 5" xfId="2455"/>
    <cellStyle name="Normal 16 2 2 3" xfId="2456"/>
    <cellStyle name="Normal 16 2 2 3 2" xfId="2457"/>
    <cellStyle name="Normal 16 2 2 4" xfId="2458"/>
    <cellStyle name="Normal 16 2 2 5" xfId="2459"/>
    <cellStyle name="Normal 16 2 2 6" xfId="2460"/>
    <cellStyle name="Normal 16 2 3" xfId="2461"/>
    <cellStyle name="Normal 16 2 3 2" xfId="2462"/>
    <cellStyle name="Normal 16 2 3 2 2" xfId="2463"/>
    <cellStyle name="Normal 16 2 3 3" xfId="2464"/>
    <cellStyle name="Normal 16 2 3 4" xfId="2465"/>
    <cellStyle name="Normal 16 2 3 5" xfId="2466"/>
    <cellStyle name="Normal 16 2 4" xfId="2467"/>
    <cellStyle name="Normal 16 2 4 2" xfId="2468"/>
    <cellStyle name="Normal 16 2 5" xfId="2469"/>
    <cellStyle name="Normal 16 2 6" xfId="2470"/>
    <cellStyle name="Normal 16 2 7" xfId="2471"/>
    <cellStyle name="Normal 16 3" xfId="2472"/>
    <cellStyle name="Normal 16 3 2" xfId="2473"/>
    <cellStyle name="Normal 16 3 2 2" xfId="2474"/>
    <cellStyle name="Normal 16 3 2 2 2" xfId="2475"/>
    <cellStyle name="Normal 16 3 2 2 2 2" xfId="2476"/>
    <cellStyle name="Normal 16 3 2 2 3" xfId="2477"/>
    <cellStyle name="Normal 16 3 2 2 4" xfId="2478"/>
    <cellStyle name="Normal 16 3 2 2 5" xfId="2479"/>
    <cellStyle name="Normal 16 3 2 3" xfId="2480"/>
    <cellStyle name="Normal 16 3 2 3 2" xfId="2481"/>
    <cellStyle name="Normal 16 3 2 4" xfId="2482"/>
    <cellStyle name="Normal 16 3 2 5" xfId="2483"/>
    <cellStyle name="Normal 16 3 2 6" xfId="2484"/>
    <cellStyle name="Normal 16 3 3" xfId="2485"/>
    <cellStyle name="Normal 16 3 3 2" xfId="2486"/>
    <cellStyle name="Normal 16 3 3 2 2" xfId="2487"/>
    <cellStyle name="Normal 16 3 3 3" xfId="2488"/>
    <cellStyle name="Normal 16 3 3 4" xfId="2489"/>
    <cellStyle name="Normal 16 3 3 5" xfId="2490"/>
    <cellStyle name="Normal 16 3 4" xfId="2491"/>
    <cellStyle name="Normal 16 3 4 2" xfId="2492"/>
    <cellStyle name="Normal 16 3 5" xfId="2493"/>
    <cellStyle name="Normal 16 3 6" xfId="2494"/>
    <cellStyle name="Normal 16 3 7" xfId="2495"/>
    <cellStyle name="Normal 16 4" xfId="2496"/>
    <cellStyle name="Normal 16 4 2" xfId="2497"/>
    <cellStyle name="Normal 16 4 2 2" xfId="2498"/>
    <cellStyle name="Normal 16 4 2 2 2" xfId="2499"/>
    <cellStyle name="Normal 16 4 2 3" xfId="2500"/>
    <cellStyle name="Normal 16 4 2 4" xfId="2501"/>
    <cellStyle name="Normal 16 4 2 5" xfId="2502"/>
    <cellStyle name="Normal 16 4 3" xfId="2503"/>
    <cellStyle name="Normal 16 4 3 2" xfId="2504"/>
    <cellStyle name="Normal 16 4 4" xfId="2505"/>
    <cellStyle name="Normal 16 4 5" xfId="2506"/>
    <cellStyle name="Normal 16 4 6" xfId="2507"/>
    <cellStyle name="Normal 16 5" xfId="2508"/>
    <cellStyle name="Normal 16 5 2" xfId="2509"/>
    <cellStyle name="Normal 16 5 2 2" xfId="2510"/>
    <cellStyle name="Normal 16 5 2 2 2" xfId="2511"/>
    <cellStyle name="Normal 16 5 2 3" xfId="2512"/>
    <cellStyle name="Normal 16 5 2 4" xfId="2513"/>
    <cellStyle name="Normal 16 5 2 5" xfId="2514"/>
    <cellStyle name="Normal 16 5 3" xfId="2515"/>
    <cellStyle name="Normal 16 5 3 2" xfId="2516"/>
    <cellStyle name="Normal 16 5 4" xfId="2517"/>
    <cellStyle name="Normal 16 5 5" xfId="2518"/>
    <cellStyle name="Normal 16 5 6" xfId="2519"/>
    <cellStyle name="Normal 16 6" xfId="2520"/>
    <cellStyle name="Normal 16 6 2" xfId="2521"/>
    <cellStyle name="Normal 16 6 2 2" xfId="2522"/>
    <cellStyle name="Normal 16 6 3" xfId="2523"/>
    <cellStyle name="Normal 16 6 4" xfId="2524"/>
    <cellStyle name="Normal 16 6 5" xfId="2525"/>
    <cellStyle name="Normal 16 7" xfId="2526"/>
    <cellStyle name="Normal 16 7 2" xfId="2527"/>
    <cellStyle name="Normal 16 7 2 2" xfId="2528"/>
    <cellStyle name="Normal 16 7 3" xfId="2529"/>
    <cellStyle name="Normal 16 7 4" xfId="2530"/>
    <cellStyle name="Normal 16 7 5" xfId="2531"/>
    <cellStyle name="Normal 16 8" xfId="2532"/>
    <cellStyle name="Normal 16 8 2" xfId="2533"/>
    <cellStyle name="Normal 16 8 2 2" xfId="2534"/>
    <cellStyle name="Normal 16 8 3" xfId="2535"/>
    <cellStyle name="Normal 16 8 4" xfId="2536"/>
    <cellStyle name="Normal 16 8 5" xfId="2537"/>
    <cellStyle name="Normal 16 9" xfId="2538"/>
    <cellStyle name="Normal 16 9 2" xfId="2539"/>
    <cellStyle name="Normal 17" xfId="2540"/>
    <cellStyle name="Normal 17 10" xfId="2541"/>
    <cellStyle name="Normal 17 11" xfId="2542"/>
    <cellStyle name="Normal 17 12" xfId="2543"/>
    <cellStyle name="Normal 17 2" xfId="2544"/>
    <cellStyle name="Normal 17 2 2" xfId="2545"/>
    <cellStyle name="Normal 17 2 2 2" xfId="2546"/>
    <cellStyle name="Normal 17 2 2 2 2" xfId="2547"/>
    <cellStyle name="Normal 17 2 2 2 2 2" xfId="2548"/>
    <cellStyle name="Normal 17 2 2 2 3" xfId="2549"/>
    <cellStyle name="Normal 17 2 2 2 4" xfId="2550"/>
    <cellStyle name="Normal 17 2 2 2 5" xfId="2551"/>
    <cellStyle name="Normal 17 2 2 3" xfId="2552"/>
    <cellStyle name="Normal 17 2 2 3 2" xfId="2553"/>
    <cellStyle name="Normal 17 2 2 4" xfId="2554"/>
    <cellStyle name="Normal 17 2 2 5" xfId="2555"/>
    <cellStyle name="Normal 17 2 2 6" xfId="2556"/>
    <cellStyle name="Normal 17 2 3" xfId="2557"/>
    <cellStyle name="Normal 17 2 3 2" xfId="2558"/>
    <cellStyle name="Normal 17 2 3 2 2" xfId="2559"/>
    <cellStyle name="Normal 17 2 3 3" xfId="2560"/>
    <cellStyle name="Normal 17 2 3 4" xfId="2561"/>
    <cellStyle name="Normal 17 2 3 5" xfId="2562"/>
    <cellStyle name="Normal 17 2 4" xfId="2563"/>
    <cellStyle name="Normal 17 2 4 2" xfId="2564"/>
    <cellStyle name="Normal 17 2 5" xfId="2565"/>
    <cellStyle name="Normal 17 2 6" xfId="2566"/>
    <cellStyle name="Normal 17 2 7" xfId="2567"/>
    <cellStyle name="Normal 17 3" xfId="2568"/>
    <cellStyle name="Normal 17 3 2" xfId="2569"/>
    <cellStyle name="Normal 17 3 2 2" xfId="2570"/>
    <cellStyle name="Normal 17 3 2 2 2" xfId="2571"/>
    <cellStyle name="Normal 17 3 2 2 2 2" xfId="2572"/>
    <cellStyle name="Normal 17 3 2 2 3" xfId="2573"/>
    <cellStyle name="Normal 17 3 2 2 4" xfId="2574"/>
    <cellStyle name="Normal 17 3 2 2 5" xfId="2575"/>
    <cellStyle name="Normal 17 3 2 3" xfId="2576"/>
    <cellStyle name="Normal 17 3 2 3 2" xfId="2577"/>
    <cellStyle name="Normal 17 3 2 4" xfId="2578"/>
    <cellStyle name="Normal 17 3 2 5" xfId="2579"/>
    <cellStyle name="Normal 17 3 2 6" xfId="2580"/>
    <cellStyle name="Normal 17 3 3" xfId="2581"/>
    <cellStyle name="Normal 17 3 3 2" xfId="2582"/>
    <cellStyle name="Normal 17 3 3 2 2" xfId="2583"/>
    <cellStyle name="Normal 17 3 3 3" xfId="2584"/>
    <cellStyle name="Normal 17 3 3 4" xfId="2585"/>
    <cellStyle name="Normal 17 3 3 5" xfId="2586"/>
    <cellStyle name="Normal 17 3 4" xfId="2587"/>
    <cellStyle name="Normal 17 3 4 2" xfId="2588"/>
    <cellStyle name="Normal 17 3 5" xfId="2589"/>
    <cellStyle name="Normal 17 3 6" xfId="2590"/>
    <cellStyle name="Normal 17 3 7" xfId="2591"/>
    <cellStyle name="Normal 17 4" xfId="2592"/>
    <cellStyle name="Normal 17 4 2" xfId="2593"/>
    <cellStyle name="Normal 17 4 2 2" xfId="2594"/>
    <cellStyle name="Normal 17 4 2 2 2" xfId="2595"/>
    <cellStyle name="Normal 17 4 2 3" xfId="2596"/>
    <cellStyle name="Normal 17 4 2 4" xfId="2597"/>
    <cellStyle name="Normal 17 4 2 5" xfId="2598"/>
    <cellStyle name="Normal 17 4 3" xfId="2599"/>
    <cellStyle name="Normal 17 4 3 2" xfId="2600"/>
    <cellStyle name="Normal 17 4 4" xfId="2601"/>
    <cellStyle name="Normal 17 4 5" xfId="2602"/>
    <cellStyle name="Normal 17 4 6" xfId="2603"/>
    <cellStyle name="Normal 17 5" xfId="2604"/>
    <cellStyle name="Normal 17 5 2" xfId="2605"/>
    <cellStyle name="Normal 17 5 2 2" xfId="2606"/>
    <cellStyle name="Normal 17 5 2 2 2" xfId="2607"/>
    <cellStyle name="Normal 17 5 2 3" xfId="2608"/>
    <cellStyle name="Normal 17 5 2 4" xfId="2609"/>
    <cellStyle name="Normal 17 5 2 5" xfId="2610"/>
    <cellStyle name="Normal 17 5 3" xfId="2611"/>
    <cellStyle name="Normal 17 5 3 2" xfId="2612"/>
    <cellStyle name="Normal 17 5 4" xfId="2613"/>
    <cellStyle name="Normal 17 5 5" xfId="2614"/>
    <cellStyle name="Normal 17 5 6" xfId="2615"/>
    <cellStyle name="Normal 17 6" xfId="2616"/>
    <cellStyle name="Normal 17 6 2" xfId="2617"/>
    <cellStyle name="Normal 17 6 2 2" xfId="2618"/>
    <cellStyle name="Normal 17 6 3" xfId="2619"/>
    <cellStyle name="Normal 17 6 4" xfId="2620"/>
    <cellStyle name="Normal 17 6 5" xfId="2621"/>
    <cellStyle name="Normal 17 7" xfId="2622"/>
    <cellStyle name="Normal 17 7 2" xfId="2623"/>
    <cellStyle name="Normal 17 7 2 2" xfId="2624"/>
    <cellStyle name="Normal 17 7 3" xfId="2625"/>
    <cellStyle name="Normal 17 7 4" xfId="2626"/>
    <cellStyle name="Normal 17 7 5" xfId="2627"/>
    <cellStyle name="Normal 17 8" xfId="2628"/>
    <cellStyle name="Normal 17 8 2" xfId="2629"/>
    <cellStyle name="Normal 17 8 2 2" xfId="2630"/>
    <cellStyle name="Normal 17 8 3" xfId="2631"/>
    <cellStyle name="Normal 17 8 4" xfId="2632"/>
    <cellStyle name="Normal 17 8 5" xfId="2633"/>
    <cellStyle name="Normal 17 9" xfId="2634"/>
    <cellStyle name="Normal 17 9 2" xfId="2635"/>
    <cellStyle name="Normal 18" xfId="2636"/>
    <cellStyle name="Normal 18 10" xfId="2637"/>
    <cellStyle name="Normal 18 11" xfId="2638"/>
    <cellStyle name="Normal 18 12" xfId="2639"/>
    <cellStyle name="Normal 18 2" xfId="2640"/>
    <cellStyle name="Normal 18 2 2" xfId="2641"/>
    <cellStyle name="Normal 18 2 2 2" xfId="2642"/>
    <cellStyle name="Normal 18 2 2 2 2" xfId="2643"/>
    <cellStyle name="Normal 18 2 2 2 2 2" xfId="2644"/>
    <cellStyle name="Normal 18 2 2 2 3" xfId="2645"/>
    <cellStyle name="Normal 18 2 2 2 4" xfId="2646"/>
    <cellStyle name="Normal 18 2 2 2 5" xfId="2647"/>
    <cellStyle name="Normal 18 2 2 3" xfId="2648"/>
    <cellStyle name="Normal 18 2 2 3 2" xfId="2649"/>
    <cellStyle name="Normal 18 2 2 4" xfId="2650"/>
    <cellStyle name="Normal 18 2 2 5" xfId="2651"/>
    <cellStyle name="Normal 18 2 2 6" xfId="2652"/>
    <cellStyle name="Normal 18 2 3" xfId="2653"/>
    <cellStyle name="Normal 18 2 3 2" xfId="2654"/>
    <cellStyle name="Normal 18 2 3 2 2" xfId="2655"/>
    <cellStyle name="Normal 18 2 3 3" xfId="2656"/>
    <cellStyle name="Normal 18 2 3 4" xfId="2657"/>
    <cellStyle name="Normal 18 2 3 5" xfId="2658"/>
    <cellStyle name="Normal 18 2 4" xfId="2659"/>
    <cellStyle name="Normal 18 2 4 2" xfId="2660"/>
    <cellStyle name="Normal 18 2 5" xfId="2661"/>
    <cellStyle name="Normal 18 2 6" xfId="2662"/>
    <cellStyle name="Normal 18 2 7" xfId="2663"/>
    <cellStyle name="Normal 18 3" xfId="2664"/>
    <cellStyle name="Normal 18 3 2" xfId="2665"/>
    <cellStyle name="Normal 18 3 2 2" xfId="2666"/>
    <cellStyle name="Normal 18 3 2 2 2" xfId="2667"/>
    <cellStyle name="Normal 18 3 2 2 2 2" xfId="2668"/>
    <cellStyle name="Normal 18 3 2 2 3" xfId="2669"/>
    <cellStyle name="Normal 18 3 2 2 4" xfId="2670"/>
    <cellStyle name="Normal 18 3 2 2 5" xfId="2671"/>
    <cellStyle name="Normal 18 3 2 3" xfId="2672"/>
    <cellStyle name="Normal 18 3 2 3 2" xfId="2673"/>
    <cellStyle name="Normal 18 3 2 4" xfId="2674"/>
    <cellStyle name="Normal 18 3 2 5" xfId="2675"/>
    <cellStyle name="Normal 18 3 2 6" xfId="2676"/>
    <cellStyle name="Normal 18 3 3" xfId="2677"/>
    <cellStyle name="Normal 18 3 3 2" xfId="2678"/>
    <cellStyle name="Normal 18 3 3 2 2" xfId="2679"/>
    <cellStyle name="Normal 18 3 3 3" xfId="2680"/>
    <cellStyle name="Normal 18 3 3 4" xfId="2681"/>
    <cellStyle name="Normal 18 3 3 5" xfId="2682"/>
    <cellStyle name="Normal 18 3 4" xfId="2683"/>
    <cellStyle name="Normal 18 3 4 2" xfId="2684"/>
    <cellStyle name="Normal 18 3 5" xfId="2685"/>
    <cellStyle name="Normal 18 3 6" xfId="2686"/>
    <cellStyle name="Normal 18 3 7" xfId="2687"/>
    <cellStyle name="Normal 18 4" xfId="2688"/>
    <cellStyle name="Normal 18 4 2" xfId="2689"/>
    <cellStyle name="Normal 18 4 2 2" xfId="2690"/>
    <cellStyle name="Normal 18 4 2 2 2" xfId="2691"/>
    <cellStyle name="Normal 18 4 2 3" xfId="2692"/>
    <cellStyle name="Normal 18 4 2 4" xfId="2693"/>
    <cellStyle name="Normal 18 4 2 5" xfId="2694"/>
    <cellStyle name="Normal 18 4 3" xfId="2695"/>
    <cellStyle name="Normal 18 4 3 2" xfId="2696"/>
    <cellStyle name="Normal 18 4 4" xfId="2697"/>
    <cellStyle name="Normal 18 4 5" xfId="2698"/>
    <cellStyle name="Normal 18 4 6" xfId="2699"/>
    <cellStyle name="Normal 18 5" xfId="2700"/>
    <cellStyle name="Normal 18 5 2" xfId="2701"/>
    <cellStyle name="Normal 18 5 2 2" xfId="2702"/>
    <cellStyle name="Normal 18 5 2 2 2" xfId="2703"/>
    <cellStyle name="Normal 18 5 2 3" xfId="2704"/>
    <cellStyle name="Normal 18 5 2 4" xfId="2705"/>
    <cellStyle name="Normal 18 5 2 5" xfId="2706"/>
    <cellStyle name="Normal 18 5 3" xfId="2707"/>
    <cellStyle name="Normal 18 5 3 2" xfId="2708"/>
    <cellStyle name="Normal 18 5 4" xfId="2709"/>
    <cellStyle name="Normal 18 5 5" xfId="2710"/>
    <cellStyle name="Normal 18 5 6" xfId="2711"/>
    <cellStyle name="Normal 18 6" xfId="2712"/>
    <cellStyle name="Normal 18 6 2" xfId="2713"/>
    <cellStyle name="Normal 18 6 2 2" xfId="2714"/>
    <cellStyle name="Normal 18 6 3" xfId="2715"/>
    <cellStyle name="Normal 18 6 4" xfId="2716"/>
    <cellStyle name="Normal 18 6 5" xfId="2717"/>
    <cellStyle name="Normal 18 7" xfId="2718"/>
    <cellStyle name="Normal 18 7 2" xfId="2719"/>
    <cellStyle name="Normal 18 7 2 2" xfId="2720"/>
    <cellStyle name="Normal 18 7 3" xfId="2721"/>
    <cellStyle name="Normal 18 7 4" xfId="2722"/>
    <cellStyle name="Normal 18 7 5" xfId="2723"/>
    <cellStyle name="Normal 18 8" xfId="2724"/>
    <cellStyle name="Normal 18 8 2" xfId="2725"/>
    <cellStyle name="Normal 18 8 2 2" xfId="2726"/>
    <cellStyle name="Normal 18 8 3" xfId="2727"/>
    <cellStyle name="Normal 18 8 4" xfId="2728"/>
    <cellStyle name="Normal 18 8 5" xfId="2729"/>
    <cellStyle name="Normal 18 9" xfId="2730"/>
    <cellStyle name="Normal 18 9 2" xfId="2731"/>
    <cellStyle name="Normal 19" xfId="2732"/>
    <cellStyle name="Normal 19 10" xfId="2733"/>
    <cellStyle name="Normal 19 11" xfId="2734"/>
    <cellStyle name="Normal 19 12" xfId="2735"/>
    <cellStyle name="Normal 19 2" xfId="2736"/>
    <cellStyle name="Normal 19 2 2" xfId="2737"/>
    <cellStyle name="Normal 19 2 2 2" xfId="2738"/>
    <cellStyle name="Normal 19 2 2 2 2" xfId="2739"/>
    <cellStyle name="Normal 19 2 2 2 2 2" xfId="2740"/>
    <cellStyle name="Normal 19 2 2 2 3" xfId="2741"/>
    <cellStyle name="Normal 19 2 2 2 4" xfId="2742"/>
    <cellStyle name="Normal 19 2 2 2 5" xfId="2743"/>
    <cellStyle name="Normal 19 2 2 3" xfId="2744"/>
    <cellStyle name="Normal 19 2 2 3 2" xfId="2745"/>
    <cellStyle name="Normal 19 2 2 4" xfId="2746"/>
    <cellStyle name="Normal 19 2 2 5" xfId="2747"/>
    <cellStyle name="Normal 19 2 2 6" xfId="2748"/>
    <cellStyle name="Normal 19 2 3" xfId="2749"/>
    <cellStyle name="Normal 19 2 3 2" xfId="2750"/>
    <cellStyle name="Normal 19 2 3 2 2" xfId="2751"/>
    <cellStyle name="Normal 19 2 3 3" xfId="2752"/>
    <cellStyle name="Normal 19 2 3 4" xfId="2753"/>
    <cellStyle name="Normal 19 2 3 5" xfId="2754"/>
    <cellStyle name="Normal 19 2 4" xfId="2755"/>
    <cellStyle name="Normal 19 2 4 2" xfId="2756"/>
    <cellStyle name="Normal 19 2 5" xfId="2757"/>
    <cellStyle name="Normal 19 2 6" xfId="2758"/>
    <cellStyle name="Normal 19 2 7" xfId="2759"/>
    <cellStyle name="Normal 19 3" xfId="2760"/>
    <cellStyle name="Normal 19 3 2" xfId="2761"/>
    <cellStyle name="Normal 19 3 2 2" xfId="2762"/>
    <cellStyle name="Normal 19 3 2 2 2" xfId="2763"/>
    <cellStyle name="Normal 19 3 2 2 2 2" xfId="2764"/>
    <cellStyle name="Normal 19 3 2 2 3" xfId="2765"/>
    <cellStyle name="Normal 19 3 2 2 4" xfId="2766"/>
    <cellStyle name="Normal 19 3 2 2 5" xfId="2767"/>
    <cellStyle name="Normal 19 3 2 3" xfId="2768"/>
    <cellStyle name="Normal 19 3 2 3 2" xfId="2769"/>
    <cellStyle name="Normal 19 3 2 4" xfId="2770"/>
    <cellStyle name="Normal 19 3 2 5" xfId="2771"/>
    <cellStyle name="Normal 19 3 2 6" xfId="2772"/>
    <cellStyle name="Normal 19 3 3" xfId="2773"/>
    <cellStyle name="Normal 19 3 3 2" xfId="2774"/>
    <cellStyle name="Normal 19 3 3 2 2" xfId="2775"/>
    <cellStyle name="Normal 19 3 3 3" xfId="2776"/>
    <cellStyle name="Normal 19 3 3 4" xfId="2777"/>
    <cellStyle name="Normal 19 3 3 5" xfId="2778"/>
    <cellStyle name="Normal 19 3 4" xfId="2779"/>
    <cellStyle name="Normal 19 3 4 2" xfId="2780"/>
    <cellStyle name="Normal 19 3 5" xfId="2781"/>
    <cellStyle name="Normal 19 3 6" xfId="2782"/>
    <cellStyle name="Normal 19 3 7" xfId="2783"/>
    <cellStyle name="Normal 19 4" xfId="2784"/>
    <cellStyle name="Normal 19 4 2" xfId="2785"/>
    <cellStyle name="Normal 19 4 2 2" xfId="2786"/>
    <cellStyle name="Normal 19 4 2 2 2" xfId="2787"/>
    <cellStyle name="Normal 19 4 2 3" xfId="2788"/>
    <cellStyle name="Normal 19 4 2 4" xfId="2789"/>
    <cellStyle name="Normal 19 4 2 5" xfId="2790"/>
    <cellStyle name="Normal 19 4 3" xfId="2791"/>
    <cellStyle name="Normal 19 4 3 2" xfId="2792"/>
    <cellStyle name="Normal 19 4 4" xfId="2793"/>
    <cellStyle name="Normal 19 4 5" xfId="2794"/>
    <cellStyle name="Normal 19 4 6" xfId="2795"/>
    <cellStyle name="Normal 19 5" xfId="2796"/>
    <cellStyle name="Normal 19 5 2" xfId="2797"/>
    <cellStyle name="Normal 19 5 2 2" xfId="2798"/>
    <cellStyle name="Normal 19 5 2 2 2" xfId="2799"/>
    <cellStyle name="Normal 19 5 2 3" xfId="2800"/>
    <cellStyle name="Normal 19 5 2 4" xfId="2801"/>
    <cellStyle name="Normal 19 5 2 5" xfId="2802"/>
    <cellStyle name="Normal 19 5 3" xfId="2803"/>
    <cellStyle name="Normal 19 5 3 2" xfId="2804"/>
    <cellStyle name="Normal 19 5 4" xfId="2805"/>
    <cellStyle name="Normal 19 5 5" xfId="2806"/>
    <cellStyle name="Normal 19 5 6" xfId="2807"/>
    <cellStyle name="Normal 19 6" xfId="2808"/>
    <cellStyle name="Normal 19 6 2" xfId="2809"/>
    <cellStyle name="Normal 19 6 2 2" xfId="2810"/>
    <cellStyle name="Normal 19 6 3" xfId="2811"/>
    <cellStyle name="Normal 19 6 4" xfId="2812"/>
    <cellStyle name="Normal 19 6 5" xfId="2813"/>
    <cellStyle name="Normal 19 7" xfId="2814"/>
    <cellStyle name="Normal 19 7 2" xfId="2815"/>
    <cellStyle name="Normal 19 7 2 2" xfId="2816"/>
    <cellStyle name="Normal 19 7 3" xfId="2817"/>
    <cellStyle name="Normal 19 7 4" xfId="2818"/>
    <cellStyle name="Normal 19 7 5" xfId="2819"/>
    <cellStyle name="Normal 19 8" xfId="2820"/>
    <cellStyle name="Normal 19 8 2" xfId="2821"/>
    <cellStyle name="Normal 19 8 2 2" xfId="2822"/>
    <cellStyle name="Normal 19 8 3" xfId="2823"/>
    <cellStyle name="Normal 19 8 4" xfId="2824"/>
    <cellStyle name="Normal 19 8 5" xfId="2825"/>
    <cellStyle name="Normal 19 9" xfId="2826"/>
    <cellStyle name="Normal 19 9 2" xfId="2827"/>
    <cellStyle name="Normal 2" xfId="2828"/>
    <cellStyle name="Normal 2 10" xfId="2829"/>
    <cellStyle name="Normal 2 10 10" xfId="2830"/>
    <cellStyle name="Normal 2 10 10 2" xfId="2831"/>
    <cellStyle name="Normal 2 10 11" xfId="2832"/>
    <cellStyle name="Normal 2 10 11 2" xfId="2833"/>
    <cellStyle name="Normal 2 10 12" xfId="2834"/>
    <cellStyle name="Normal 2 10 13" xfId="2835"/>
    <cellStyle name="Normal 2 10 2" xfId="2836"/>
    <cellStyle name="Normal 2 10 2 2" xfId="2837"/>
    <cellStyle name="Normal 2 10 2 2 2" xfId="2838"/>
    <cellStyle name="Normal 2 10 2 2 2 2" xfId="2839"/>
    <cellStyle name="Normal 2 10 2 2 3" xfId="2840"/>
    <cellStyle name="Normal 2 10 2 2 4" xfId="2841"/>
    <cellStyle name="Normal 2 10 2 2 5" xfId="2842"/>
    <cellStyle name="Normal 2 10 2 3" xfId="2843"/>
    <cellStyle name="Normal 2 10 2 3 2" xfId="2844"/>
    <cellStyle name="Normal 2 10 2 4" xfId="2845"/>
    <cellStyle name="Normal 2 10 2 5" xfId="2846"/>
    <cellStyle name="Normal 2 10 2 6" xfId="2847"/>
    <cellStyle name="Normal 2 10 3" xfId="2848"/>
    <cellStyle name="Normal 2 10 4" xfId="2849"/>
    <cellStyle name="Normal 2 10 4 2" xfId="2850"/>
    <cellStyle name="Normal 2 10 4 2 2" xfId="2851"/>
    <cellStyle name="Normal 2 10 4 2 2 2" xfId="2852"/>
    <cellStyle name="Normal 2 10 4 2 2 2 2" xfId="2853"/>
    <cellStyle name="Normal 2 10 4 2 2 3" xfId="2854"/>
    <cellStyle name="Normal 2 10 4 2 2 4" xfId="2855"/>
    <cellStyle name="Normal 2 10 4 2 2 5" xfId="2856"/>
    <cellStyle name="Normal 2 10 4 2 3" xfId="2857"/>
    <cellStyle name="Normal 2 10 4 2 3 2" xfId="2858"/>
    <cellStyle name="Normal 2 10 4 2 4" xfId="2859"/>
    <cellStyle name="Normal 2 10 4 2 5" xfId="2860"/>
    <cellStyle name="Normal 2 10 4 2 6" xfId="2861"/>
    <cellStyle name="Normal 2 10 4 3" xfId="2862"/>
    <cellStyle name="Normal 2 10 4 3 2" xfId="2863"/>
    <cellStyle name="Normal 2 10 4 3 2 2" xfId="2864"/>
    <cellStyle name="Normal 2 10 4 3 3" xfId="2865"/>
    <cellStyle name="Normal 2 10 4 3 4" xfId="2866"/>
    <cellStyle name="Normal 2 10 4 3 5" xfId="2867"/>
    <cellStyle name="Normal 2 10 4 4" xfId="2868"/>
    <cellStyle name="Normal 2 10 4 4 2" xfId="2869"/>
    <cellStyle name="Normal 2 10 4 5" xfId="2870"/>
    <cellStyle name="Normal 2 10 4 6" xfId="2871"/>
    <cellStyle name="Normal 2 10 4 7" xfId="2872"/>
    <cellStyle name="Normal 2 10 5" xfId="2873"/>
    <cellStyle name="Normal 2 10 5 2" xfId="2874"/>
    <cellStyle name="Normal 2 10 5 2 2" xfId="2875"/>
    <cellStyle name="Normal 2 10 5 2 2 2" xfId="2876"/>
    <cellStyle name="Normal 2 10 5 2 2 2 2" xfId="2877"/>
    <cellStyle name="Normal 2 10 5 2 2 3" xfId="2878"/>
    <cellStyle name="Normal 2 10 5 2 2 4" xfId="2879"/>
    <cellStyle name="Normal 2 10 5 2 2 5" xfId="2880"/>
    <cellStyle name="Normal 2 10 5 2 3" xfId="2881"/>
    <cellStyle name="Normal 2 10 5 2 3 2" xfId="2882"/>
    <cellStyle name="Normal 2 10 5 2 4" xfId="2883"/>
    <cellStyle name="Normal 2 10 5 2 5" xfId="2884"/>
    <cellStyle name="Normal 2 10 5 2 6" xfId="2885"/>
    <cellStyle name="Normal 2 10 5 3" xfId="2886"/>
    <cellStyle name="Normal 2 10 5 3 2" xfId="2887"/>
    <cellStyle name="Normal 2 10 5 3 2 2" xfId="2888"/>
    <cellStyle name="Normal 2 10 5 3 3" xfId="2889"/>
    <cellStyle name="Normal 2 10 5 3 4" xfId="2890"/>
    <cellStyle name="Normal 2 10 5 3 5" xfId="2891"/>
    <cellStyle name="Normal 2 10 5 4" xfId="2892"/>
    <cellStyle name="Normal 2 10 5 4 2" xfId="2893"/>
    <cellStyle name="Normal 2 10 5 5" xfId="2894"/>
    <cellStyle name="Normal 2 10 5 6" xfId="2895"/>
    <cellStyle name="Normal 2 10 5 7" xfId="2896"/>
    <cellStyle name="Normal 2 10 6" xfId="2897"/>
    <cellStyle name="Normal 2 10 6 2" xfId="2898"/>
    <cellStyle name="Normal 2 10 6 2 2" xfId="2899"/>
    <cellStyle name="Normal 2 10 6 2 2 2" xfId="2900"/>
    <cellStyle name="Normal 2 10 6 2 3" xfId="2901"/>
    <cellStyle name="Normal 2 10 6 2 4" xfId="2902"/>
    <cellStyle name="Normal 2 10 6 2 5" xfId="2903"/>
    <cellStyle name="Normal 2 10 6 3" xfId="2904"/>
    <cellStyle name="Normal 2 10 6 3 2" xfId="2905"/>
    <cellStyle name="Normal 2 10 6 4" xfId="2906"/>
    <cellStyle name="Normal 2 10 6 5" xfId="2907"/>
    <cellStyle name="Normal 2 10 6 6" xfId="2908"/>
    <cellStyle name="Normal 2 10 7" xfId="2909"/>
    <cellStyle name="Normal 2 10 7 2" xfId="2910"/>
    <cellStyle name="Normal 2 10 7 2 2" xfId="2911"/>
    <cellStyle name="Normal 2 10 7 2 2 2" xfId="2912"/>
    <cellStyle name="Normal 2 10 7 2 3" xfId="2913"/>
    <cellStyle name="Normal 2 10 7 2 4" xfId="2914"/>
    <cellStyle name="Normal 2 10 7 2 5" xfId="2915"/>
    <cellStyle name="Normal 2 10 7 3" xfId="2916"/>
    <cellStyle name="Normal 2 10 7 3 2" xfId="2917"/>
    <cellStyle name="Normal 2 10 7 4" xfId="2918"/>
    <cellStyle name="Normal 2 10 7 5" xfId="2919"/>
    <cellStyle name="Normal 2 10 7 6" xfId="2920"/>
    <cellStyle name="Normal 2 10 8" xfId="2921"/>
    <cellStyle name="Normal 2 10 8 2" xfId="2922"/>
    <cellStyle name="Normal 2 10 8 2 2" xfId="2923"/>
    <cellStyle name="Normal 2 10 8 3" xfId="2924"/>
    <cellStyle name="Normal 2 10 8 4" xfId="2925"/>
    <cellStyle name="Normal 2 10 8 5" xfId="2926"/>
    <cellStyle name="Normal 2 10 9" xfId="2927"/>
    <cellStyle name="Normal 2 10 9 2" xfId="2928"/>
    <cellStyle name="Normal 2 10 9 2 2" xfId="2929"/>
    <cellStyle name="Normal 2 10 9 3" xfId="2930"/>
    <cellStyle name="Normal 2 10 9 4" xfId="2931"/>
    <cellStyle name="Normal 2 10 9 5" xfId="2932"/>
    <cellStyle name="Normal 2 11" xfId="2933"/>
    <cellStyle name="Normal 2 11 10" xfId="2934"/>
    <cellStyle name="Normal 2 11 11" xfId="2935"/>
    <cellStyle name="Normal 2 11 12" xfId="2936"/>
    <cellStyle name="Normal 2 11 2" xfId="2937"/>
    <cellStyle name="Normal 2 11 3" xfId="2938"/>
    <cellStyle name="Normal 2 11 3 2" xfId="2939"/>
    <cellStyle name="Normal 2 11 3 2 2" xfId="2940"/>
    <cellStyle name="Normal 2 11 3 2 2 2" xfId="2941"/>
    <cellStyle name="Normal 2 11 3 2 2 2 2" xfId="2942"/>
    <cellStyle name="Normal 2 11 3 2 2 3" xfId="2943"/>
    <cellStyle name="Normal 2 11 3 2 2 4" xfId="2944"/>
    <cellStyle name="Normal 2 11 3 2 2 5" xfId="2945"/>
    <cellStyle name="Normal 2 11 3 2 3" xfId="2946"/>
    <cellStyle name="Normal 2 11 3 2 3 2" xfId="2947"/>
    <cellStyle name="Normal 2 11 3 2 4" xfId="2948"/>
    <cellStyle name="Normal 2 11 3 2 5" xfId="2949"/>
    <cellStyle name="Normal 2 11 3 2 6" xfId="2950"/>
    <cellStyle name="Normal 2 11 3 3" xfId="2951"/>
    <cellStyle name="Normal 2 11 3 3 2" xfId="2952"/>
    <cellStyle name="Normal 2 11 3 3 2 2" xfId="2953"/>
    <cellStyle name="Normal 2 11 3 3 3" xfId="2954"/>
    <cellStyle name="Normal 2 11 3 3 4" xfId="2955"/>
    <cellStyle name="Normal 2 11 3 3 5" xfId="2956"/>
    <cellStyle name="Normal 2 11 3 4" xfId="2957"/>
    <cellStyle name="Normal 2 11 3 4 2" xfId="2958"/>
    <cellStyle name="Normal 2 11 3 5" xfId="2959"/>
    <cellStyle name="Normal 2 11 3 6" xfId="2960"/>
    <cellStyle name="Normal 2 11 3 7" xfId="2961"/>
    <cellStyle name="Normal 2 11 4" xfId="2962"/>
    <cellStyle name="Normal 2 11 4 2" xfId="2963"/>
    <cellStyle name="Normal 2 11 4 2 2" xfId="2964"/>
    <cellStyle name="Normal 2 11 4 2 2 2" xfId="2965"/>
    <cellStyle name="Normal 2 11 4 2 2 2 2" xfId="2966"/>
    <cellStyle name="Normal 2 11 4 2 2 3" xfId="2967"/>
    <cellStyle name="Normal 2 11 4 2 2 4" xfId="2968"/>
    <cellStyle name="Normal 2 11 4 2 2 5" xfId="2969"/>
    <cellStyle name="Normal 2 11 4 2 3" xfId="2970"/>
    <cellStyle name="Normal 2 11 4 2 3 2" xfId="2971"/>
    <cellStyle name="Normal 2 11 4 2 4" xfId="2972"/>
    <cellStyle name="Normal 2 11 4 2 5" xfId="2973"/>
    <cellStyle name="Normal 2 11 4 2 6" xfId="2974"/>
    <cellStyle name="Normal 2 11 4 3" xfId="2975"/>
    <cellStyle name="Normal 2 11 4 3 2" xfId="2976"/>
    <cellStyle name="Normal 2 11 4 3 2 2" xfId="2977"/>
    <cellStyle name="Normal 2 11 4 3 3" xfId="2978"/>
    <cellStyle name="Normal 2 11 4 3 4" xfId="2979"/>
    <cellStyle name="Normal 2 11 4 3 5" xfId="2980"/>
    <cellStyle name="Normal 2 11 4 4" xfId="2981"/>
    <cellStyle name="Normal 2 11 4 4 2" xfId="2982"/>
    <cellStyle name="Normal 2 11 4 5" xfId="2983"/>
    <cellStyle name="Normal 2 11 4 6" xfId="2984"/>
    <cellStyle name="Normal 2 11 4 7" xfId="2985"/>
    <cellStyle name="Normal 2 11 5" xfId="2986"/>
    <cellStyle name="Normal 2 11 5 2" xfId="2987"/>
    <cellStyle name="Normal 2 11 5 2 2" xfId="2988"/>
    <cellStyle name="Normal 2 11 5 2 2 2" xfId="2989"/>
    <cellStyle name="Normal 2 11 5 2 3" xfId="2990"/>
    <cellStyle name="Normal 2 11 5 2 4" xfId="2991"/>
    <cellStyle name="Normal 2 11 5 2 5" xfId="2992"/>
    <cellStyle name="Normal 2 11 5 3" xfId="2993"/>
    <cellStyle name="Normal 2 11 5 3 2" xfId="2994"/>
    <cellStyle name="Normal 2 11 5 4" xfId="2995"/>
    <cellStyle name="Normal 2 11 5 5" xfId="2996"/>
    <cellStyle name="Normal 2 11 5 6" xfId="2997"/>
    <cellStyle name="Normal 2 11 6" xfId="2998"/>
    <cellStyle name="Normal 2 11 6 2" xfId="2999"/>
    <cellStyle name="Normal 2 11 6 2 2" xfId="3000"/>
    <cellStyle name="Normal 2 11 6 2 2 2" xfId="3001"/>
    <cellStyle name="Normal 2 11 6 2 3" xfId="3002"/>
    <cellStyle name="Normal 2 11 6 2 4" xfId="3003"/>
    <cellStyle name="Normal 2 11 6 2 5" xfId="3004"/>
    <cellStyle name="Normal 2 11 6 3" xfId="3005"/>
    <cellStyle name="Normal 2 11 6 3 2" xfId="3006"/>
    <cellStyle name="Normal 2 11 6 4" xfId="3007"/>
    <cellStyle name="Normal 2 11 6 5" xfId="3008"/>
    <cellStyle name="Normal 2 11 6 6" xfId="3009"/>
    <cellStyle name="Normal 2 11 7" xfId="3010"/>
    <cellStyle name="Normal 2 11 7 2" xfId="3011"/>
    <cellStyle name="Normal 2 11 7 2 2" xfId="3012"/>
    <cellStyle name="Normal 2 11 7 3" xfId="3013"/>
    <cellStyle name="Normal 2 11 7 4" xfId="3014"/>
    <cellStyle name="Normal 2 11 7 5" xfId="3015"/>
    <cellStyle name="Normal 2 11 8" xfId="3016"/>
    <cellStyle name="Normal 2 11 8 2" xfId="3017"/>
    <cellStyle name="Normal 2 11 8 2 2" xfId="3018"/>
    <cellStyle name="Normal 2 11 8 3" xfId="3019"/>
    <cellStyle name="Normal 2 11 8 4" xfId="3020"/>
    <cellStyle name="Normal 2 11 8 5" xfId="3021"/>
    <cellStyle name="Normal 2 11 9" xfId="3022"/>
    <cellStyle name="Normal 2 11 9 2" xfId="3023"/>
    <cellStyle name="Normal 2 12" xfId="3024"/>
    <cellStyle name="Normal 2 12 10" xfId="3025"/>
    <cellStyle name="Normal 2 12 11" xfId="3026"/>
    <cellStyle name="Normal 2 12 2" xfId="3027"/>
    <cellStyle name="Normal 2 12 2 2" xfId="3028"/>
    <cellStyle name="Normal 2 12 2 2 2" xfId="3029"/>
    <cellStyle name="Normal 2 12 2 2 2 2" xfId="3030"/>
    <cellStyle name="Normal 2 12 2 2 2 2 2" xfId="3031"/>
    <cellStyle name="Normal 2 12 2 2 2 3" xfId="3032"/>
    <cellStyle name="Normal 2 12 2 2 2 4" xfId="3033"/>
    <cellStyle name="Normal 2 12 2 2 2 5" xfId="3034"/>
    <cellStyle name="Normal 2 12 2 2 3" xfId="3035"/>
    <cellStyle name="Normal 2 12 2 2 3 2" xfId="3036"/>
    <cellStyle name="Normal 2 12 2 2 4" xfId="3037"/>
    <cellStyle name="Normal 2 12 2 2 5" xfId="3038"/>
    <cellStyle name="Normal 2 12 2 2 6" xfId="3039"/>
    <cellStyle name="Normal 2 12 2 3" xfId="3040"/>
    <cellStyle name="Normal 2 12 2 3 2" xfId="3041"/>
    <cellStyle name="Normal 2 12 2 3 2 2" xfId="3042"/>
    <cellStyle name="Normal 2 12 2 3 3" xfId="3043"/>
    <cellStyle name="Normal 2 12 2 3 4" xfId="3044"/>
    <cellStyle name="Normal 2 12 2 3 5" xfId="3045"/>
    <cellStyle name="Normal 2 12 2 4" xfId="3046"/>
    <cellStyle name="Normal 2 12 2 4 2" xfId="3047"/>
    <cellStyle name="Normal 2 12 2 5" xfId="3048"/>
    <cellStyle name="Normal 2 12 2 6" xfId="3049"/>
    <cellStyle name="Normal 2 12 2 7" xfId="3050"/>
    <cellStyle name="Normal 2 12 3" xfId="3051"/>
    <cellStyle name="Normal 2 12 3 2" xfId="3052"/>
    <cellStyle name="Normal 2 12 3 2 2" xfId="3053"/>
    <cellStyle name="Normal 2 12 3 2 2 2" xfId="3054"/>
    <cellStyle name="Normal 2 12 3 2 2 2 2" xfId="3055"/>
    <cellStyle name="Normal 2 12 3 2 2 3" xfId="3056"/>
    <cellStyle name="Normal 2 12 3 2 2 4" xfId="3057"/>
    <cellStyle name="Normal 2 12 3 2 2 5" xfId="3058"/>
    <cellStyle name="Normal 2 12 3 2 3" xfId="3059"/>
    <cellStyle name="Normal 2 12 3 2 3 2" xfId="3060"/>
    <cellStyle name="Normal 2 12 3 2 4" xfId="3061"/>
    <cellStyle name="Normal 2 12 3 2 5" xfId="3062"/>
    <cellStyle name="Normal 2 12 3 2 6" xfId="3063"/>
    <cellStyle name="Normal 2 12 3 3" xfId="3064"/>
    <cellStyle name="Normal 2 12 3 3 2" xfId="3065"/>
    <cellStyle name="Normal 2 12 3 3 2 2" xfId="3066"/>
    <cellStyle name="Normal 2 12 3 3 3" xfId="3067"/>
    <cellStyle name="Normal 2 12 3 3 4" xfId="3068"/>
    <cellStyle name="Normal 2 12 3 3 5" xfId="3069"/>
    <cellStyle name="Normal 2 12 3 4" xfId="3070"/>
    <cellStyle name="Normal 2 12 3 4 2" xfId="3071"/>
    <cellStyle name="Normal 2 12 3 5" xfId="3072"/>
    <cellStyle name="Normal 2 12 3 6" xfId="3073"/>
    <cellStyle name="Normal 2 12 3 7" xfId="3074"/>
    <cellStyle name="Normal 2 12 4" xfId="3075"/>
    <cellStyle name="Normal 2 12 4 2" xfId="3076"/>
    <cellStyle name="Normal 2 12 4 2 2" xfId="3077"/>
    <cellStyle name="Normal 2 12 4 2 2 2" xfId="3078"/>
    <cellStyle name="Normal 2 12 4 2 3" xfId="3079"/>
    <cellStyle name="Normal 2 12 4 2 4" xfId="3080"/>
    <cellStyle name="Normal 2 12 4 2 5" xfId="3081"/>
    <cellStyle name="Normal 2 12 4 3" xfId="3082"/>
    <cellStyle name="Normal 2 12 4 3 2" xfId="3083"/>
    <cellStyle name="Normal 2 12 4 4" xfId="3084"/>
    <cellStyle name="Normal 2 12 4 5" xfId="3085"/>
    <cellStyle name="Normal 2 12 4 6" xfId="3086"/>
    <cellStyle name="Normal 2 12 5" xfId="3087"/>
    <cellStyle name="Normal 2 12 5 2" xfId="3088"/>
    <cellStyle name="Normal 2 12 5 2 2" xfId="3089"/>
    <cellStyle name="Normal 2 12 5 2 2 2" xfId="3090"/>
    <cellStyle name="Normal 2 12 5 2 3" xfId="3091"/>
    <cellStyle name="Normal 2 12 5 2 4" xfId="3092"/>
    <cellStyle name="Normal 2 12 5 2 5" xfId="3093"/>
    <cellStyle name="Normal 2 12 5 3" xfId="3094"/>
    <cellStyle name="Normal 2 12 5 3 2" xfId="3095"/>
    <cellStyle name="Normal 2 12 5 4" xfId="3096"/>
    <cellStyle name="Normal 2 12 5 5" xfId="3097"/>
    <cellStyle name="Normal 2 12 5 6" xfId="3098"/>
    <cellStyle name="Normal 2 12 6" xfId="3099"/>
    <cellStyle name="Normal 2 12 6 2" xfId="3100"/>
    <cellStyle name="Normal 2 12 6 2 2" xfId="3101"/>
    <cellStyle name="Normal 2 12 6 3" xfId="3102"/>
    <cellStyle name="Normal 2 12 6 4" xfId="3103"/>
    <cellStyle name="Normal 2 12 6 5" xfId="3104"/>
    <cellStyle name="Normal 2 12 7" xfId="3105"/>
    <cellStyle name="Normal 2 12 7 2" xfId="3106"/>
    <cellStyle name="Normal 2 12 7 2 2" xfId="3107"/>
    <cellStyle name="Normal 2 12 7 3" xfId="3108"/>
    <cellStyle name="Normal 2 12 7 4" xfId="3109"/>
    <cellStyle name="Normal 2 12 7 5" xfId="3110"/>
    <cellStyle name="Normal 2 12 8" xfId="3111"/>
    <cellStyle name="Normal 2 12 8 2" xfId="3112"/>
    <cellStyle name="Normal 2 12 9" xfId="3113"/>
    <cellStyle name="Normal 2 13" xfId="3114"/>
    <cellStyle name="Normal 2 13 10" xfId="3115"/>
    <cellStyle name="Normal 2 13 10 2" xfId="3116"/>
    <cellStyle name="Normal 2 13 11" xfId="3117"/>
    <cellStyle name="Normal 2 13 12" xfId="3118"/>
    <cellStyle name="Normal 2 13 13" xfId="3119"/>
    <cellStyle name="Normal 2 13 2" xfId="3120"/>
    <cellStyle name="Normal 2 13 2 2" xfId="3121"/>
    <cellStyle name="Normal 2 13 2 3" xfId="3122"/>
    <cellStyle name="Normal 2 13 2 4" xfId="3123"/>
    <cellStyle name="Normal 2 13 3" xfId="3124"/>
    <cellStyle name="Normal 2 13 3 2" xfId="3125"/>
    <cellStyle name="Normal 2 13 3 2 2" xfId="3126"/>
    <cellStyle name="Normal 2 13 3 2 2 2" xfId="3127"/>
    <cellStyle name="Normal 2 13 3 2 2 2 2" xfId="3128"/>
    <cellStyle name="Normal 2 13 3 2 2 3" xfId="3129"/>
    <cellStyle name="Normal 2 13 3 2 2 4" xfId="3130"/>
    <cellStyle name="Normal 2 13 3 2 2 5" xfId="3131"/>
    <cellStyle name="Normal 2 13 3 2 3" xfId="3132"/>
    <cellStyle name="Normal 2 13 3 2 3 2" xfId="3133"/>
    <cellStyle name="Normal 2 13 3 2 4" xfId="3134"/>
    <cellStyle name="Normal 2 13 3 2 5" xfId="3135"/>
    <cellStyle name="Normal 2 13 3 2 6" xfId="3136"/>
    <cellStyle name="Normal 2 13 3 3" xfId="3137"/>
    <cellStyle name="Normal 2 13 3 3 2" xfId="3138"/>
    <cellStyle name="Normal 2 13 3 3 2 2" xfId="3139"/>
    <cellStyle name="Normal 2 13 3 3 3" xfId="3140"/>
    <cellStyle name="Normal 2 13 3 3 4" xfId="3141"/>
    <cellStyle name="Normal 2 13 3 3 5" xfId="3142"/>
    <cellStyle name="Normal 2 13 3 4" xfId="3143"/>
    <cellStyle name="Normal 2 13 3 4 2" xfId="3144"/>
    <cellStyle name="Normal 2 13 3 5" xfId="3145"/>
    <cellStyle name="Normal 2 13 3 6" xfId="3146"/>
    <cellStyle name="Normal 2 13 3 7" xfId="3147"/>
    <cellStyle name="Normal 2 13 4" xfId="3148"/>
    <cellStyle name="Normal 2 13 4 2" xfId="3149"/>
    <cellStyle name="Normal 2 13 4 2 2" xfId="3150"/>
    <cellStyle name="Normal 2 13 4 2 2 2" xfId="3151"/>
    <cellStyle name="Normal 2 13 4 2 2 2 2" xfId="3152"/>
    <cellStyle name="Normal 2 13 4 2 2 3" xfId="3153"/>
    <cellStyle name="Normal 2 13 4 2 2 4" xfId="3154"/>
    <cellStyle name="Normal 2 13 4 2 2 5" xfId="3155"/>
    <cellStyle name="Normal 2 13 4 2 3" xfId="3156"/>
    <cellStyle name="Normal 2 13 4 2 3 2" xfId="3157"/>
    <cellStyle name="Normal 2 13 4 2 4" xfId="3158"/>
    <cellStyle name="Normal 2 13 4 2 5" xfId="3159"/>
    <cellStyle name="Normal 2 13 4 2 6" xfId="3160"/>
    <cellStyle name="Normal 2 13 4 3" xfId="3161"/>
    <cellStyle name="Normal 2 13 4 3 2" xfId="3162"/>
    <cellStyle name="Normal 2 13 4 3 2 2" xfId="3163"/>
    <cellStyle name="Normal 2 13 4 3 3" xfId="3164"/>
    <cellStyle name="Normal 2 13 4 3 4" xfId="3165"/>
    <cellStyle name="Normal 2 13 4 3 5" xfId="3166"/>
    <cellStyle name="Normal 2 13 4 4" xfId="3167"/>
    <cellStyle name="Normal 2 13 4 4 2" xfId="3168"/>
    <cellStyle name="Normal 2 13 4 5" xfId="3169"/>
    <cellStyle name="Normal 2 13 4 6" xfId="3170"/>
    <cellStyle name="Normal 2 13 4 7" xfId="3171"/>
    <cellStyle name="Normal 2 13 5" xfId="3172"/>
    <cellStyle name="Normal 2 13 5 2" xfId="3173"/>
    <cellStyle name="Normal 2 13 5 2 2" xfId="3174"/>
    <cellStyle name="Normal 2 13 5 2 2 2" xfId="3175"/>
    <cellStyle name="Normal 2 13 5 2 3" xfId="3176"/>
    <cellStyle name="Normal 2 13 5 2 4" xfId="3177"/>
    <cellStyle name="Normal 2 13 5 2 5" xfId="3178"/>
    <cellStyle name="Normal 2 13 5 3" xfId="3179"/>
    <cellStyle name="Normal 2 13 5 3 2" xfId="3180"/>
    <cellStyle name="Normal 2 13 5 4" xfId="3181"/>
    <cellStyle name="Normal 2 13 5 5" xfId="3182"/>
    <cellStyle name="Normal 2 13 5 6" xfId="3183"/>
    <cellStyle name="Normal 2 13 6" xfId="3184"/>
    <cellStyle name="Normal 2 13 6 2" xfId="3185"/>
    <cellStyle name="Normal 2 13 6 2 2" xfId="3186"/>
    <cellStyle name="Normal 2 13 6 2 2 2" xfId="3187"/>
    <cellStyle name="Normal 2 13 6 2 3" xfId="3188"/>
    <cellStyle name="Normal 2 13 6 2 4" xfId="3189"/>
    <cellStyle name="Normal 2 13 6 2 5" xfId="3190"/>
    <cellStyle name="Normal 2 13 6 3" xfId="3191"/>
    <cellStyle name="Normal 2 13 6 3 2" xfId="3192"/>
    <cellStyle name="Normal 2 13 6 4" xfId="3193"/>
    <cellStyle name="Normal 2 13 6 5" xfId="3194"/>
    <cellStyle name="Normal 2 13 6 6" xfId="3195"/>
    <cellStyle name="Normal 2 13 7" xfId="3196"/>
    <cellStyle name="Normal 2 13 7 2" xfId="3197"/>
    <cellStyle name="Normal 2 13 7 2 2" xfId="3198"/>
    <cellStyle name="Normal 2 13 7 3" xfId="3199"/>
    <cellStyle name="Normal 2 13 7 4" xfId="3200"/>
    <cellStyle name="Normal 2 13 7 5" xfId="3201"/>
    <cellStyle name="Normal 2 13 8" xfId="3202"/>
    <cellStyle name="Normal 2 13 8 2" xfId="3203"/>
    <cellStyle name="Normal 2 13 8 2 2" xfId="3204"/>
    <cellStyle name="Normal 2 13 8 3" xfId="3205"/>
    <cellStyle name="Normal 2 13 8 4" xfId="3206"/>
    <cellStyle name="Normal 2 13 8 5" xfId="3207"/>
    <cellStyle name="Normal 2 13 9" xfId="3208"/>
    <cellStyle name="Normal 2 13 9 2" xfId="3209"/>
    <cellStyle name="Normal 2 13 9 2 2" xfId="3210"/>
    <cellStyle name="Normal 2 13 9 3" xfId="3211"/>
    <cellStyle name="Normal 2 13 9 4" xfId="3212"/>
    <cellStyle name="Normal 2 13 9 5" xfId="3213"/>
    <cellStyle name="Normal 2 14" xfId="3214"/>
    <cellStyle name="Normal 2 15" xfId="3215"/>
    <cellStyle name="Normal 2 15 2" xfId="3216"/>
    <cellStyle name="Normal 2 15 2 2" xfId="3217"/>
    <cellStyle name="Normal 2 15 2 2 2" xfId="3218"/>
    <cellStyle name="Normal 2 15 2 2 2 2" xfId="3219"/>
    <cellStyle name="Normal 2 15 2 2 3" xfId="3220"/>
    <cellStyle name="Normal 2 15 2 2 4" xfId="3221"/>
    <cellStyle name="Normal 2 15 2 2 5" xfId="3222"/>
    <cellStyle name="Normal 2 15 2 3" xfId="3223"/>
    <cellStyle name="Normal 2 15 2 3 2" xfId="3224"/>
    <cellStyle name="Normal 2 15 2 4" xfId="3225"/>
    <cellStyle name="Normal 2 15 2 5" xfId="3226"/>
    <cellStyle name="Normal 2 15 2 6" xfId="3227"/>
    <cellStyle name="Normal 2 15 3" xfId="3228"/>
    <cellStyle name="Normal 2 15 3 2" xfId="3229"/>
    <cellStyle name="Normal 2 15 3 2 2" xfId="3230"/>
    <cellStyle name="Normal 2 15 3 3" xfId="3231"/>
    <cellStyle name="Normal 2 15 3 4" xfId="3232"/>
    <cellStyle name="Normal 2 15 3 5" xfId="3233"/>
    <cellStyle name="Normal 2 15 4" xfId="3234"/>
    <cellStyle name="Normal 2 15 4 2" xfId="3235"/>
    <cellStyle name="Normal 2 15 5" xfId="3236"/>
    <cellStyle name="Normal 2 15 6" xfId="3237"/>
    <cellStyle name="Normal 2 15 7" xfId="3238"/>
    <cellStyle name="Normal 2 16" xfId="3239"/>
    <cellStyle name="Normal 2 16 2" xfId="3240"/>
    <cellStyle name="Normal 2 16 2 2" xfId="3241"/>
    <cellStyle name="Normal 2 16 2 2 2" xfId="3242"/>
    <cellStyle name="Normal 2 16 2 2 2 2" xfId="3243"/>
    <cellStyle name="Normal 2 16 2 2 3" xfId="3244"/>
    <cellStyle name="Normal 2 16 2 2 4" xfId="3245"/>
    <cellStyle name="Normal 2 16 2 2 5" xfId="3246"/>
    <cellStyle name="Normal 2 16 2 3" xfId="3247"/>
    <cellStyle name="Normal 2 16 2 3 2" xfId="3248"/>
    <cellStyle name="Normal 2 16 2 4" xfId="3249"/>
    <cellStyle name="Normal 2 16 2 5" xfId="3250"/>
    <cellStyle name="Normal 2 16 2 6" xfId="3251"/>
    <cellStyle name="Normal 2 16 3" xfId="3252"/>
    <cellStyle name="Normal 2 16 3 2" xfId="3253"/>
    <cellStyle name="Normal 2 16 3 2 2" xfId="3254"/>
    <cellStyle name="Normal 2 16 3 3" xfId="3255"/>
    <cellStyle name="Normal 2 16 3 4" xfId="3256"/>
    <cellStyle name="Normal 2 16 3 5" xfId="3257"/>
    <cellStyle name="Normal 2 16 4" xfId="3258"/>
    <cellStyle name="Normal 2 16 4 2" xfId="3259"/>
    <cellStyle name="Normal 2 16 5" xfId="3260"/>
    <cellStyle name="Normal 2 16 6" xfId="3261"/>
    <cellStyle name="Normal 2 16 7" xfId="3262"/>
    <cellStyle name="Normal 2 17" xfId="3263"/>
    <cellStyle name="Normal 2 17 2" xfId="3264"/>
    <cellStyle name="Normal 2 17 2 2" xfId="3265"/>
    <cellStyle name="Normal 2 17 2 2 2" xfId="3266"/>
    <cellStyle name="Normal 2 17 2 2 2 2" xfId="3267"/>
    <cellStyle name="Normal 2 17 2 2 3" xfId="3268"/>
    <cellStyle name="Normal 2 17 2 2 4" xfId="3269"/>
    <cellStyle name="Normal 2 17 2 2 5" xfId="3270"/>
    <cellStyle name="Normal 2 17 2 3" xfId="3271"/>
    <cellStyle name="Normal 2 17 2 3 2" xfId="3272"/>
    <cellStyle name="Normal 2 17 2 4" xfId="3273"/>
    <cellStyle name="Normal 2 17 2 5" xfId="3274"/>
    <cellStyle name="Normal 2 17 2 6" xfId="3275"/>
    <cellStyle name="Normal 2 17 3" xfId="3276"/>
    <cellStyle name="Normal 2 17 3 2" xfId="3277"/>
    <cellStyle name="Normal 2 17 3 2 2" xfId="3278"/>
    <cellStyle name="Normal 2 17 3 3" xfId="3279"/>
    <cellStyle name="Normal 2 17 3 4" xfId="3280"/>
    <cellStyle name="Normal 2 17 3 5" xfId="3281"/>
    <cellStyle name="Normal 2 17 4" xfId="3282"/>
    <cellStyle name="Normal 2 17 4 2" xfId="3283"/>
    <cellStyle name="Normal 2 17 5" xfId="3284"/>
    <cellStyle name="Normal 2 17 6" xfId="3285"/>
    <cellStyle name="Normal 2 17 7" xfId="3286"/>
    <cellStyle name="Normal 2 18" xfId="3287"/>
    <cellStyle name="Normal 2 18 2" xfId="3288"/>
    <cellStyle name="Normal 2 18 2 2" xfId="3289"/>
    <cellStyle name="Normal 2 18 2 2 2" xfId="3290"/>
    <cellStyle name="Normal 2 18 2 3" xfId="3291"/>
    <cellStyle name="Normal 2 18 2 4" xfId="3292"/>
    <cellStyle name="Normal 2 18 2 5" xfId="3293"/>
    <cellStyle name="Normal 2 18 3" xfId="3294"/>
    <cellStyle name="Normal 2 18 3 2" xfId="3295"/>
    <cellStyle name="Normal 2 18 4" xfId="3296"/>
    <cellStyle name="Normal 2 18 5" xfId="3297"/>
    <cellStyle name="Normal 2 18 6" xfId="3298"/>
    <cellStyle name="Normal 2 19" xfId="3299"/>
    <cellStyle name="Normal 2 19 2" xfId="3300"/>
    <cellStyle name="Normal 2 19 2 2" xfId="3301"/>
    <cellStyle name="Normal 2 19 2 2 2" xfId="3302"/>
    <cellStyle name="Normal 2 19 2 3" xfId="3303"/>
    <cellStyle name="Normal 2 19 2 4" xfId="3304"/>
    <cellStyle name="Normal 2 19 2 5" xfId="3305"/>
    <cellStyle name="Normal 2 19 3" xfId="3306"/>
    <cellStyle name="Normal 2 19 3 2" xfId="3307"/>
    <cellStyle name="Normal 2 19 4" xfId="3308"/>
    <cellStyle name="Normal 2 19 5" xfId="3309"/>
    <cellStyle name="Normal 2 19 6" xfId="3310"/>
    <cellStyle name="Normal 2 2" xfId="3311"/>
    <cellStyle name="Normal 2 2 2" xfId="3312"/>
    <cellStyle name="Normal 2 2 2 2" xfId="3313"/>
    <cellStyle name="Normal 2 2 2 2 2" xfId="3314"/>
    <cellStyle name="Normal 2 2 2 2 2 2" xfId="3315"/>
    <cellStyle name="Normal 2 2 2 2 3" xfId="3316"/>
    <cellStyle name="Normal 2 2 2 2 4" xfId="3317"/>
    <cellStyle name="Normal 2 2 2 2 5" xfId="3318"/>
    <cellStyle name="Normal 2 2 2 3" xfId="3319"/>
    <cellStyle name="Normal 2 2 2 3 2" xfId="3320"/>
    <cellStyle name="Normal 2 2 2 4" xfId="3321"/>
    <cellStyle name="Normal 2 2 2 4 2" xfId="3322"/>
    <cellStyle name="Normal 2 2 2 5" xfId="3323"/>
    <cellStyle name="Normal 2 2 2 5 2" xfId="3324"/>
    <cellStyle name="Normal 2 2 2 6" xfId="3325"/>
    <cellStyle name="Normal 2 2 2 7" xfId="3326"/>
    <cellStyle name="Normal 2 2 3" xfId="3327"/>
    <cellStyle name="Normal 2 2 3 2" xfId="3328"/>
    <cellStyle name="Normal 2 2 3 3" xfId="3329"/>
    <cellStyle name="Normal 2 2 3 4" xfId="3330"/>
    <cellStyle name="Normal 2 2 3 5" xfId="3331"/>
    <cellStyle name="Normal 2 2 4" xfId="3332"/>
    <cellStyle name="Normal 2 2 4 2" xfId="3333"/>
    <cellStyle name="Normal 2 2 5" xfId="3334"/>
    <cellStyle name="Normal 2 2 5 2" xfId="3335"/>
    <cellStyle name="Normal 2 2 5 2 2" xfId="3336"/>
    <cellStyle name="Normal 2 2 6" xfId="3337"/>
    <cellStyle name="Normal 2 2 6 2" xfId="3338"/>
    <cellStyle name="Normal 2 2 7" xfId="3339"/>
    <cellStyle name="Normal 2 20" xfId="3340"/>
    <cellStyle name="Normal 2 20 2" xfId="3341"/>
    <cellStyle name="Normal 2 20 2 2" xfId="3342"/>
    <cellStyle name="Normal 2 20 2 2 2" xfId="3343"/>
    <cellStyle name="Normal 2 20 2 3" xfId="3344"/>
    <cellStyle name="Normal 2 20 2 4" xfId="3345"/>
    <cellStyle name="Normal 2 20 2 5" xfId="3346"/>
    <cellStyle name="Normal 2 20 3" xfId="3347"/>
    <cellStyle name="Normal 2 20 3 2" xfId="3348"/>
    <cellStyle name="Normal 2 20 4" xfId="3349"/>
    <cellStyle name="Normal 2 20 5" xfId="3350"/>
    <cellStyle name="Normal 2 20 6" xfId="3351"/>
    <cellStyle name="Normal 2 21" xfId="3352"/>
    <cellStyle name="Normal 2 21 2" xfId="3353"/>
    <cellStyle name="Normal 2 21 2 2" xfId="3354"/>
    <cellStyle name="Normal 2 21 2 2 2" xfId="3355"/>
    <cellStyle name="Normal 2 21 2 3" xfId="3356"/>
    <cellStyle name="Normal 2 21 2 4" xfId="3357"/>
    <cellStyle name="Normal 2 21 2 5" xfId="3358"/>
    <cellStyle name="Normal 2 21 3" xfId="3359"/>
    <cellStyle name="Normal 2 21 3 2" xfId="3360"/>
    <cellStyle name="Normal 2 21 4" xfId="3361"/>
    <cellStyle name="Normal 2 21 5" xfId="3362"/>
    <cellStyle name="Normal 2 21 6" xfId="3363"/>
    <cellStyle name="Normal 2 22" xfId="3364"/>
    <cellStyle name="Normal 2 22 2" xfId="3365"/>
    <cellStyle name="Normal 2 22 2 2" xfId="3366"/>
    <cellStyle name="Normal 2 22 3" xfId="3367"/>
    <cellStyle name="Normal 2 22 4" xfId="3368"/>
    <cellStyle name="Normal 2 22 5" xfId="3369"/>
    <cellStyle name="Normal 2 23" xfId="3370"/>
    <cellStyle name="Normal 2 23 2" xfId="3371"/>
    <cellStyle name="Normal 2 23 2 2" xfId="3372"/>
    <cellStyle name="Normal 2 23 3" xfId="3373"/>
    <cellStyle name="Normal 2 23 4" xfId="3374"/>
    <cellStyle name="Normal 2 23 5" xfId="3375"/>
    <cellStyle name="Normal 2 24" xfId="3376"/>
    <cellStyle name="Normal 2 24 2" xfId="3377"/>
    <cellStyle name="Normal 2 24 2 2" xfId="3378"/>
    <cellStyle name="Normal 2 24 3" xfId="3379"/>
    <cellStyle name="Normal 2 24 4" xfId="3380"/>
    <cellStyle name="Normal 2 24 5" xfId="3381"/>
    <cellStyle name="Normal 2 25" xfId="3382"/>
    <cellStyle name="Normal 2 25 2" xfId="3383"/>
    <cellStyle name="Normal 2 25 2 2" xfId="3384"/>
    <cellStyle name="Normal 2 25 3" xfId="3385"/>
    <cellStyle name="Normal 2 25 4" xfId="3386"/>
    <cellStyle name="Normal 2 25 5" xfId="3387"/>
    <cellStyle name="Normal 2 26" xfId="3388"/>
    <cellStyle name="Normal 2 26 2" xfId="3389"/>
    <cellStyle name="Normal 2 26 2 2" xfId="3390"/>
    <cellStyle name="Normal 2 26 3" xfId="3391"/>
    <cellStyle name="Normal 2 26 4" xfId="3392"/>
    <cellStyle name="Normal 2 26 5" xfId="3393"/>
    <cellStyle name="Normal 2 27" xfId="3394"/>
    <cellStyle name="Normal 2 27 2" xfId="3395"/>
    <cellStyle name="Normal 2 28" xfId="3396"/>
    <cellStyle name="Normal 2 28 2" xfId="3397"/>
    <cellStyle name="Normal 2 29" xfId="3398"/>
    <cellStyle name="Normal 2 29 2" xfId="3399"/>
    <cellStyle name="Normal 2 3" xfId="3400"/>
    <cellStyle name="Normal 2 3 2" xfId="3401"/>
    <cellStyle name="Normal 2 3 2 2" xfId="3402"/>
    <cellStyle name="Normal 2 3 2 2 2" xfId="3403"/>
    <cellStyle name="Normal 2 3 2 2 2 2" xfId="3404"/>
    <cellStyle name="Normal 2 3 2 2 3" xfId="3405"/>
    <cellStyle name="Normal 2 3 2 2 4" xfId="3406"/>
    <cellStyle name="Normal 2 3 2 2 5" xfId="3407"/>
    <cellStyle name="Normal 2 3 2 3" xfId="3408"/>
    <cellStyle name="Normal 2 3 2 3 2" xfId="3409"/>
    <cellStyle name="Normal 2 3 2 4" xfId="3410"/>
    <cellStyle name="Normal 2 3 2 4 2" xfId="3411"/>
    <cellStyle name="Normal 2 3 2 5" xfId="3412"/>
    <cellStyle name="Normal 2 3 2 5 2" xfId="3413"/>
    <cellStyle name="Normal 2 3 2 6" xfId="3414"/>
    <cellStyle name="Normal 2 3 2 7" xfId="3415"/>
    <cellStyle name="Normal 2 3 3" xfId="3416"/>
    <cellStyle name="Normal 2 3 3 2" xfId="3417"/>
    <cellStyle name="Normal 2 3 3 3" xfId="3418"/>
    <cellStyle name="Normal 2 3 3 4" xfId="3419"/>
    <cellStyle name="Normal 2 3 3 5" xfId="3420"/>
    <cellStyle name="Normal 2 3 4" xfId="3421"/>
    <cellStyle name="Normal 2 3 4 2" xfId="3422"/>
    <cellStyle name="Normal 2 3 4 2 2" xfId="3423"/>
    <cellStyle name="Normal 2 3 4 3" xfId="3424"/>
    <cellStyle name="Normal 2 3 4 4" xfId="3425"/>
    <cellStyle name="Normal 2 3 4 5" xfId="3426"/>
    <cellStyle name="Normal 2 3 5" xfId="3427"/>
    <cellStyle name="Normal 2 3 5 2" xfId="3428"/>
    <cellStyle name="Normal 2 3 6" xfId="3429"/>
    <cellStyle name="Normal 2 3 6 2" xfId="3430"/>
    <cellStyle name="Normal 2 3 7" xfId="3431"/>
    <cellStyle name="Normal 2 3 8" xfId="3432"/>
    <cellStyle name="Normal 2 30" xfId="3433"/>
    <cellStyle name="Normal 2 30 2" xfId="3434"/>
    <cellStyle name="Normal 2 31" xfId="3435"/>
    <cellStyle name="Normal 2 31 2" xfId="3436"/>
    <cellStyle name="Normal 2 32" xfId="3437"/>
    <cellStyle name="Normal 2 33" xfId="3438"/>
    <cellStyle name="Normal 2 34" xfId="3439"/>
    <cellStyle name="Normal 2 34 2" xfId="3440"/>
    <cellStyle name="Normal 2 35" xfId="3441"/>
    <cellStyle name="Normal 2 4" xfId="3442"/>
    <cellStyle name="Normal 2 4 2" xfId="3443"/>
    <cellStyle name="Normal 2 4 2 2" xfId="3444"/>
    <cellStyle name="Normal 2 4 2 2 2" xfId="3445"/>
    <cellStyle name="Normal 2 4 2 3" xfId="3446"/>
    <cellStyle name="Normal 2 4 2 3 2" xfId="3447"/>
    <cellStyle name="Normal 2 4 2 4" xfId="3448"/>
    <cellStyle name="Normal 2 4 2 4 2" xfId="3449"/>
    <cellStyle name="Normal 2 4 2 5" xfId="3450"/>
    <cellStyle name="Normal 2 4 2 5 2" xfId="3451"/>
    <cellStyle name="Normal 2 4 2 6" xfId="3452"/>
    <cellStyle name="Normal 2 4 2 7" xfId="3453"/>
    <cellStyle name="Normal 2 4 3" xfId="3454"/>
    <cellStyle name="Normal 2 4 3 2" xfId="3455"/>
    <cellStyle name="Normal 2 4 3 2 2" xfId="3456"/>
    <cellStyle name="Normal 2 4 3 2 2 2" xfId="3457"/>
    <cellStyle name="Normal 2 4 3 3" xfId="3458"/>
    <cellStyle name="Normal 2 4 3 4" xfId="3459"/>
    <cellStyle name="Normal 2 4 3 5" xfId="3460"/>
    <cellStyle name="Normal 2 4 4" xfId="3461"/>
    <cellStyle name="Normal 2 4 4 2" xfId="3462"/>
    <cellStyle name="Normal 2 4 5" xfId="3463"/>
    <cellStyle name="Normal 2 4 5 2" xfId="3464"/>
    <cellStyle name="Normal 2 4 6" xfId="3465"/>
    <cellStyle name="Normal 2 4 7" xfId="3466"/>
    <cellStyle name="Normal 2 46" xfId="3467"/>
    <cellStyle name="Normal 2 47" xfId="3468"/>
    <cellStyle name="Normal 2 5" xfId="3469"/>
    <cellStyle name="Normal 2 5 2" xfId="3470"/>
    <cellStyle name="Normal 2 5 2 2" xfId="3471"/>
    <cellStyle name="Normal 2 5 2 3" xfId="3472"/>
    <cellStyle name="Normal 2 5 2 4" xfId="3473"/>
    <cellStyle name="Normal 2 5 2 5" xfId="3474"/>
    <cellStyle name="Normal 2 5 3" xfId="3475"/>
    <cellStyle name="Normal 2 5 3 2" xfId="3476"/>
    <cellStyle name="Normal 2 5 4" xfId="3477"/>
    <cellStyle name="Normal 2 5 4 2" xfId="3478"/>
    <cellStyle name="Normal 2 5 5" xfId="3479"/>
    <cellStyle name="Normal 2 5 5 2" xfId="3480"/>
    <cellStyle name="Normal 2 5 6" xfId="3481"/>
    <cellStyle name="Normal 2 5 7" xfId="3482"/>
    <cellStyle name="Normal 2 6" xfId="3483"/>
    <cellStyle name="Normal 2 6 2" xfId="3484"/>
    <cellStyle name="Normal 2 6 3" xfId="3485"/>
    <cellStyle name="Normal 2 6 4" xfId="3486"/>
    <cellStyle name="Normal 2 6 5" xfId="3487"/>
    <cellStyle name="Normal 2 7" xfId="3488"/>
    <cellStyle name="Normal 2 7 10" xfId="3489"/>
    <cellStyle name="Normal 2 7 10 2" xfId="3490"/>
    <cellStyle name="Normal 2 7 10 2 2" xfId="3491"/>
    <cellStyle name="Normal 2 7 10 2 2 2" xfId="3492"/>
    <cellStyle name="Normal 2 7 10 2 3" xfId="3493"/>
    <cellStyle name="Normal 2 7 10 2 4" xfId="3494"/>
    <cellStyle name="Normal 2 7 10 2 5" xfId="3495"/>
    <cellStyle name="Normal 2 7 10 3" xfId="3496"/>
    <cellStyle name="Normal 2 7 10 3 2" xfId="3497"/>
    <cellStyle name="Normal 2 7 10 4" xfId="3498"/>
    <cellStyle name="Normal 2 7 10 5" xfId="3499"/>
    <cellStyle name="Normal 2 7 10 6" xfId="3500"/>
    <cellStyle name="Normal 2 7 11" xfId="3501"/>
    <cellStyle name="Normal 2 7 11 2" xfId="3502"/>
    <cellStyle name="Normal 2 7 11 2 2" xfId="3503"/>
    <cellStyle name="Normal 2 7 11 3" xfId="3504"/>
    <cellStyle name="Normal 2 7 11 4" xfId="3505"/>
    <cellStyle name="Normal 2 7 11 5" xfId="3506"/>
    <cellStyle name="Normal 2 7 12" xfId="3507"/>
    <cellStyle name="Normal 2 7 12 2" xfId="3508"/>
    <cellStyle name="Normal 2 7 12 3" xfId="3509"/>
    <cellStyle name="Normal 2 7 12 4" xfId="3510"/>
    <cellStyle name="Normal 2 7 13" xfId="3511"/>
    <cellStyle name="Normal 2 7 13 2" xfId="3512"/>
    <cellStyle name="Normal 2 7 13 2 2" xfId="3513"/>
    <cellStyle name="Normal 2 7 13 3" xfId="3514"/>
    <cellStyle name="Normal 2 7 13 4" xfId="3515"/>
    <cellStyle name="Normal 2 7 13 5" xfId="3516"/>
    <cellStyle name="Normal 2 7 14" xfId="3517"/>
    <cellStyle name="Normal 2 7 14 2" xfId="3518"/>
    <cellStyle name="Normal 2 7 15" xfId="3519"/>
    <cellStyle name="Normal 2 7 15 2" xfId="3520"/>
    <cellStyle name="Normal 2 7 16" xfId="3521"/>
    <cellStyle name="Normal 2 7 17" xfId="3522"/>
    <cellStyle name="Normal 2 7 18" xfId="3523"/>
    <cellStyle name="Normal 2 7 2" xfId="3524"/>
    <cellStyle name="Normal 2 7 2 10" xfId="3525"/>
    <cellStyle name="Normal 2 7 2 10 2" xfId="3526"/>
    <cellStyle name="Normal 2 7 2 11" xfId="3527"/>
    <cellStyle name="Normal 2 7 2 12" xfId="3528"/>
    <cellStyle name="Normal 2 7 2 13" xfId="3529"/>
    <cellStyle name="Normal 2 7 2 2" xfId="3530"/>
    <cellStyle name="Normal 2 7 2 2 2" xfId="3531"/>
    <cellStyle name="Normal 2 7 2 2 2 2" xfId="3532"/>
    <cellStyle name="Normal 2 7 2 2 3" xfId="3533"/>
    <cellStyle name="Normal 2 7 2 2 3 2" xfId="3534"/>
    <cellStyle name="Normal 2 7 2 2 4" xfId="3535"/>
    <cellStyle name="Normal 2 7 2 2 4 2" xfId="3536"/>
    <cellStyle name="Normal 2 7 2 2 5" xfId="3537"/>
    <cellStyle name="Normal 2 7 2 2 5 2" xfId="3538"/>
    <cellStyle name="Normal 2 7 2 3" xfId="3539"/>
    <cellStyle name="Normal 2 7 2 4" xfId="3540"/>
    <cellStyle name="Normal 2 7 2 4 2" xfId="3541"/>
    <cellStyle name="Normal 2 7 2 4 2 2" xfId="3542"/>
    <cellStyle name="Normal 2 7 2 4 2 2 2" xfId="3543"/>
    <cellStyle name="Normal 2 7 2 4 2 2 2 2" xfId="3544"/>
    <cellStyle name="Normal 2 7 2 4 2 2 3" xfId="3545"/>
    <cellStyle name="Normal 2 7 2 4 2 2 4" xfId="3546"/>
    <cellStyle name="Normal 2 7 2 4 2 2 5" xfId="3547"/>
    <cellStyle name="Normal 2 7 2 4 2 3" xfId="3548"/>
    <cellStyle name="Normal 2 7 2 4 2 3 2" xfId="3549"/>
    <cellStyle name="Normal 2 7 2 4 2 4" xfId="3550"/>
    <cellStyle name="Normal 2 7 2 4 2 5" xfId="3551"/>
    <cellStyle name="Normal 2 7 2 4 2 6" xfId="3552"/>
    <cellStyle name="Normal 2 7 2 4 3" xfId="3553"/>
    <cellStyle name="Normal 2 7 2 4 3 2" xfId="3554"/>
    <cellStyle name="Normal 2 7 2 4 3 2 2" xfId="3555"/>
    <cellStyle name="Normal 2 7 2 4 3 3" xfId="3556"/>
    <cellStyle name="Normal 2 7 2 4 3 4" xfId="3557"/>
    <cellStyle name="Normal 2 7 2 4 3 5" xfId="3558"/>
    <cellStyle name="Normal 2 7 2 4 4" xfId="3559"/>
    <cellStyle name="Normal 2 7 2 4 4 2" xfId="3560"/>
    <cellStyle name="Normal 2 7 2 4 5" xfId="3561"/>
    <cellStyle name="Normal 2 7 2 4 6" xfId="3562"/>
    <cellStyle name="Normal 2 7 2 4 7" xfId="3563"/>
    <cellStyle name="Normal 2 7 2 5" xfId="3564"/>
    <cellStyle name="Normal 2 7 2 5 2" xfId="3565"/>
    <cellStyle name="Normal 2 7 2 5 2 2" xfId="3566"/>
    <cellStyle name="Normal 2 7 2 5 2 2 2" xfId="3567"/>
    <cellStyle name="Normal 2 7 2 5 2 2 2 2" xfId="3568"/>
    <cellStyle name="Normal 2 7 2 5 2 2 3" xfId="3569"/>
    <cellStyle name="Normal 2 7 2 5 2 2 4" xfId="3570"/>
    <cellStyle name="Normal 2 7 2 5 2 2 5" xfId="3571"/>
    <cellStyle name="Normal 2 7 2 5 2 3" xfId="3572"/>
    <cellStyle name="Normal 2 7 2 5 2 3 2" xfId="3573"/>
    <cellStyle name="Normal 2 7 2 5 2 4" xfId="3574"/>
    <cellStyle name="Normal 2 7 2 5 2 5" xfId="3575"/>
    <cellStyle name="Normal 2 7 2 5 2 6" xfId="3576"/>
    <cellStyle name="Normal 2 7 2 5 3" xfId="3577"/>
    <cellStyle name="Normal 2 7 2 5 3 2" xfId="3578"/>
    <cellStyle name="Normal 2 7 2 5 3 2 2" xfId="3579"/>
    <cellStyle name="Normal 2 7 2 5 3 3" xfId="3580"/>
    <cellStyle name="Normal 2 7 2 5 3 4" xfId="3581"/>
    <cellStyle name="Normal 2 7 2 5 3 5" xfId="3582"/>
    <cellStyle name="Normal 2 7 2 5 4" xfId="3583"/>
    <cellStyle name="Normal 2 7 2 5 4 2" xfId="3584"/>
    <cellStyle name="Normal 2 7 2 5 5" xfId="3585"/>
    <cellStyle name="Normal 2 7 2 5 6" xfId="3586"/>
    <cellStyle name="Normal 2 7 2 5 7" xfId="3587"/>
    <cellStyle name="Normal 2 7 2 6" xfId="3588"/>
    <cellStyle name="Normal 2 7 2 6 2" xfId="3589"/>
    <cellStyle name="Normal 2 7 2 6 2 2" xfId="3590"/>
    <cellStyle name="Normal 2 7 2 6 2 2 2" xfId="3591"/>
    <cellStyle name="Normal 2 7 2 6 2 3" xfId="3592"/>
    <cellStyle name="Normal 2 7 2 6 2 4" xfId="3593"/>
    <cellStyle name="Normal 2 7 2 6 2 5" xfId="3594"/>
    <cellStyle name="Normal 2 7 2 6 3" xfId="3595"/>
    <cellStyle name="Normal 2 7 2 6 3 2" xfId="3596"/>
    <cellStyle name="Normal 2 7 2 6 4" xfId="3597"/>
    <cellStyle name="Normal 2 7 2 6 5" xfId="3598"/>
    <cellStyle name="Normal 2 7 2 6 6" xfId="3599"/>
    <cellStyle name="Normal 2 7 2 7" xfId="3600"/>
    <cellStyle name="Normal 2 7 2 7 2" xfId="3601"/>
    <cellStyle name="Normal 2 7 2 7 2 2" xfId="3602"/>
    <cellStyle name="Normal 2 7 2 7 2 2 2" xfId="3603"/>
    <cellStyle name="Normal 2 7 2 7 2 3" xfId="3604"/>
    <cellStyle name="Normal 2 7 2 7 2 4" xfId="3605"/>
    <cellStyle name="Normal 2 7 2 7 2 5" xfId="3606"/>
    <cellStyle name="Normal 2 7 2 7 3" xfId="3607"/>
    <cellStyle name="Normal 2 7 2 7 3 2" xfId="3608"/>
    <cellStyle name="Normal 2 7 2 7 4" xfId="3609"/>
    <cellStyle name="Normal 2 7 2 7 5" xfId="3610"/>
    <cellStyle name="Normal 2 7 2 7 6" xfId="3611"/>
    <cellStyle name="Normal 2 7 2 8" xfId="3612"/>
    <cellStyle name="Normal 2 7 2 8 2" xfId="3613"/>
    <cellStyle name="Normal 2 7 2 8 2 2" xfId="3614"/>
    <cellStyle name="Normal 2 7 2 8 3" xfId="3615"/>
    <cellStyle name="Normal 2 7 2 8 4" xfId="3616"/>
    <cellStyle name="Normal 2 7 2 8 5" xfId="3617"/>
    <cellStyle name="Normal 2 7 2 9" xfId="3618"/>
    <cellStyle name="Normal 2 7 2 9 2" xfId="3619"/>
    <cellStyle name="Normal 2 7 2 9 2 2" xfId="3620"/>
    <cellStyle name="Normal 2 7 2 9 3" xfId="3621"/>
    <cellStyle name="Normal 2 7 2 9 4" xfId="3622"/>
    <cellStyle name="Normal 2 7 2 9 5" xfId="3623"/>
    <cellStyle name="Normal 2 7 3" xfId="3624"/>
    <cellStyle name="Normal 2 7 3 10" xfId="3625"/>
    <cellStyle name="Normal 2 7 3 10 2" xfId="3626"/>
    <cellStyle name="Normal 2 7 3 10 2 2" xfId="3627"/>
    <cellStyle name="Normal 2 7 3 10 3" xfId="3628"/>
    <cellStyle name="Normal 2 7 3 10 4" xfId="3629"/>
    <cellStyle name="Normal 2 7 3 10 5" xfId="3630"/>
    <cellStyle name="Normal 2 7 3 11" xfId="3631"/>
    <cellStyle name="Normal 2 7 3 11 2" xfId="3632"/>
    <cellStyle name="Normal 2 7 3 12" xfId="3633"/>
    <cellStyle name="Normal 2 7 3 13" xfId="3634"/>
    <cellStyle name="Normal 2 7 3 14" xfId="3635"/>
    <cellStyle name="Normal 2 7 3 2" xfId="3636"/>
    <cellStyle name="Normal 2 7 3 2 10" xfId="3637"/>
    <cellStyle name="Normal 2 7 3 2 11" xfId="3638"/>
    <cellStyle name="Normal 2 7 3 2 2" xfId="3639"/>
    <cellStyle name="Normal 2 7 3 2 2 2" xfId="3640"/>
    <cellStyle name="Normal 2 7 3 2 2 2 2" xfId="3641"/>
    <cellStyle name="Normal 2 7 3 2 2 2 2 2" xfId="3642"/>
    <cellStyle name="Normal 2 7 3 2 2 2 2 2 2" xfId="3643"/>
    <cellStyle name="Normal 2 7 3 2 2 2 2 3" xfId="3644"/>
    <cellStyle name="Normal 2 7 3 2 2 2 2 4" xfId="3645"/>
    <cellStyle name="Normal 2 7 3 2 2 2 2 5" xfId="3646"/>
    <cellStyle name="Normal 2 7 3 2 2 2 3" xfId="3647"/>
    <cellStyle name="Normal 2 7 3 2 2 2 3 2" xfId="3648"/>
    <cellStyle name="Normal 2 7 3 2 2 2 4" xfId="3649"/>
    <cellStyle name="Normal 2 7 3 2 2 2 5" xfId="3650"/>
    <cellStyle name="Normal 2 7 3 2 2 2 6" xfId="3651"/>
    <cellStyle name="Normal 2 7 3 2 2 3" xfId="3652"/>
    <cellStyle name="Normal 2 7 3 2 2 3 2" xfId="3653"/>
    <cellStyle name="Normal 2 7 3 2 2 3 2 2" xfId="3654"/>
    <cellStyle name="Normal 2 7 3 2 2 3 3" xfId="3655"/>
    <cellStyle name="Normal 2 7 3 2 2 3 4" xfId="3656"/>
    <cellStyle name="Normal 2 7 3 2 2 3 5" xfId="3657"/>
    <cellStyle name="Normal 2 7 3 2 2 4" xfId="3658"/>
    <cellStyle name="Normal 2 7 3 2 2 4 2" xfId="3659"/>
    <cellStyle name="Normal 2 7 3 2 2 5" xfId="3660"/>
    <cellStyle name="Normal 2 7 3 2 2 6" xfId="3661"/>
    <cellStyle name="Normal 2 7 3 2 2 7" xfId="3662"/>
    <cellStyle name="Normal 2 7 3 2 3" xfId="3663"/>
    <cellStyle name="Normal 2 7 3 2 3 2" xfId="3664"/>
    <cellStyle name="Normal 2 7 3 2 3 2 2" xfId="3665"/>
    <cellStyle name="Normal 2 7 3 2 3 2 2 2" xfId="3666"/>
    <cellStyle name="Normal 2 7 3 2 3 2 2 2 2" xfId="3667"/>
    <cellStyle name="Normal 2 7 3 2 3 2 2 3" xfId="3668"/>
    <cellStyle name="Normal 2 7 3 2 3 2 2 4" xfId="3669"/>
    <cellStyle name="Normal 2 7 3 2 3 2 2 5" xfId="3670"/>
    <cellStyle name="Normal 2 7 3 2 3 2 3" xfId="3671"/>
    <cellStyle name="Normal 2 7 3 2 3 2 3 2" xfId="3672"/>
    <cellStyle name="Normal 2 7 3 2 3 2 4" xfId="3673"/>
    <cellStyle name="Normal 2 7 3 2 3 2 5" xfId="3674"/>
    <cellStyle name="Normal 2 7 3 2 3 2 6" xfId="3675"/>
    <cellStyle name="Normal 2 7 3 2 3 3" xfId="3676"/>
    <cellStyle name="Normal 2 7 3 2 3 3 2" xfId="3677"/>
    <cellStyle name="Normal 2 7 3 2 3 3 2 2" xfId="3678"/>
    <cellStyle name="Normal 2 7 3 2 3 3 3" xfId="3679"/>
    <cellStyle name="Normal 2 7 3 2 3 3 4" xfId="3680"/>
    <cellStyle name="Normal 2 7 3 2 3 3 5" xfId="3681"/>
    <cellStyle name="Normal 2 7 3 2 3 4" xfId="3682"/>
    <cellStyle name="Normal 2 7 3 2 3 4 2" xfId="3683"/>
    <cellStyle name="Normal 2 7 3 2 3 5" xfId="3684"/>
    <cellStyle name="Normal 2 7 3 2 3 6" xfId="3685"/>
    <cellStyle name="Normal 2 7 3 2 3 7" xfId="3686"/>
    <cellStyle name="Normal 2 7 3 2 4" xfId="3687"/>
    <cellStyle name="Normal 2 7 3 2 4 2" xfId="3688"/>
    <cellStyle name="Normal 2 7 3 2 4 2 2" xfId="3689"/>
    <cellStyle name="Normal 2 7 3 2 4 2 2 2" xfId="3690"/>
    <cellStyle name="Normal 2 7 3 2 4 2 3" xfId="3691"/>
    <cellStyle name="Normal 2 7 3 2 4 2 4" xfId="3692"/>
    <cellStyle name="Normal 2 7 3 2 4 2 5" xfId="3693"/>
    <cellStyle name="Normal 2 7 3 2 4 3" xfId="3694"/>
    <cellStyle name="Normal 2 7 3 2 4 3 2" xfId="3695"/>
    <cellStyle name="Normal 2 7 3 2 4 4" xfId="3696"/>
    <cellStyle name="Normal 2 7 3 2 4 5" xfId="3697"/>
    <cellStyle name="Normal 2 7 3 2 4 6" xfId="3698"/>
    <cellStyle name="Normal 2 7 3 2 5" xfId="3699"/>
    <cellStyle name="Normal 2 7 3 2 5 2" xfId="3700"/>
    <cellStyle name="Normal 2 7 3 2 5 2 2" xfId="3701"/>
    <cellStyle name="Normal 2 7 3 2 5 2 2 2" xfId="3702"/>
    <cellStyle name="Normal 2 7 3 2 5 2 3" xfId="3703"/>
    <cellStyle name="Normal 2 7 3 2 5 2 4" xfId="3704"/>
    <cellStyle name="Normal 2 7 3 2 5 2 5" xfId="3705"/>
    <cellStyle name="Normal 2 7 3 2 5 3" xfId="3706"/>
    <cellStyle name="Normal 2 7 3 2 5 3 2" xfId="3707"/>
    <cellStyle name="Normal 2 7 3 2 5 4" xfId="3708"/>
    <cellStyle name="Normal 2 7 3 2 5 5" xfId="3709"/>
    <cellStyle name="Normal 2 7 3 2 5 6" xfId="3710"/>
    <cellStyle name="Normal 2 7 3 2 6" xfId="3711"/>
    <cellStyle name="Normal 2 7 3 2 6 2" xfId="3712"/>
    <cellStyle name="Normal 2 7 3 2 6 2 2" xfId="3713"/>
    <cellStyle name="Normal 2 7 3 2 6 3" xfId="3714"/>
    <cellStyle name="Normal 2 7 3 2 6 4" xfId="3715"/>
    <cellStyle name="Normal 2 7 3 2 6 5" xfId="3716"/>
    <cellStyle name="Normal 2 7 3 2 7" xfId="3717"/>
    <cellStyle name="Normal 2 7 3 2 7 2" xfId="3718"/>
    <cellStyle name="Normal 2 7 3 2 7 2 2" xfId="3719"/>
    <cellStyle name="Normal 2 7 3 2 7 3" xfId="3720"/>
    <cellStyle name="Normal 2 7 3 2 7 4" xfId="3721"/>
    <cellStyle name="Normal 2 7 3 2 7 5" xfId="3722"/>
    <cellStyle name="Normal 2 7 3 2 8" xfId="3723"/>
    <cellStyle name="Normal 2 7 3 2 8 2" xfId="3724"/>
    <cellStyle name="Normal 2 7 3 2 9" xfId="3725"/>
    <cellStyle name="Normal 2 7 3 3" xfId="3726"/>
    <cellStyle name="Normal 2 7 3 4" xfId="3727"/>
    <cellStyle name="Normal 2 7 3 4 2" xfId="3728"/>
    <cellStyle name="Normal 2 7 3 4 2 2" xfId="3729"/>
    <cellStyle name="Normal 2 7 3 4 2 2 2" xfId="3730"/>
    <cellStyle name="Normal 2 7 3 4 2 2 2 2" xfId="3731"/>
    <cellStyle name="Normal 2 7 3 4 2 2 3" xfId="3732"/>
    <cellStyle name="Normal 2 7 3 4 2 2 4" xfId="3733"/>
    <cellStyle name="Normal 2 7 3 4 2 2 5" xfId="3734"/>
    <cellStyle name="Normal 2 7 3 4 2 3" xfId="3735"/>
    <cellStyle name="Normal 2 7 3 4 2 3 2" xfId="3736"/>
    <cellStyle name="Normal 2 7 3 4 2 4" xfId="3737"/>
    <cellStyle name="Normal 2 7 3 4 2 5" xfId="3738"/>
    <cellStyle name="Normal 2 7 3 4 2 6" xfId="3739"/>
    <cellStyle name="Normal 2 7 3 4 3" xfId="3740"/>
    <cellStyle name="Normal 2 7 3 4 3 2" xfId="3741"/>
    <cellStyle name="Normal 2 7 3 4 3 2 2" xfId="3742"/>
    <cellStyle name="Normal 2 7 3 4 3 3" xfId="3743"/>
    <cellStyle name="Normal 2 7 3 4 3 4" xfId="3744"/>
    <cellStyle name="Normal 2 7 3 4 3 5" xfId="3745"/>
    <cellStyle name="Normal 2 7 3 4 4" xfId="3746"/>
    <cellStyle name="Normal 2 7 3 4 4 2" xfId="3747"/>
    <cellStyle name="Normal 2 7 3 4 5" xfId="3748"/>
    <cellStyle name="Normal 2 7 3 4 6" xfId="3749"/>
    <cellStyle name="Normal 2 7 3 4 7" xfId="3750"/>
    <cellStyle name="Normal 2 7 3 5" xfId="3751"/>
    <cellStyle name="Normal 2 7 3 5 2" xfId="3752"/>
    <cellStyle name="Normal 2 7 3 5 2 2" xfId="3753"/>
    <cellStyle name="Normal 2 7 3 5 2 2 2" xfId="3754"/>
    <cellStyle name="Normal 2 7 3 5 2 2 2 2" xfId="3755"/>
    <cellStyle name="Normal 2 7 3 5 2 2 3" xfId="3756"/>
    <cellStyle name="Normal 2 7 3 5 2 2 4" xfId="3757"/>
    <cellStyle name="Normal 2 7 3 5 2 2 5" xfId="3758"/>
    <cellStyle name="Normal 2 7 3 5 2 3" xfId="3759"/>
    <cellStyle name="Normal 2 7 3 5 2 3 2" xfId="3760"/>
    <cellStyle name="Normal 2 7 3 5 2 4" xfId="3761"/>
    <cellStyle name="Normal 2 7 3 5 2 5" xfId="3762"/>
    <cellStyle name="Normal 2 7 3 5 2 6" xfId="3763"/>
    <cellStyle name="Normal 2 7 3 5 3" xfId="3764"/>
    <cellStyle name="Normal 2 7 3 5 3 2" xfId="3765"/>
    <cellStyle name="Normal 2 7 3 5 3 2 2" xfId="3766"/>
    <cellStyle name="Normal 2 7 3 5 3 3" xfId="3767"/>
    <cellStyle name="Normal 2 7 3 5 3 4" xfId="3768"/>
    <cellStyle name="Normal 2 7 3 5 3 5" xfId="3769"/>
    <cellStyle name="Normal 2 7 3 5 4" xfId="3770"/>
    <cellStyle name="Normal 2 7 3 5 4 2" xfId="3771"/>
    <cellStyle name="Normal 2 7 3 5 5" xfId="3772"/>
    <cellStyle name="Normal 2 7 3 5 6" xfId="3773"/>
    <cellStyle name="Normal 2 7 3 5 7" xfId="3774"/>
    <cellStyle name="Normal 2 7 3 6" xfId="3775"/>
    <cellStyle name="Normal 2 7 3 6 2" xfId="3776"/>
    <cellStyle name="Normal 2 7 3 6 2 2" xfId="3777"/>
    <cellStyle name="Normal 2 7 3 6 2 2 2" xfId="3778"/>
    <cellStyle name="Normal 2 7 3 6 2 3" xfId="3779"/>
    <cellStyle name="Normal 2 7 3 6 2 4" xfId="3780"/>
    <cellStyle name="Normal 2 7 3 6 2 5" xfId="3781"/>
    <cellStyle name="Normal 2 7 3 6 3" xfId="3782"/>
    <cellStyle name="Normal 2 7 3 6 3 2" xfId="3783"/>
    <cellStyle name="Normal 2 7 3 6 4" xfId="3784"/>
    <cellStyle name="Normal 2 7 3 6 5" xfId="3785"/>
    <cellStyle name="Normal 2 7 3 6 6" xfId="3786"/>
    <cellStyle name="Normal 2 7 3 7" xfId="3787"/>
    <cellStyle name="Normal 2 7 3 7 2" xfId="3788"/>
    <cellStyle name="Normal 2 7 3 7 2 2" xfId="3789"/>
    <cellStyle name="Normal 2 7 3 7 2 2 2" xfId="3790"/>
    <cellStyle name="Normal 2 7 3 7 2 3" xfId="3791"/>
    <cellStyle name="Normal 2 7 3 7 2 4" xfId="3792"/>
    <cellStyle name="Normal 2 7 3 7 2 5" xfId="3793"/>
    <cellStyle name="Normal 2 7 3 7 3" xfId="3794"/>
    <cellStyle name="Normal 2 7 3 7 3 2" xfId="3795"/>
    <cellStyle name="Normal 2 7 3 7 4" xfId="3796"/>
    <cellStyle name="Normal 2 7 3 7 5" xfId="3797"/>
    <cellStyle name="Normal 2 7 3 7 6" xfId="3798"/>
    <cellStyle name="Normal 2 7 3 8" xfId="3799"/>
    <cellStyle name="Normal 2 7 3 8 2" xfId="3800"/>
    <cellStyle name="Normal 2 7 3 8 2 2" xfId="3801"/>
    <cellStyle name="Normal 2 7 3 8 3" xfId="3802"/>
    <cellStyle name="Normal 2 7 3 8 4" xfId="3803"/>
    <cellStyle name="Normal 2 7 3 8 5" xfId="3804"/>
    <cellStyle name="Normal 2 7 3 9" xfId="3805"/>
    <cellStyle name="Normal 2 7 3 9 2" xfId="3806"/>
    <cellStyle name="Normal 2 7 3 9 2 2" xfId="3807"/>
    <cellStyle name="Normal 2 7 3 9 3" xfId="3808"/>
    <cellStyle name="Normal 2 7 3 9 4" xfId="3809"/>
    <cellStyle name="Normal 2 7 3 9 5" xfId="3810"/>
    <cellStyle name="Normal 2 7 4" xfId="3811"/>
    <cellStyle name="Normal 2 7 4 10" xfId="3812"/>
    <cellStyle name="Normal 2 7 4 11" xfId="3813"/>
    <cellStyle name="Normal 2 7 4 2" xfId="3814"/>
    <cellStyle name="Normal 2 7 4 2 2" xfId="3815"/>
    <cellStyle name="Normal 2 7 4 2 2 2" xfId="3816"/>
    <cellStyle name="Normal 2 7 4 2 2 2 2" xfId="3817"/>
    <cellStyle name="Normal 2 7 4 2 2 2 2 2" xfId="3818"/>
    <cellStyle name="Normal 2 7 4 2 2 2 3" xfId="3819"/>
    <cellStyle name="Normal 2 7 4 2 2 2 4" xfId="3820"/>
    <cellStyle name="Normal 2 7 4 2 2 2 5" xfId="3821"/>
    <cellStyle name="Normal 2 7 4 2 2 3" xfId="3822"/>
    <cellStyle name="Normal 2 7 4 2 2 3 2" xfId="3823"/>
    <cellStyle name="Normal 2 7 4 2 2 4" xfId="3824"/>
    <cellStyle name="Normal 2 7 4 2 2 5" xfId="3825"/>
    <cellStyle name="Normal 2 7 4 2 2 6" xfId="3826"/>
    <cellStyle name="Normal 2 7 4 2 3" xfId="3827"/>
    <cellStyle name="Normal 2 7 4 2 3 2" xfId="3828"/>
    <cellStyle name="Normal 2 7 4 2 3 2 2" xfId="3829"/>
    <cellStyle name="Normal 2 7 4 2 3 3" xfId="3830"/>
    <cellStyle name="Normal 2 7 4 2 3 4" xfId="3831"/>
    <cellStyle name="Normal 2 7 4 2 3 5" xfId="3832"/>
    <cellStyle name="Normal 2 7 4 2 4" xfId="3833"/>
    <cellStyle name="Normal 2 7 4 2 4 2" xfId="3834"/>
    <cellStyle name="Normal 2 7 4 2 5" xfId="3835"/>
    <cellStyle name="Normal 2 7 4 2 6" xfId="3836"/>
    <cellStyle name="Normal 2 7 4 2 7" xfId="3837"/>
    <cellStyle name="Normal 2 7 4 3" xfId="3838"/>
    <cellStyle name="Normal 2 7 4 3 2" xfId="3839"/>
    <cellStyle name="Normal 2 7 4 3 2 2" xfId="3840"/>
    <cellStyle name="Normal 2 7 4 3 2 2 2" xfId="3841"/>
    <cellStyle name="Normal 2 7 4 3 2 2 2 2" xfId="3842"/>
    <cellStyle name="Normal 2 7 4 3 2 2 3" xfId="3843"/>
    <cellStyle name="Normal 2 7 4 3 2 2 4" xfId="3844"/>
    <cellStyle name="Normal 2 7 4 3 2 2 5" xfId="3845"/>
    <cellStyle name="Normal 2 7 4 3 2 3" xfId="3846"/>
    <cellStyle name="Normal 2 7 4 3 2 3 2" xfId="3847"/>
    <cellStyle name="Normal 2 7 4 3 2 4" xfId="3848"/>
    <cellStyle name="Normal 2 7 4 3 2 5" xfId="3849"/>
    <cellStyle name="Normal 2 7 4 3 2 6" xfId="3850"/>
    <cellStyle name="Normal 2 7 4 3 3" xfId="3851"/>
    <cellStyle name="Normal 2 7 4 3 3 2" xfId="3852"/>
    <cellStyle name="Normal 2 7 4 3 3 2 2" xfId="3853"/>
    <cellStyle name="Normal 2 7 4 3 3 3" xfId="3854"/>
    <cellStyle name="Normal 2 7 4 3 3 4" xfId="3855"/>
    <cellStyle name="Normal 2 7 4 3 3 5" xfId="3856"/>
    <cellStyle name="Normal 2 7 4 3 4" xfId="3857"/>
    <cellStyle name="Normal 2 7 4 3 4 2" xfId="3858"/>
    <cellStyle name="Normal 2 7 4 3 5" xfId="3859"/>
    <cellStyle name="Normal 2 7 4 3 6" xfId="3860"/>
    <cellStyle name="Normal 2 7 4 3 7" xfId="3861"/>
    <cellStyle name="Normal 2 7 4 4" xfId="3862"/>
    <cellStyle name="Normal 2 7 4 4 2" xfId="3863"/>
    <cellStyle name="Normal 2 7 4 4 2 2" xfId="3864"/>
    <cellStyle name="Normal 2 7 4 4 2 2 2" xfId="3865"/>
    <cellStyle name="Normal 2 7 4 4 2 3" xfId="3866"/>
    <cellStyle name="Normal 2 7 4 4 2 4" xfId="3867"/>
    <cellStyle name="Normal 2 7 4 4 2 5" xfId="3868"/>
    <cellStyle name="Normal 2 7 4 4 3" xfId="3869"/>
    <cellStyle name="Normal 2 7 4 4 3 2" xfId="3870"/>
    <cellStyle name="Normal 2 7 4 4 4" xfId="3871"/>
    <cellStyle name="Normal 2 7 4 4 5" xfId="3872"/>
    <cellStyle name="Normal 2 7 4 4 6" xfId="3873"/>
    <cellStyle name="Normal 2 7 4 5" xfId="3874"/>
    <cellStyle name="Normal 2 7 4 5 2" xfId="3875"/>
    <cellStyle name="Normal 2 7 4 5 2 2" xfId="3876"/>
    <cellStyle name="Normal 2 7 4 5 2 2 2" xfId="3877"/>
    <cellStyle name="Normal 2 7 4 5 2 3" xfId="3878"/>
    <cellStyle name="Normal 2 7 4 5 2 4" xfId="3879"/>
    <cellStyle name="Normal 2 7 4 5 2 5" xfId="3880"/>
    <cellStyle name="Normal 2 7 4 5 3" xfId="3881"/>
    <cellStyle name="Normal 2 7 4 5 3 2" xfId="3882"/>
    <cellStyle name="Normal 2 7 4 5 4" xfId="3883"/>
    <cellStyle name="Normal 2 7 4 5 5" xfId="3884"/>
    <cellStyle name="Normal 2 7 4 5 6" xfId="3885"/>
    <cellStyle name="Normal 2 7 4 6" xfId="3886"/>
    <cellStyle name="Normal 2 7 4 6 2" xfId="3887"/>
    <cellStyle name="Normal 2 7 4 6 2 2" xfId="3888"/>
    <cellStyle name="Normal 2 7 4 6 3" xfId="3889"/>
    <cellStyle name="Normal 2 7 4 6 4" xfId="3890"/>
    <cellStyle name="Normal 2 7 4 6 5" xfId="3891"/>
    <cellStyle name="Normal 2 7 4 7" xfId="3892"/>
    <cellStyle name="Normal 2 7 4 7 2" xfId="3893"/>
    <cellStyle name="Normal 2 7 4 7 2 2" xfId="3894"/>
    <cellStyle name="Normal 2 7 4 7 3" xfId="3895"/>
    <cellStyle name="Normal 2 7 4 7 4" xfId="3896"/>
    <cellStyle name="Normal 2 7 4 7 5" xfId="3897"/>
    <cellStyle name="Normal 2 7 4 8" xfId="3898"/>
    <cellStyle name="Normal 2 7 4 8 2" xfId="3899"/>
    <cellStyle name="Normal 2 7 4 9" xfId="3900"/>
    <cellStyle name="Normal 2 7 5" xfId="3901"/>
    <cellStyle name="Normal 2 7 5 10" xfId="3902"/>
    <cellStyle name="Normal 2 7 5 11" xfId="3903"/>
    <cellStyle name="Normal 2 7 5 2" xfId="3904"/>
    <cellStyle name="Normal 2 7 5 2 2" xfId="3905"/>
    <cellStyle name="Normal 2 7 5 2 2 2" xfId="3906"/>
    <cellStyle name="Normal 2 7 5 2 2 2 2" xfId="3907"/>
    <cellStyle name="Normal 2 7 5 2 2 2 2 2" xfId="3908"/>
    <cellStyle name="Normal 2 7 5 2 2 2 3" xfId="3909"/>
    <cellStyle name="Normal 2 7 5 2 2 2 4" xfId="3910"/>
    <cellStyle name="Normal 2 7 5 2 2 2 5" xfId="3911"/>
    <cellStyle name="Normal 2 7 5 2 2 3" xfId="3912"/>
    <cellStyle name="Normal 2 7 5 2 2 3 2" xfId="3913"/>
    <cellStyle name="Normal 2 7 5 2 2 4" xfId="3914"/>
    <cellStyle name="Normal 2 7 5 2 2 5" xfId="3915"/>
    <cellStyle name="Normal 2 7 5 2 2 6" xfId="3916"/>
    <cellStyle name="Normal 2 7 5 2 3" xfId="3917"/>
    <cellStyle name="Normal 2 7 5 2 3 2" xfId="3918"/>
    <cellStyle name="Normal 2 7 5 2 3 2 2" xfId="3919"/>
    <cellStyle name="Normal 2 7 5 2 3 3" xfId="3920"/>
    <cellStyle name="Normal 2 7 5 2 3 4" xfId="3921"/>
    <cellStyle name="Normal 2 7 5 2 3 5" xfId="3922"/>
    <cellStyle name="Normal 2 7 5 2 4" xfId="3923"/>
    <cellStyle name="Normal 2 7 5 2 4 2" xfId="3924"/>
    <cellStyle name="Normal 2 7 5 2 5" xfId="3925"/>
    <cellStyle name="Normal 2 7 5 2 6" xfId="3926"/>
    <cellStyle name="Normal 2 7 5 2 7" xfId="3927"/>
    <cellStyle name="Normal 2 7 5 3" xfId="3928"/>
    <cellStyle name="Normal 2 7 5 3 2" xfId="3929"/>
    <cellStyle name="Normal 2 7 5 3 2 2" xfId="3930"/>
    <cellStyle name="Normal 2 7 5 3 2 2 2" xfId="3931"/>
    <cellStyle name="Normal 2 7 5 3 2 2 2 2" xfId="3932"/>
    <cellStyle name="Normal 2 7 5 3 2 2 3" xfId="3933"/>
    <cellStyle name="Normal 2 7 5 3 2 2 4" xfId="3934"/>
    <cellStyle name="Normal 2 7 5 3 2 2 5" xfId="3935"/>
    <cellStyle name="Normal 2 7 5 3 2 3" xfId="3936"/>
    <cellStyle name="Normal 2 7 5 3 2 3 2" xfId="3937"/>
    <cellStyle name="Normal 2 7 5 3 2 4" xfId="3938"/>
    <cellStyle name="Normal 2 7 5 3 2 5" xfId="3939"/>
    <cellStyle name="Normal 2 7 5 3 2 6" xfId="3940"/>
    <cellStyle name="Normal 2 7 5 3 3" xfId="3941"/>
    <cellStyle name="Normal 2 7 5 3 3 2" xfId="3942"/>
    <cellStyle name="Normal 2 7 5 3 3 2 2" xfId="3943"/>
    <cellStyle name="Normal 2 7 5 3 3 3" xfId="3944"/>
    <cellStyle name="Normal 2 7 5 3 3 4" xfId="3945"/>
    <cellStyle name="Normal 2 7 5 3 3 5" xfId="3946"/>
    <cellStyle name="Normal 2 7 5 3 4" xfId="3947"/>
    <cellStyle name="Normal 2 7 5 3 4 2" xfId="3948"/>
    <cellStyle name="Normal 2 7 5 3 5" xfId="3949"/>
    <cellStyle name="Normal 2 7 5 3 6" xfId="3950"/>
    <cellStyle name="Normal 2 7 5 3 7" xfId="3951"/>
    <cellStyle name="Normal 2 7 5 4" xfId="3952"/>
    <cellStyle name="Normal 2 7 5 4 2" xfId="3953"/>
    <cellStyle name="Normal 2 7 5 4 2 2" xfId="3954"/>
    <cellStyle name="Normal 2 7 5 4 2 2 2" xfId="3955"/>
    <cellStyle name="Normal 2 7 5 4 2 3" xfId="3956"/>
    <cellStyle name="Normal 2 7 5 4 2 4" xfId="3957"/>
    <cellStyle name="Normal 2 7 5 4 2 5" xfId="3958"/>
    <cellStyle name="Normal 2 7 5 4 3" xfId="3959"/>
    <cellStyle name="Normal 2 7 5 4 3 2" xfId="3960"/>
    <cellStyle name="Normal 2 7 5 4 4" xfId="3961"/>
    <cellStyle name="Normal 2 7 5 4 5" xfId="3962"/>
    <cellStyle name="Normal 2 7 5 4 6" xfId="3963"/>
    <cellStyle name="Normal 2 7 5 5" xfId="3964"/>
    <cellStyle name="Normal 2 7 5 5 2" xfId="3965"/>
    <cellStyle name="Normal 2 7 5 5 2 2" xfId="3966"/>
    <cellStyle name="Normal 2 7 5 5 2 2 2" xfId="3967"/>
    <cellStyle name="Normal 2 7 5 5 2 3" xfId="3968"/>
    <cellStyle name="Normal 2 7 5 5 2 4" xfId="3969"/>
    <cellStyle name="Normal 2 7 5 5 2 5" xfId="3970"/>
    <cellStyle name="Normal 2 7 5 5 3" xfId="3971"/>
    <cellStyle name="Normal 2 7 5 5 3 2" xfId="3972"/>
    <cellStyle name="Normal 2 7 5 5 4" xfId="3973"/>
    <cellStyle name="Normal 2 7 5 5 5" xfId="3974"/>
    <cellStyle name="Normal 2 7 5 5 6" xfId="3975"/>
    <cellStyle name="Normal 2 7 5 6" xfId="3976"/>
    <cellStyle name="Normal 2 7 5 6 2" xfId="3977"/>
    <cellStyle name="Normal 2 7 5 6 2 2" xfId="3978"/>
    <cellStyle name="Normal 2 7 5 6 3" xfId="3979"/>
    <cellStyle name="Normal 2 7 5 6 4" xfId="3980"/>
    <cellStyle name="Normal 2 7 5 6 5" xfId="3981"/>
    <cellStyle name="Normal 2 7 5 7" xfId="3982"/>
    <cellStyle name="Normal 2 7 5 7 2" xfId="3983"/>
    <cellStyle name="Normal 2 7 5 7 2 2" xfId="3984"/>
    <cellStyle name="Normal 2 7 5 7 3" xfId="3985"/>
    <cellStyle name="Normal 2 7 5 7 4" xfId="3986"/>
    <cellStyle name="Normal 2 7 5 7 5" xfId="3987"/>
    <cellStyle name="Normal 2 7 5 8" xfId="3988"/>
    <cellStyle name="Normal 2 7 5 8 2" xfId="3989"/>
    <cellStyle name="Normal 2 7 5 9" xfId="3990"/>
    <cellStyle name="Normal 2 7 6" xfId="3991"/>
    <cellStyle name="Normal 2 7 7" xfId="3992"/>
    <cellStyle name="Normal 2 7 7 2" xfId="3993"/>
    <cellStyle name="Normal 2 7 7 2 2" xfId="3994"/>
    <cellStyle name="Normal 2 7 7 2 2 2" xfId="3995"/>
    <cellStyle name="Normal 2 7 7 2 2 2 2" xfId="3996"/>
    <cellStyle name="Normal 2 7 7 2 2 3" xfId="3997"/>
    <cellStyle name="Normal 2 7 7 2 2 4" xfId="3998"/>
    <cellStyle name="Normal 2 7 7 2 2 5" xfId="3999"/>
    <cellStyle name="Normal 2 7 7 2 3" xfId="4000"/>
    <cellStyle name="Normal 2 7 7 2 3 2" xfId="4001"/>
    <cellStyle name="Normal 2 7 7 2 4" xfId="4002"/>
    <cellStyle name="Normal 2 7 7 2 5" xfId="4003"/>
    <cellStyle name="Normal 2 7 7 2 6" xfId="4004"/>
    <cellStyle name="Normal 2 7 7 3" xfId="4005"/>
    <cellStyle name="Normal 2 7 7 3 2" xfId="4006"/>
    <cellStyle name="Normal 2 7 7 3 2 2" xfId="4007"/>
    <cellStyle name="Normal 2 7 7 3 3" xfId="4008"/>
    <cellStyle name="Normal 2 7 7 3 4" xfId="4009"/>
    <cellStyle name="Normal 2 7 7 3 5" xfId="4010"/>
    <cellStyle name="Normal 2 7 7 4" xfId="4011"/>
    <cellStyle name="Normal 2 7 7 4 2" xfId="4012"/>
    <cellStyle name="Normal 2 7 7 5" xfId="4013"/>
    <cellStyle name="Normal 2 7 7 6" xfId="4014"/>
    <cellStyle name="Normal 2 7 7 7" xfId="4015"/>
    <cellStyle name="Normal 2 7 8" xfId="4016"/>
    <cellStyle name="Normal 2 7 8 2" xfId="4017"/>
    <cellStyle name="Normal 2 7 8 2 2" xfId="4018"/>
    <cellStyle name="Normal 2 7 8 2 2 2" xfId="4019"/>
    <cellStyle name="Normal 2 7 8 2 2 2 2" xfId="4020"/>
    <cellStyle name="Normal 2 7 8 2 2 3" xfId="4021"/>
    <cellStyle name="Normal 2 7 8 2 2 4" xfId="4022"/>
    <cellStyle name="Normal 2 7 8 2 2 5" xfId="4023"/>
    <cellStyle name="Normal 2 7 8 2 3" xfId="4024"/>
    <cellStyle name="Normal 2 7 8 2 3 2" xfId="4025"/>
    <cellStyle name="Normal 2 7 8 2 4" xfId="4026"/>
    <cellStyle name="Normal 2 7 8 2 5" xfId="4027"/>
    <cellStyle name="Normal 2 7 8 2 6" xfId="4028"/>
    <cellStyle name="Normal 2 7 8 3" xfId="4029"/>
    <cellStyle name="Normal 2 7 8 3 2" xfId="4030"/>
    <cellStyle name="Normal 2 7 8 3 2 2" xfId="4031"/>
    <cellStyle name="Normal 2 7 8 3 3" xfId="4032"/>
    <cellStyle name="Normal 2 7 8 3 4" xfId="4033"/>
    <cellStyle name="Normal 2 7 8 3 5" xfId="4034"/>
    <cellStyle name="Normal 2 7 8 4" xfId="4035"/>
    <cellStyle name="Normal 2 7 8 4 2" xfId="4036"/>
    <cellStyle name="Normal 2 7 8 5" xfId="4037"/>
    <cellStyle name="Normal 2 7 8 6" xfId="4038"/>
    <cellStyle name="Normal 2 7 8 7" xfId="4039"/>
    <cellStyle name="Normal 2 7 9" xfId="4040"/>
    <cellStyle name="Normal 2 7 9 2" xfId="4041"/>
    <cellStyle name="Normal 2 7 9 2 2" xfId="4042"/>
    <cellStyle name="Normal 2 7 9 2 2 2" xfId="4043"/>
    <cellStyle name="Normal 2 7 9 2 3" xfId="4044"/>
    <cellStyle name="Normal 2 7 9 2 4" xfId="4045"/>
    <cellStyle name="Normal 2 7 9 2 5" xfId="4046"/>
    <cellStyle name="Normal 2 7 9 3" xfId="4047"/>
    <cellStyle name="Normal 2 7 9 3 2" xfId="4048"/>
    <cellStyle name="Normal 2 7 9 4" xfId="4049"/>
    <cellStyle name="Normal 2 7 9 5" xfId="4050"/>
    <cellStyle name="Normal 2 7 9 6" xfId="4051"/>
    <cellStyle name="Normal 2 8" xfId="4052"/>
    <cellStyle name="Normal 2 8 10" xfId="4053"/>
    <cellStyle name="Normal 2 8 10 2" xfId="4054"/>
    <cellStyle name="Normal 2 8 10 2 2" xfId="4055"/>
    <cellStyle name="Normal 2 8 10 2 2 2" xfId="4056"/>
    <cellStyle name="Normal 2 8 10 2 3" xfId="4057"/>
    <cellStyle name="Normal 2 8 10 2 4" xfId="4058"/>
    <cellStyle name="Normal 2 8 10 2 5" xfId="4059"/>
    <cellStyle name="Normal 2 8 10 3" xfId="4060"/>
    <cellStyle name="Normal 2 8 10 3 2" xfId="4061"/>
    <cellStyle name="Normal 2 8 10 4" xfId="4062"/>
    <cellStyle name="Normal 2 8 10 5" xfId="4063"/>
    <cellStyle name="Normal 2 8 10 6" xfId="4064"/>
    <cellStyle name="Normal 2 8 11" xfId="4065"/>
    <cellStyle name="Normal 2 8 11 2" xfId="4066"/>
    <cellStyle name="Normal 2 8 11 2 2" xfId="4067"/>
    <cellStyle name="Normal 2 8 11 3" xfId="4068"/>
    <cellStyle name="Normal 2 8 11 4" xfId="4069"/>
    <cellStyle name="Normal 2 8 11 5" xfId="4070"/>
    <cellStyle name="Normal 2 8 12" xfId="4071"/>
    <cellStyle name="Normal 2 8 12 2" xfId="4072"/>
    <cellStyle name="Normal 2 8 12 2 2" xfId="4073"/>
    <cellStyle name="Normal 2 8 12 3" xfId="4074"/>
    <cellStyle name="Normal 2 8 12 4" xfId="4075"/>
    <cellStyle name="Normal 2 8 12 5" xfId="4076"/>
    <cellStyle name="Normal 2 8 13" xfId="4077"/>
    <cellStyle name="Normal 2 8 13 2" xfId="4078"/>
    <cellStyle name="Normal 2 8 14" xfId="4079"/>
    <cellStyle name="Normal 2 8 15" xfId="4080"/>
    <cellStyle name="Normal 2 8 16" xfId="4081"/>
    <cellStyle name="Normal 2 8 2" xfId="4082"/>
    <cellStyle name="Normal 2 8 2 10" xfId="4083"/>
    <cellStyle name="Normal 2 8 2 11" xfId="4084"/>
    <cellStyle name="Normal 2 8 2 12" xfId="4085"/>
    <cellStyle name="Normal 2 8 2 2" xfId="4086"/>
    <cellStyle name="Normal 2 8 2 3" xfId="4087"/>
    <cellStyle name="Normal 2 8 2 3 2" xfId="4088"/>
    <cellStyle name="Normal 2 8 2 3 2 2" xfId="4089"/>
    <cellStyle name="Normal 2 8 2 3 2 2 2" xfId="4090"/>
    <cellStyle name="Normal 2 8 2 3 2 2 2 2" xfId="4091"/>
    <cellStyle name="Normal 2 8 2 3 2 2 3" xfId="4092"/>
    <cellStyle name="Normal 2 8 2 3 2 2 4" xfId="4093"/>
    <cellStyle name="Normal 2 8 2 3 2 2 5" xfId="4094"/>
    <cellStyle name="Normal 2 8 2 3 2 3" xfId="4095"/>
    <cellStyle name="Normal 2 8 2 3 2 3 2" xfId="4096"/>
    <cellStyle name="Normal 2 8 2 3 2 4" xfId="4097"/>
    <cellStyle name="Normal 2 8 2 3 2 5" xfId="4098"/>
    <cellStyle name="Normal 2 8 2 3 2 6" xfId="4099"/>
    <cellStyle name="Normal 2 8 2 3 3" xfId="4100"/>
    <cellStyle name="Normal 2 8 2 3 3 2" xfId="4101"/>
    <cellStyle name="Normal 2 8 2 3 3 2 2" xfId="4102"/>
    <cellStyle name="Normal 2 8 2 3 3 3" xfId="4103"/>
    <cellStyle name="Normal 2 8 2 3 3 4" xfId="4104"/>
    <cellStyle name="Normal 2 8 2 3 3 5" xfId="4105"/>
    <cellStyle name="Normal 2 8 2 3 4" xfId="4106"/>
    <cellStyle name="Normal 2 8 2 3 4 2" xfId="4107"/>
    <cellStyle name="Normal 2 8 2 3 5" xfId="4108"/>
    <cellStyle name="Normal 2 8 2 3 6" xfId="4109"/>
    <cellStyle name="Normal 2 8 2 3 7" xfId="4110"/>
    <cellStyle name="Normal 2 8 2 4" xfId="4111"/>
    <cellStyle name="Normal 2 8 2 4 2" xfId="4112"/>
    <cellStyle name="Normal 2 8 2 4 2 2" xfId="4113"/>
    <cellStyle name="Normal 2 8 2 4 2 2 2" xfId="4114"/>
    <cellStyle name="Normal 2 8 2 4 2 2 2 2" xfId="4115"/>
    <cellStyle name="Normal 2 8 2 4 2 2 3" xfId="4116"/>
    <cellStyle name="Normal 2 8 2 4 2 2 4" xfId="4117"/>
    <cellStyle name="Normal 2 8 2 4 2 2 5" xfId="4118"/>
    <cellStyle name="Normal 2 8 2 4 2 3" xfId="4119"/>
    <cellStyle name="Normal 2 8 2 4 2 3 2" xfId="4120"/>
    <cellStyle name="Normal 2 8 2 4 2 4" xfId="4121"/>
    <cellStyle name="Normal 2 8 2 4 2 5" xfId="4122"/>
    <cellStyle name="Normal 2 8 2 4 2 6" xfId="4123"/>
    <cellStyle name="Normal 2 8 2 4 3" xfId="4124"/>
    <cellStyle name="Normal 2 8 2 4 3 2" xfId="4125"/>
    <cellStyle name="Normal 2 8 2 4 3 2 2" xfId="4126"/>
    <cellStyle name="Normal 2 8 2 4 3 3" xfId="4127"/>
    <cellStyle name="Normal 2 8 2 4 3 4" xfId="4128"/>
    <cellStyle name="Normal 2 8 2 4 3 5" xfId="4129"/>
    <cellStyle name="Normal 2 8 2 4 4" xfId="4130"/>
    <cellStyle name="Normal 2 8 2 4 4 2" xfId="4131"/>
    <cellStyle name="Normal 2 8 2 4 5" xfId="4132"/>
    <cellStyle name="Normal 2 8 2 4 6" xfId="4133"/>
    <cellStyle name="Normal 2 8 2 4 7" xfId="4134"/>
    <cellStyle name="Normal 2 8 2 5" xfId="4135"/>
    <cellStyle name="Normal 2 8 2 5 2" xfId="4136"/>
    <cellStyle name="Normal 2 8 2 5 2 2" xfId="4137"/>
    <cellStyle name="Normal 2 8 2 5 2 2 2" xfId="4138"/>
    <cellStyle name="Normal 2 8 2 5 2 3" xfId="4139"/>
    <cellStyle name="Normal 2 8 2 5 2 4" xfId="4140"/>
    <cellStyle name="Normal 2 8 2 5 2 5" xfId="4141"/>
    <cellStyle name="Normal 2 8 2 5 3" xfId="4142"/>
    <cellStyle name="Normal 2 8 2 5 3 2" xfId="4143"/>
    <cellStyle name="Normal 2 8 2 5 4" xfId="4144"/>
    <cellStyle name="Normal 2 8 2 5 5" xfId="4145"/>
    <cellStyle name="Normal 2 8 2 5 6" xfId="4146"/>
    <cellStyle name="Normal 2 8 2 6" xfId="4147"/>
    <cellStyle name="Normal 2 8 2 6 2" xfId="4148"/>
    <cellStyle name="Normal 2 8 2 6 2 2" xfId="4149"/>
    <cellStyle name="Normal 2 8 2 6 2 2 2" xfId="4150"/>
    <cellStyle name="Normal 2 8 2 6 2 3" xfId="4151"/>
    <cellStyle name="Normal 2 8 2 6 2 4" xfId="4152"/>
    <cellStyle name="Normal 2 8 2 6 2 5" xfId="4153"/>
    <cellStyle name="Normal 2 8 2 6 3" xfId="4154"/>
    <cellStyle name="Normal 2 8 2 6 3 2" xfId="4155"/>
    <cellStyle name="Normal 2 8 2 6 4" xfId="4156"/>
    <cellStyle name="Normal 2 8 2 6 5" xfId="4157"/>
    <cellStyle name="Normal 2 8 2 6 6" xfId="4158"/>
    <cellStyle name="Normal 2 8 2 7" xfId="4159"/>
    <cellStyle name="Normal 2 8 2 7 2" xfId="4160"/>
    <cellStyle name="Normal 2 8 2 7 2 2" xfId="4161"/>
    <cellStyle name="Normal 2 8 2 7 3" xfId="4162"/>
    <cellStyle name="Normal 2 8 2 7 4" xfId="4163"/>
    <cellStyle name="Normal 2 8 2 7 5" xfId="4164"/>
    <cellStyle name="Normal 2 8 2 8" xfId="4165"/>
    <cellStyle name="Normal 2 8 2 8 2" xfId="4166"/>
    <cellStyle name="Normal 2 8 2 8 2 2" xfId="4167"/>
    <cellStyle name="Normal 2 8 2 8 3" xfId="4168"/>
    <cellStyle name="Normal 2 8 2 8 4" xfId="4169"/>
    <cellStyle name="Normal 2 8 2 8 5" xfId="4170"/>
    <cellStyle name="Normal 2 8 2 9" xfId="4171"/>
    <cellStyle name="Normal 2 8 2 9 2" xfId="4172"/>
    <cellStyle name="Normal 2 8 3" xfId="4173"/>
    <cellStyle name="Normal 2 8 3 10" xfId="4174"/>
    <cellStyle name="Normal 2 8 3 11" xfId="4175"/>
    <cellStyle name="Normal 2 8 3 12" xfId="4176"/>
    <cellStyle name="Normal 2 8 3 2" xfId="4177"/>
    <cellStyle name="Normal 2 8 3 3" xfId="4178"/>
    <cellStyle name="Normal 2 8 3 3 2" xfId="4179"/>
    <cellStyle name="Normal 2 8 3 3 2 2" xfId="4180"/>
    <cellStyle name="Normal 2 8 3 3 2 2 2" xfId="4181"/>
    <cellStyle name="Normal 2 8 3 3 2 2 2 2" xfId="4182"/>
    <cellStyle name="Normal 2 8 3 3 2 2 3" xfId="4183"/>
    <cellStyle name="Normal 2 8 3 3 2 2 4" xfId="4184"/>
    <cellStyle name="Normal 2 8 3 3 2 2 5" xfId="4185"/>
    <cellStyle name="Normal 2 8 3 3 2 3" xfId="4186"/>
    <cellStyle name="Normal 2 8 3 3 2 3 2" xfId="4187"/>
    <cellStyle name="Normal 2 8 3 3 2 4" xfId="4188"/>
    <cellStyle name="Normal 2 8 3 3 2 5" xfId="4189"/>
    <cellStyle name="Normal 2 8 3 3 2 6" xfId="4190"/>
    <cellStyle name="Normal 2 8 3 3 3" xfId="4191"/>
    <cellStyle name="Normal 2 8 3 3 3 2" xfId="4192"/>
    <cellStyle name="Normal 2 8 3 3 3 2 2" xfId="4193"/>
    <cellStyle name="Normal 2 8 3 3 3 3" xfId="4194"/>
    <cellStyle name="Normal 2 8 3 3 3 4" xfId="4195"/>
    <cellStyle name="Normal 2 8 3 3 3 5" xfId="4196"/>
    <cellStyle name="Normal 2 8 3 3 4" xfId="4197"/>
    <cellStyle name="Normal 2 8 3 3 4 2" xfId="4198"/>
    <cellStyle name="Normal 2 8 3 3 5" xfId="4199"/>
    <cellStyle name="Normal 2 8 3 3 6" xfId="4200"/>
    <cellStyle name="Normal 2 8 3 3 7" xfId="4201"/>
    <cellStyle name="Normal 2 8 3 4" xfId="4202"/>
    <cellStyle name="Normal 2 8 3 4 2" xfId="4203"/>
    <cellStyle name="Normal 2 8 3 4 2 2" xfId="4204"/>
    <cellStyle name="Normal 2 8 3 4 2 2 2" xfId="4205"/>
    <cellStyle name="Normal 2 8 3 4 2 2 2 2" xfId="4206"/>
    <cellStyle name="Normal 2 8 3 4 2 2 3" xfId="4207"/>
    <cellStyle name="Normal 2 8 3 4 2 2 4" xfId="4208"/>
    <cellStyle name="Normal 2 8 3 4 2 2 5" xfId="4209"/>
    <cellStyle name="Normal 2 8 3 4 2 3" xfId="4210"/>
    <cellStyle name="Normal 2 8 3 4 2 3 2" xfId="4211"/>
    <cellStyle name="Normal 2 8 3 4 2 4" xfId="4212"/>
    <cellStyle name="Normal 2 8 3 4 2 5" xfId="4213"/>
    <cellStyle name="Normal 2 8 3 4 2 6" xfId="4214"/>
    <cellStyle name="Normal 2 8 3 4 3" xfId="4215"/>
    <cellStyle name="Normal 2 8 3 4 3 2" xfId="4216"/>
    <cellStyle name="Normal 2 8 3 4 3 2 2" xfId="4217"/>
    <cellStyle name="Normal 2 8 3 4 3 3" xfId="4218"/>
    <cellStyle name="Normal 2 8 3 4 3 4" xfId="4219"/>
    <cellStyle name="Normal 2 8 3 4 3 5" xfId="4220"/>
    <cellStyle name="Normal 2 8 3 4 4" xfId="4221"/>
    <cellStyle name="Normal 2 8 3 4 4 2" xfId="4222"/>
    <cellStyle name="Normal 2 8 3 4 5" xfId="4223"/>
    <cellStyle name="Normal 2 8 3 4 6" xfId="4224"/>
    <cellStyle name="Normal 2 8 3 4 7" xfId="4225"/>
    <cellStyle name="Normal 2 8 3 5" xfId="4226"/>
    <cellStyle name="Normal 2 8 3 5 2" xfId="4227"/>
    <cellStyle name="Normal 2 8 3 5 2 2" xfId="4228"/>
    <cellStyle name="Normal 2 8 3 5 2 2 2" xfId="4229"/>
    <cellStyle name="Normal 2 8 3 5 2 3" xfId="4230"/>
    <cellStyle name="Normal 2 8 3 5 2 4" xfId="4231"/>
    <cellStyle name="Normal 2 8 3 5 2 5" xfId="4232"/>
    <cellStyle name="Normal 2 8 3 5 3" xfId="4233"/>
    <cellStyle name="Normal 2 8 3 5 3 2" xfId="4234"/>
    <cellStyle name="Normal 2 8 3 5 4" xfId="4235"/>
    <cellStyle name="Normal 2 8 3 5 5" xfId="4236"/>
    <cellStyle name="Normal 2 8 3 5 6" xfId="4237"/>
    <cellStyle name="Normal 2 8 3 6" xfId="4238"/>
    <cellStyle name="Normal 2 8 3 6 2" xfId="4239"/>
    <cellStyle name="Normal 2 8 3 6 2 2" xfId="4240"/>
    <cellStyle name="Normal 2 8 3 6 2 2 2" xfId="4241"/>
    <cellStyle name="Normal 2 8 3 6 2 3" xfId="4242"/>
    <cellStyle name="Normal 2 8 3 6 2 4" xfId="4243"/>
    <cellStyle name="Normal 2 8 3 6 2 5" xfId="4244"/>
    <cellStyle name="Normal 2 8 3 6 3" xfId="4245"/>
    <cellStyle name="Normal 2 8 3 6 3 2" xfId="4246"/>
    <cellStyle name="Normal 2 8 3 6 4" xfId="4247"/>
    <cellStyle name="Normal 2 8 3 6 5" xfId="4248"/>
    <cellStyle name="Normal 2 8 3 6 6" xfId="4249"/>
    <cellStyle name="Normal 2 8 3 7" xfId="4250"/>
    <cellStyle name="Normal 2 8 3 7 2" xfId="4251"/>
    <cellStyle name="Normal 2 8 3 7 2 2" xfId="4252"/>
    <cellStyle name="Normal 2 8 3 7 3" xfId="4253"/>
    <cellStyle name="Normal 2 8 3 7 4" xfId="4254"/>
    <cellStyle name="Normal 2 8 3 7 5" xfId="4255"/>
    <cellStyle name="Normal 2 8 3 8" xfId="4256"/>
    <cellStyle name="Normal 2 8 3 8 2" xfId="4257"/>
    <cellStyle name="Normal 2 8 3 8 2 2" xfId="4258"/>
    <cellStyle name="Normal 2 8 3 8 3" xfId="4259"/>
    <cellStyle name="Normal 2 8 3 8 4" xfId="4260"/>
    <cellStyle name="Normal 2 8 3 8 5" xfId="4261"/>
    <cellStyle name="Normal 2 8 3 9" xfId="4262"/>
    <cellStyle name="Normal 2 8 3 9 2" xfId="4263"/>
    <cellStyle name="Normal 2 8 4" xfId="4264"/>
    <cellStyle name="Normal 2 8 4 10" xfId="4265"/>
    <cellStyle name="Normal 2 8 4 11" xfId="4266"/>
    <cellStyle name="Normal 2 8 4 2" xfId="4267"/>
    <cellStyle name="Normal 2 8 4 2 2" xfId="4268"/>
    <cellStyle name="Normal 2 8 4 2 2 2" xfId="4269"/>
    <cellStyle name="Normal 2 8 4 2 2 2 2" xfId="4270"/>
    <cellStyle name="Normal 2 8 4 2 2 2 2 2" xfId="4271"/>
    <cellStyle name="Normal 2 8 4 2 2 2 3" xfId="4272"/>
    <cellStyle name="Normal 2 8 4 2 2 2 4" xfId="4273"/>
    <cellStyle name="Normal 2 8 4 2 2 2 5" xfId="4274"/>
    <cellStyle name="Normal 2 8 4 2 2 3" xfId="4275"/>
    <cellStyle name="Normal 2 8 4 2 2 3 2" xfId="4276"/>
    <cellStyle name="Normal 2 8 4 2 2 4" xfId="4277"/>
    <cellStyle name="Normal 2 8 4 2 2 5" xfId="4278"/>
    <cellStyle name="Normal 2 8 4 2 2 6" xfId="4279"/>
    <cellStyle name="Normal 2 8 4 2 3" xfId="4280"/>
    <cellStyle name="Normal 2 8 4 2 3 2" xfId="4281"/>
    <cellStyle name="Normal 2 8 4 2 3 2 2" xfId="4282"/>
    <cellStyle name="Normal 2 8 4 2 3 3" xfId="4283"/>
    <cellStyle name="Normal 2 8 4 2 3 4" xfId="4284"/>
    <cellStyle name="Normal 2 8 4 2 3 5" xfId="4285"/>
    <cellStyle name="Normal 2 8 4 2 4" xfId="4286"/>
    <cellStyle name="Normal 2 8 4 2 4 2" xfId="4287"/>
    <cellStyle name="Normal 2 8 4 2 5" xfId="4288"/>
    <cellStyle name="Normal 2 8 4 2 6" xfId="4289"/>
    <cellStyle name="Normal 2 8 4 2 7" xfId="4290"/>
    <cellStyle name="Normal 2 8 4 3" xfId="4291"/>
    <cellStyle name="Normal 2 8 4 3 2" xfId="4292"/>
    <cellStyle name="Normal 2 8 4 3 2 2" xfId="4293"/>
    <cellStyle name="Normal 2 8 4 3 2 2 2" xfId="4294"/>
    <cellStyle name="Normal 2 8 4 3 2 2 2 2" xfId="4295"/>
    <cellStyle name="Normal 2 8 4 3 2 2 3" xfId="4296"/>
    <cellStyle name="Normal 2 8 4 3 2 2 4" xfId="4297"/>
    <cellStyle name="Normal 2 8 4 3 2 2 5" xfId="4298"/>
    <cellStyle name="Normal 2 8 4 3 2 3" xfId="4299"/>
    <cellStyle name="Normal 2 8 4 3 2 3 2" xfId="4300"/>
    <cellStyle name="Normal 2 8 4 3 2 4" xfId="4301"/>
    <cellStyle name="Normal 2 8 4 3 2 5" xfId="4302"/>
    <cellStyle name="Normal 2 8 4 3 2 6" xfId="4303"/>
    <cellStyle name="Normal 2 8 4 3 3" xfId="4304"/>
    <cellStyle name="Normal 2 8 4 3 3 2" xfId="4305"/>
    <cellStyle name="Normal 2 8 4 3 3 2 2" xfId="4306"/>
    <cellStyle name="Normal 2 8 4 3 3 3" xfId="4307"/>
    <cellStyle name="Normal 2 8 4 3 3 4" xfId="4308"/>
    <cellStyle name="Normal 2 8 4 3 3 5" xfId="4309"/>
    <cellStyle name="Normal 2 8 4 3 4" xfId="4310"/>
    <cellStyle name="Normal 2 8 4 3 4 2" xfId="4311"/>
    <cellStyle name="Normal 2 8 4 3 5" xfId="4312"/>
    <cellStyle name="Normal 2 8 4 3 6" xfId="4313"/>
    <cellStyle name="Normal 2 8 4 3 7" xfId="4314"/>
    <cellStyle name="Normal 2 8 4 4" xfId="4315"/>
    <cellStyle name="Normal 2 8 4 4 2" xfId="4316"/>
    <cellStyle name="Normal 2 8 4 4 2 2" xfId="4317"/>
    <cellStyle name="Normal 2 8 4 4 2 2 2" xfId="4318"/>
    <cellStyle name="Normal 2 8 4 4 2 3" xfId="4319"/>
    <cellStyle name="Normal 2 8 4 4 2 4" xfId="4320"/>
    <cellStyle name="Normal 2 8 4 4 2 5" xfId="4321"/>
    <cellStyle name="Normal 2 8 4 4 3" xfId="4322"/>
    <cellStyle name="Normal 2 8 4 4 3 2" xfId="4323"/>
    <cellStyle name="Normal 2 8 4 4 4" xfId="4324"/>
    <cellStyle name="Normal 2 8 4 4 5" xfId="4325"/>
    <cellStyle name="Normal 2 8 4 4 6" xfId="4326"/>
    <cellStyle name="Normal 2 8 4 5" xfId="4327"/>
    <cellStyle name="Normal 2 8 4 5 2" xfId="4328"/>
    <cellStyle name="Normal 2 8 4 5 2 2" xfId="4329"/>
    <cellStyle name="Normal 2 8 4 5 2 2 2" xfId="4330"/>
    <cellStyle name="Normal 2 8 4 5 2 3" xfId="4331"/>
    <cellStyle name="Normal 2 8 4 5 2 4" xfId="4332"/>
    <cellStyle name="Normal 2 8 4 5 2 5" xfId="4333"/>
    <cellStyle name="Normal 2 8 4 5 3" xfId="4334"/>
    <cellStyle name="Normal 2 8 4 5 3 2" xfId="4335"/>
    <cellStyle name="Normal 2 8 4 5 4" xfId="4336"/>
    <cellStyle name="Normal 2 8 4 5 5" xfId="4337"/>
    <cellStyle name="Normal 2 8 4 5 6" xfId="4338"/>
    <cellStyle name="Normal 2 8 4 6" xfId="4339"/>
    <cellStyle name="Normal 2 8 4 6 2" xfId="4340"/>
    <cellStyle name="Normal 2 8 4 6 2 2" xfId="4341"/>
    <cellStyle name="Normal 2 8 4 6 3" xfId="4342"/>
    <cellStyle name="Normal 2 8 4 6 4" xfId="4343"/>
    <cellStyle name="Normal 2 8 4 6 5" xfId="4344"/>
    <cellStyle name="Normal 2 8 4 7" xfId="4345"/>
    <cellStyle name="Normal 2 8 4 7 2" xfId="4346"/>
    <cellStyle name="Normal 2 8 4 7 2 2" xfId="4347"/>
    <cellStyle name="Normal 2 8 4 7 3" xfId="4348"/>
    <cellStyle name="Normal 2 8 4 7 4" xfId="4349"/>
    <cellStyle name="Normal 2 8 4 7 5" xfId="4350"/>
    <cellStyle name="Normal 2 8 4 8" xfId="4351"/>
    <cellStyle name="Normal 2 8 4 8 2" xfId="4352"/>
    <cellStyle name="Normal 2 8 4 9" xfId="4353"/>
    <cellStyle name="Normal 2 8 5" xfId="4354"/>
    <cellStyle name="Normal 2 8 5 10" xfId="4355"/>
    <cellStyle name="Normal 2 8 5 11" xfId="4356"/>
    <cellStyle name="Normal 2 8 5 2" xfId="4357"/>
    <cellStyle name="Normal 2 8 5 2 2" xfId="4358"/>
    <cellStyle name="Normal 2 8 5 2 2 2" xfId="4359"/>
    <cellStyle name="Normal 2 8 5 2 2 2 2" xfId="4360"/>
    <cellStyle name="Normal 2 8 5 2 2 2 2 2" xfId="4361"/>
    <cellStyle name="Normal 2 8 5 2 2 2 3" xfId="4362"/>
    <cellStyle name="Normal 2 8 5 2 2 2 4" xfId="4363"/>
    <cellStyle name="Normal 2 8 5 2 2 2 5" xfId="4364"/>
    <cellStyle name="Normal 2 8 5 2 2 3" xfId="4365"/>
    <cellStyle name="Normal 2 8 5 2 2 3 2" xfId="4366"/>
    <cellStyle name="Normal 2 8 5 2 2 4" xfId="4367"/>
    <cellStyle name="Normal 2 8 5 2 2 5" xfId="4368"/>
    <cellStyle name="Normal 2 8 5 2 2 6" xfId="4369"/>
    <cellStyle name="Normal 2 8 5 2 3" xfId="4370"/>
    <cellStyle name="Normal 2 8 5 2 3 2" xfId="4371"/>
    <cellStyle name="Normal 2 8 5 2 3 2 2" xfId="4372"/>
    <cellStyle name="Normal 2 8 5 2 3 3" xfId="4373"/>
    <cellStyle name="Normal 2 8 5 2 3 4" xfId="4374"/>
    <cellStyle name="Normal 2 8 5 2 3 5" xfId="4375"/>
    <cellStyle name="Normal 2 8 5 2 4" xfId="4376"/>
    <cellStyle name="Normal 2 8 5 2 4 2" xfId="4377"/>
    <cellStyle name="Normal 2 8 5 2 5" xfId="4378"/>
    <cellStyle name="Normal 2 8 5 2 6" xfId="4379"/>
    <cellStyle name="Normal 2 8 5 2 7" xfId="4380"/>
    <cellStyle name="Normal 2 8 5 3" xfId="4381"/>
    <cellStyle name="Normal 2 8 5 3 2" xfId="4382"/>
    <cellStyle name="Normal 2 8 5 3 2 2" xfId="4383"/>
    <cellStyle name="Normal 2 8 5 3 2 2 2" xfId="4384"/>
    <cellStyle name="Normal 2 8 5 3 2 2 2 2" xfId="4385"/>
    <cellStyle name="Normal 2 8 5 3 2 2 3" xfId="4386"/>
    <cellStyle name="Normal 2 8 5 3 2 2 4" xfId="4387"/>
    <cellStyle name="Normal 2 8 5 3 2 2 5" xfId="4388"/>
    <cellStyle name="Normal 2 8 5 3 2 3" xfId="4389"/>
    <cellStyle name="Normal 2 8 5 3 2 3 2" xfId="4390"/>
    <cellStyle name="Normal 2 8 5 3 2 4" xfId="4391"/>
    <cellStyle name="Normal 2 8 5 3 2 5" xfId="4392"/>
    <cellStyle name="Normal 2 8 5 3 2 6" xfId="4393"/>
    <cellStyle name="Normal 2 8 5 3 3" xfId="4394"/>
    <cellStyle name="Normal 2 8 5 3 3 2" xfId="4395"/>
    <cellStyle name="Normal 2 8 5 3 3 2 2" xfId="4396"/>
    <cellStyle name="Normal 2 8 5 3 3 3" xfId="4397"/>
    <cellStyle name="Normal 2 8 5 3 3 4" xfId="4398"/>
    <cellStyle name="Normal 2 8 5 3 3 5" xfId="4399"/>
    <cellStyle name="Normal 2 8 5 3 4" xfId="4400"/>
    <cellStyle name="Normal 2 8 5 3 4 2" xfId="4401"/>
    <cellStyle name="Normal 2 8 5 3 5" xfId="4402"/>
    <cellStyle name="Normal 2 8 5 3 6" xfId="4403"/>
    <cellStyle name="Normal 2 8 5 3 7" xfId="4404"/>
    <cellStyle name="Normal 2 8 5 4" xfId="4405"/>
    <cellStyle name="Normal 2 8 5 4 2" xfId="4406"/>
    <cellStyle name="Normal 2 8 5 4 2 2" xfId="4407"/>
    <cellStyle name="Normal 2 8 5 4 2 2 2" xfId="4408"/>
    <cellStyle name="Normal 2 8 5 4 2 3" xfId="4409"/>
    <cellStyle name="Normal 2 8 5 4 2 4" xfId="4410"/>
    <cellStyle name="Normal 2 8 5 4 2 5" xfId="4411"/>
    <cellStyle name="Normal 2 8 5 4 3" xfId="4412"/>
    <cellStyle name="Normal 2 8 5 4 3 2" xfId="4413"/>
    <cellStyle name="Normal 2 8 5 4 4" xfId="4414"/>
    <cellStyle name="Normal 2 8 5 4 5" xfId="4415"/>
    <cellStyle name="Normal 2 8 5 4 6" xfId="4416"/>
    <cellStyle name="Normal 2 8 5 5" xfId="4417"/>
    <cellStyle name="Normal 2 8 5 5 2" xfId="4418"/>
    <cellStyle name="Normal 2 8 5 5 2 2" xfId="4419"/>
    <cellStyle name="Normal 2 8 5 5 2 2 2" xfId="4420"/>
    <cellStyle name="Normal 2 8 5 5 2 3" xfId="4421"/>
    <cellStyle name="Normal 2 8 5 5 2 4" xfId="4422"/>
    <cellStyle name="Normal 2 8 5 5 2 5" xfId="4423"/>
    <cellStyle name="Normal 2 8 5 5 3" xfId="4424"/>
    <cellStyle name="Normal 2 8 5 5 3 2" xfId="4425"/>
    <cellStyle name="Normal 2 8 5 5 4" xfId="4426"/>
    <cellStyle name="Normal 2 8 5 5 5" xfId="4427"/>
    <cellStyle name="Normal 2 8 5 5 6" xfId="4428"/>
    <cellStyle name="Normal 2 8 5 6" xfId="4429"/>
    <cellStyle name="Normal 2 8 5 6 2" xfId="4430"/>
    <cellStyle name="Normal 2 8 5 6 2 2" xfId="4431"/>
    <cellStyle name="Normal 2 8 5 6 3" xfId="4432"/>
    <cellStyle name="Normal 2 8 5 6 4" xfId="4433"/>
    <cellStyle name="Normal 2 8 5 6 5" xfId="4434"/>
    <cellStyle name="Normal 2 8 5 7" xfId="4435"/>
    <cellStyle name="Normal 2 8 5 7 2" xfId="4436"/>
    <cellStyle name="Normal 2 8 5 7 2 2" xfId="4437"/>
    <cellStyle name="Normal 2 8 5 7 3" xfId="4438"/>
    <cellStyle name="Normal 2 8 5 7 4" xfId="4439"/>
    <cellStyle name="Normal 2 8 5 7 5" xfId="4440"/>
    <cellStyle name="Normal 2 8 5 8" xfId="4441"/>
    <cellStyle name="Normal 2 8 5 8 2" xfId="4442"/>
    <cellStyle name="Normal 2 8 5 9" xfId="4443"/>
    <cellStyle name="Normal 2 8 6" xfId="4444"/>
    <cellStyle name="Normal 2 8 7" xfId="4445"/>
    <cellStyle name="Normal 2 8 7 2" xfId="4446"/>
    <cellStyle name="Normal 2 8 7 2 2" xfId="4447"/>
    <cellStyle name="Normal 2 8 7 2 2 2" xfId="4448"/>
    <cellStyle name="Normal 2 8 7 2 2 2 2" xfId="4449"/>
    <cellStyle name="Normal 2 8 7 2 2 3" xfId="4450"/>
    <cellStyle name="Normal 2 8 7 2 2 4" xfId="4451"/>
    <cellStyle name="Normal 2 8 7 2 2 5" xfId="4452"/>
    <cellStyle name="Normal 2 8 7 2 3" xfId="4453"/>
    <cellStyle name="Normal 2 8 7 2 3 2" xfId="4454"/>
    <cellStyle name="Normal 2 8 7 2 4" xfId="4455"/>
    <cellStyle name="Normal 2 8 7 2 5" xfId="4456"/>
    <cellStyle name="Normal 2 8 7 2 6" xfId="4457"/>
    <cellStyle name="Normal 2 8 7 3" xfId="4458"/>
    <cellStyle name="Normal 2 8 7 3 2" xfId="4459"/>
    <cellStyle name="Normal 2 8 7 3 2 2" xfId="4460"/>
    <cellStyle name="Normal 2 8 7 3 3" xfId="4461"/>
    <cellStyle name="Normal 2 8 7 3 4" xfId="4462"/>
    <cellStyle name="Normal 2 8 7 3 5" xfId="4463"/>
    <cellStyle name="Normal 2 8 7 4" xfId="4464"/>
    <cellStyle name="Normal 2 8 7 4 2" xfId="4465"/>
    <cellStyle name="Normal 2 8 7 5" xfId="4466"/>
    <cellStyle name="Normal 2 8 7 6" xfId="4467"/>
    <cellStyle name="Normal 2 8 7 7" xfId="4468"/>
    <cellStyle name="Normal 2 8 8" xfId="4469"/>
    <cellStyle name="Normal 2 8 8 2" xfId="4470"/>
    <cellStyle name="Normal 2 8 8 2 2" xfId="4471"/>
    <cellStyle name="Normal 2 8 8 2 2 2" xfId="4472"/>
    <cellStyle name="Normal 2 8 8 2 2 2 2" xfId="4473"/>
    <cellStyle name="Normal 2 8 8 2 2 3" xfId="4474"/>
    <cellStyle name="Normal 2 8 8 2 2 4" xfId="4475"/>
    <cellStyle name="Normal 2 8 8 2 2 5" xfId="4476"/>
    <cellStyle name="Normal 2 8 8 2 3" xfId="4477"/>
    <cellStyle name="Normal 2 8 8 2 3 2" xfId="4478"/>
    <cellStyle name="Normal 2 8 8 2 4" xfId="4479"/>
    <cellStyle name="Normal 2 8 8 2 5" xfId="4480"/>
    <cellStyle name="Normal 2 8 8 2 6" xfId="4481"/>
    <cellStyle name="Normal 2 8 8 3" xfId="4482"/>
    <cellStyle name="Normal 2 8 8 3 2" xfId="4483"/>
    <cellStyle name="Normal 2 8 8 3 2 2" xfId="4484"/>
    <cellStyle name="Normal 2 8 8 3 3" xfId="4485"/>
    <cellStyle name="Normal 2 8 8 3 4" xfId="4486"/>
    <cellStyle name="Normal 2 8 8 3 5" xfId="4487"/>
    <cellStyle name="Normal 2 8 8 4" xfId="4488"/>
    <cellStyle name="Normal 2 8 8 4 2" xfId="4489"/>
    <cellStyle name="Normal 2 8 8 5" xfId="4490"/>
    <cellStyle name="Normal 2 8 8 6" xfId="4491"/>
    <cellStyle name="Normal 2 8 8 7" xfId="4492"/>
    <cellStyle name="Normal 2 8 9" xfId="4493"/>
    <cellStyle name="Normal 2 8 9 2" xfId="4494"/>
    <cellStyle name="Normal 2 8 9 2 2" xfId="4495"/>
    <cellStyle name="Normal 2 8 9 2 2 2" xfId="4496"/>
    <cellStyle name="Normal 2 8 9 2 3" xfId="4497"/>
    <cellStyle name="Normal 2 8 9 2 4" xfId="4498"/>
    <cellStyle name="Normal 2 8 9 2 5" xfId="4499"/>
    <cellStyle name="Normal 2 8 9 3" xfId="4500"/>
    <cellStyle name="Normal 2 8 9 3 2" xfId="4501"/>
    <cellStyle name="Normal 2 8 9 4" xfId="4502"/>
    <cellStyle name="Normal 2 8 9 5" xfId="4503"/>
    <cellStyle name="Normal 2 8 9 6" xfId="4504"/>
    <cellStyle name="Normal 2 9" xfId="4505"/>
    <cellStyle name="Normal 2 9 10" xfId="4506"/>
    <cellStyle name="Normal 2 9 10 2" xfId="4507"/>
    <cellStyle name="Normal 2 9 10 2 2" xfId="4508"/>
    <cellStyle name="Normal 2 9 10 2 2 2" xfId="4509"/>
    <cellStyle name="Normal 2 9 10 2 3" xfId="4510"/>
    <cellStyle name="Normal 2 9 10 2 4" xfId="4511"/>
    <cellStyle name="Normal 2 9 10 2 5" xfId="4512"/>
    <cellStyle name="Normal 2 9 10 3" xfId="4513"/>
    <cellStyle name="Normal 2 9 10 3 2" xfId="4514"/>
    <cellStyle name="Normal 2 9 10 4" xfId="4515"/>
    <cellStyle name="Normal 2 9 10 5" xfId="4516"/>
    <cellStyle name="Normal 2 9 10 6" xfId="4517"/>
    <cellStyle name="Normal 2 9 11" xfId="4518"/>
    <cellStyle name="Normal 2 9 11 2" xfId="4519"/>
    <cellStyle name="Normal 2 9 11 2 2" xfId="4520"/>
    <cellStyle name="Normal 2 9 11 2 2 2" xfId="4521"/>
    <cellStyle name="Normal 2 9 11 2 3" xfId="4522"/>
    <cellStyle name="Normal 2 9 11 2 4" xfId="4523"/>
    <cellStyle name="Normal 2 9 11 2 5" xfId="4524"/>
    <cellStyle name="Normal 2 9 11 3" xfId="4525"/>
    <cellStyle name="Normal 2 9 11 3 2" xfId="4526"/>
    <cellStyle name="Normal 2 9 11 4" xfId="4527"/>
    <cellStyle name="Normal 2 9 11 5" xfId="4528"/>
    <cellStyle name="Normal 2 9 11 6" xfId="4529"/>
    <cellStyle name="Normal 2 9 12" xfId="4530"/>
    <cellStyle name="Normal 2 9 12 2" xfId="4531"/>
    <cellStyle name="Normal 2 9 12 2 2" xfId="4532"/>
    <cellStyle name="Normal 2 9 12 3" xfId="4533"/>
    <cellStyle name="Normal 2 9 12 4" xfId="4534"/>
    <cellStyle name="Normal 2 9 12 5" xfId="4535"/>
    <cellStyle name="Normal 2 9 13" xfId="4536"/>
    <cellStyle name="Normal 2 9 13 2" xfId="4537"/>
    <cellStyle name="Normal 2 9 13 2 2" xfId="4538"/>
    <cellStyle name="Normal 2 9 13 3" xfId="4539"/>
    <cellStyle name="Normal 2 9 13 4" xfId="4540"/>
    <cellStyle name="Normal 2 9 13 5" xfId="4541"/>
    <cellStyle name="Normal 2 9 14" xfId="4542"/>
    <cellStyle name="Normal 2 9 14 2" xfId="4543"/>
    <cellStyle name="Normal 2 9 15" xfId="4544"/>
    <cellStyle name="Normal 2 9 16" xfId="4545"/>
    <cellStyle name="Normal 2 9 17" xfId="4546"/>
    <cellStyle name="Normal 2 9 2" xfId="4547"/>
    <cellStyle name="Normal 2 9 2 10" xfId="4548"/>
    <cellStyle name="Normal 2 9 2 11" xfId="4549"/>
    <cellStyle name="Normal 2 9 2 12" xfId="4550"/>
    <cellStyle name="Normal 2 9 2 2" xfId="4551"/>
    <cellStyle name="Normal 2 9 2 3" xfId="4552"/>
    <cellStyle name="Normal 2 9 2 3 2" xfId="4553"/>
    <cellStyle name="Normal 2 9 2 3 2 2" xfId="4554"/>
    <cellStyle name="Normal 2 9 2 3 2 2 2" xfId="4555"/>
    <cellStyle name="Normal 2 9 2 3 2 2 2 2" xfId="4556"/>
    <cellStyle name="Normal 2 9 2 3 2 2 3" xfId="4557"/>
    <cellStyle name="Normal 2 9 2 3 2 2 4" xfId="4558"/>
    <cellStyle name="Normal 2 9 2 3 2 2 5" xfId="4559"/>
    <cellStyle name="Normal 2 9 2 3 2 3" xfId="4560"/>
    <cellStyle name="Normal 2 9 2 3 2 3 2" xfId="4561"/>
    <cellStyle name="Normal 2 9 2 3 2 4" xfId="4562"/>
    <cellStyle name="Normal 2 9 2 3 2 5" xfId="4563"/>
    <cellStyle name="Normal 2 9 2 3 2 6" xfId="4564"/>
    <cellStyle name="Normal 2 9 2 3 3" xfId="4565"/>
    <cellStyle name="Normal 2 9 2 3 3 2" xfId="4566"/>
    <cellStyle name="Normal 2 9 2 3 3 2 2" xfId="4567"/>
    <cellStyle name="Normal 2 9 2 3 3 3" xfId="4568"/>
    <cellStyle name="Normal 2 9 2 3 3 4" xfId="4569"/>
    <cellStyle name="Normal 2 9 2 3 3 5" xfId="4570"/>
    <cellStyle name="Normal 2 9 2 3 4" xfId="4571"/>
    <cellStyle name="Normal 2 9 2 3 4 2" xfId="4572"/>
    <cellStyle name="Normal 2 9 2 3 5" xfId="4573"/>
    <cellStyle name="Normal 2 9 2 3 6" xfId="4574"/>
    <cellStyle name="Normal 2 9 2 3 7" xfId="4575"/>
    <cellStyle name="Normal 2 9 2 4" xfId="4576"/>
    <cellStyle name="Normal 2 9 2 4 2" xfId="4577"/>
    <cellStyle name="Normal 2 9 2 4 2 2" xfId="4578"/>
    <cellStyle name="Normal 2 9 2 4 2 2 2" xfId="4579"/>
    <cellStyle name="Normal 2 9 2 4 2 2 2 2" xfId="4580"/>
    <cellStyle name="Normal 2 9 2 4 2 2 3" xfId="4581"/>
    <cellStyle name="Normal 2 9 2 4 2 2 4" xfId="4582"/>
    <cellStyle name="Normal 2 9 2 4 2 2 5" xfId="4583"/>
    <cellStyle name="Normal 2 9 2 4 2 3" xfId="4584"/>
    <cellStyle name="Normal 2 9 2 4 2 3 2" xfId="4585"/>
    <cellStyle name="Normal 2 9 2 4 2 4" xfId="4586"/>
    <cellStyle name="Normal 2 9 2 4 2 5" xfId="4587"/>
    <cellStyle name="Normal 2 9 2 4 2 6" xfId="4588"/>
    <cellStyle name="Normal 2 9 2 4 3" xfId="4589"/>
    <cellStyle name="Normal 2 9 2 4 3 2" xfId="4590"/>
    <cellStyle name="Normal 2 9 2 4 3 2 2" xfId="4591"/>
    <cellStyle name="Normal 2 9 2 4 3 3" xfId="4592"/>
    <cellStyle name="Normal 2 9 2 4 3 4" xfId="4593"/>
    <cellStyle name="Normal 2 9 2 4 3 5" xfId="4594"/>
    <cellStyle name="Normal 2 9 2 4 4" xfId="4595"/>
    <cellStyle name="Normal 2 9 2 4 4 2" xfId="4596"/>
    <cellStyle name="Normal 2 9 2 4 5" xfId="4597"/>
    <cellStyle name="Normal 2 9 2 4 6" xfId="4598"/>
    <cellStyle name="Normal 2 9 2 4 7" xfId="4599"/>
    <cellStyle name="Normal 2 9 2 5" xfId="4600"/>
    <cellStyle name="Normal 2 9 2 5 2" xfId="4601"/>
    <cellStyle name="Normal 2 9 2 5 2 2" xfId="4602"/>
    <cellStyle name="Normal 2 9 2 5 2 2 2" xfId="4603"/>
    <cellStyle name="Normal 2 9 2 5 2 3" xfId="4604"/>
    <cellStyle name="Normal 2 9 2 5 2 4" xfId="4605"/>
    <cellStyle name="Normal 2 9 2 5 2 5" xfId="4606"/>
    <cellStyle name="Normal 2 9 2 5 3" xfId="4607"/>
    <cellStyle name="Normal 2 9 2 5 3 2" xfId="4608"/>
    <cellStyle name="Normal 2 9 2 5 4" xfId="4609"/>
    <cellStyle name="Normal 2 9 2 5 5" xfId="4610"/>
    <cellStyle name="Normal 2 9 2 5 6" xfId="4611"/>
    <cellStyle name="Normal 2 9 2 6" xfId="4612"/>
    <cellStyle name="Normal 2 9 2 6 2" xfId="4613"/>
    <cellStyle name="Normal 2 9 2 6 2 2" xfId="4614"/>
    <cellStyle name="Normal 2 9 2 6 2 2 2" xfId="4615"/>
    <cellStyle name="Normal 2 9 2 6 2 3" xfId="4616"/>
    <cellStyle name="Normal 2 9 2 6 2 4" xfId="4617"/>
    <cellStyle name="Normal 2 9 2 6 2 5" xfId="4618"/>
    <cellStyle name="Normal 2 9 2 6 3" xfId="4619"/>
    <cellStyle name="Normal 2 9 2 6 3 2" xfId="4620"/>
    <cellStyle name="Normal 2 9 2 6 4" xfId="4621"/>
    <cellStyle name="Normal 2 9 2 6 5" xfId="4622"/>
    <cellStyle name="Normal 2 9 2 6 6" xfId="4623"/>
    <cellStyle name="Normal 2 9 2 7" xfId="4624"/>
    <cellStyle name="Normal 2 9 2 7 2" xfId="4625"/>
    <cellStyle name="Normal 2 9 2 7 2 2" xfId="4626"/>
    <cellStyle name="Normal 2 9 2 7 3" xfId="4627"/>
    <cellStyle name="Normal 2 9 2 7 4" xfId="4628"/>
    <cellStyle name="Normal 2 9 2 7 5" xfId="4629"/>
    <cellStyle name="Normal 2 9 2 8" xfId="4630"/>
    <cellStyle name="Normal 2 9 2 8 2" xfId="4631"/>
    <cellStyle name="Normal 2 9 2 8 2 2" xfId="4632"/>
    <cellStyle name="Normal 2 9 2 8 3" xfId="4633"/>
    <cellStyle name="Normal 2 9 2 8 4" xfId="4634"/>
    <cellStyle name="Normal 2 9 2 8 5" xfId="4635"/>
    <cellStyle name="Normal 2 9 2 9" xfId="4636"/>
    <cellStyle name="Normal 2 9 2 9 2" xfId="4637"/>
    <cellStyle name="Normal 2 9 3" xfId="4638"/>
    <cellStyle name="Normal 2 9 3 10" xfId="4639"/>
    <cellStyle name="Normal 2 9 3 11" xfId="4640"/>
    <cellStyle name="Normal 2 9 3 12" xfId="4641"/>
    <cellStyle name="Normal 2 9 3 2" xfId="4642"/>
    <cellStyle name="Normal 2 9 3 3" xfId="4643"/>
    <cellStyle name="Normal 2 9 3 3 2" xfId="4644"/>
    <cellStyle name="Normal 2 9 3 3 2 2" xfId="4645"/>
    <cellStyle name="Normal 2 9 3 3 2 2 2" xfId="4646"/>
    <cellStyle name="Normal 2 9 3 3 2 2 2 2" xfId="4647"/>
    <cellStyle name="Normal 2 9 3 3 2 2 3" xfId="4648"/>
    <cellStyle name="Normal 2 9 3 3 2 2 4" xfId="4649"/>
    <cellStyle name="Normal 2 9 3 3 2 2 5" xfId="4650"/>
    <cellStyle name="Normal 2 9 3 3 2 3" xfId="4651"/>
    <cellStyle name="Normal 2 9 3 3 2 3 2" xfId="4652"/>
    <cellStyle name="Normal 2 9 3 3 2 4" xfId="4653"/>
    <cellStyle name="Normal 2 9 3 3 2 5" xfId="4654"/>
    <cellStyle name="Normal 2 9 3 3 2 6" xfId="4655"/>
    <cellStyle name="Normal 2 9 3 3 3" xfId="4656"/>
    <cellStyle name="Normal 2 9 3 3 3 2" xfId="4657"/>
    <cellStyle name="Normal 2 9 3 3 3 2 2" xfId="4658"/>
    <cellStyle name="Normal 2 9 3 3 3 3" xfId="4659"/>
    <cellStyle name="Normal 2 9 3 3 3 4" xfId="4660"/>
    <cellStyle name="Normal 2 9 3 3 3 5" xfId="4661"/>
    <cellStyle name="Normal 2 9 3 3 4" xfId="4662"/>
    <cellStyle name="Normal 2 9 3 3 4 2" xfId="4663"/>
    <cellStyle name="Normal 2 9 3 3 5" xfId="4664"/>
    <cellStyle name="Normal 2 9 3 3 6" xfId="4665"/>
    <cellStyle name="Normal 2 9 3 3 7" xfId="4666"/>
    <cellStyle name="Normal 2 9 3 4" xfId="4667"/>
    <cellStyle name="Normal 2 9 3 4 2" xfId="4668"/>
    <cellStyle name="Normal 2 9 3 4 2 2" xfId="4669"/>
    <cellStyle name="Normal 2 9 3 4 2 2 2" xfId="4670"/>
    <cellStyle name="Normal 2 9 3 4 2 2 2 2" xfId="4671"/>
    <cellStyle name="Normal 2 9 3 4 2 2 3" xfId="4672"/>
    <cellStyle name="Normal 2 9 3 4 2 2 4" xfId="4673"/>
    <cellStyle name="Normal 2 9 3 4 2 2 5" xfId="4674"/>
    <cellStyle name="Normal 2 9 3 4 2 3" xfId="4675"/>
    <cellStyle name="Normal 2 9 3 4 2 3 2" xfId="4676"/>
    <cellStyle name="Normal 2 9 3 4 2 4" xfId="4677"/>
    <cellStyle name="Normal 2 9 3 4 2 5" xfId="4678"/>
    <cellStyle name="Normal 2 9 3 4 2 6" xfId="4679"/>
    <cellStyle name="Normal 2 9 3 4 3" xfId="4680"/>
    <cellStyle name="Normal 2 9 3 4 3 2" xfId="4681"/>
    <cellStyle name="Normal 2 9 3 4 3 2 2" xfId="4682"/>
    <cellStyle name="Normal 2 9 3 4 3 3" xfId="4683"/>
    <cellStyle name="Normal 2 9 3 4 3 4" xfId="4684"/>
    <cellStyle name="Normal 2 9 3 4 3 5" xfId="4685"/>
    <cellStyle name="Normal 2 9 3 4 4" xfId="4686"/>
    <cellStyle name="Normal 2 9 3 4 4 2" xfId="4687"/>
    <cellStyle name="Normal 2 9 3 4 5" xfId="4688"/>
    <cellStyle name="Normal 2 9 3 4 6" xfId="4689"/>
    <cellStyle name="Normal 2 9 3 4 7" xfId="4690"/>
    <cellStyle name="Normal 2 9 3 5" xfId="4691"/>
    <cellStyle name="Normal 2 9 3 5 2" xfId="4692"/>
    <cellStyle name="Normal 2 9 3 5 2 2" xfId="4693"/>
    <cellStyle name="Normal 2 9 3 5 2 2 2" xfId="4694"/>
    <cellStyle name="Normal 2 9 3 5 2 3" xfId="4695"/>
    <cellStyle name="Normal 2 9 3 5 2 4" xfId="4696"/>
    <cellStyle name="Normal 2 9 3 5 2 5" xfId="4697"/>
    <cellStyle name="Normal 2 9 3 5 3" xfId="4698"/>
    <cellStyle name="Normal 2 9 3 5 3 2" xfId="4699"/>
    <cellStyle name="Normal 2 9 3 5 4" xfId="4700"/>
    <cellStyle name="Normal 2 9 3 5 5" xfId="4701"/>
    <cellStyle name="Normal 2 9 3 5 6" xfId="4702"/>
    <cellStyle name="Normal 2 9 3 6" xfId="4703"/>
    <cellStyle name="Normal 2 9 3 6 2" xfId="4704"/>
    <cellStyle name="Normal 2 9 3 6 2 2" xfId="4705"/>
    <cellStyle name="Normal 2 9 3 6 2 2 2" xfId="4706"/>
    <cellStyle name="Normal 2 9 3 6 2 3" xfId="4707"/>
    <cellStyle name="Normal 2 9 3 6 2 4" xfId="4708"/>
    <cellStyle name="Normal 2 9 3 6 2 5" xfId="4709"/>
    <cellStyle name="Normal 2 9 3 6 3" xfId="4710"/>
    <cellStyle name="Normal 2 9 3 6 3 2" xfId="4711"/>
    <cellStyle name="Normal 2 9 3 6 4" xfId="4712"/>
    <cellStyle name="Normal 2 9 3 6 5" xfId="4713"/>
    <cellStyle name="Normal 2 9 3 6 6" xfId="4714"/>
    <cellStyle name="Normal 2 9 3 7" xfId="4715"/>
    <cellStyle name="Normal 2 9 3 7 2" xfId="4716"/>
    <cellStyle name="Normal 2 9 3 7 2 2" xfId="4717"/>
    <cellStyle name="Normal 2 9 3 7 3" xfId="4718"/>
    <cellStyle name="Normal 2 9 3 7 4" xfId="4719"/>
    <cellStyle name="Normal 2 9 3 7 5" xfId="4720"/>
    <cellStyle name="Normal 2 9 3 8" xfId="4721"/>
    <cellStyle name="Normal 2 9 3 8 2" xfId="4722"/>
    <cellStyle name="Normal 2 9 3 8 2 2" xfId="4723"/>
    <cellStyle name="Normal 2 9 3 8 3" xfId="4724"/>
    <cellStyle name="Normal 2 9 3 8 4" xfId="4725"/>
    <cellStyle name="Normal 2 9 3 8 5" xfId="4726"/>
    <cellStyle name="Normal 2 9 3 9" xfId="4727"/>
    <cellStyle name="Normal 2 9 3 9 2" xfId="4728"/>
    <cellStyle name="Normal 2 9 4" xfId="4729"/>
    <cellStyle name="Normal 2 9 4 10" xfId="4730"/>
    <cellStyle name="Normal 2 9 4 11" xfId="4731"/>
    <cellStyle name="Normal 2 9 4 2" xfId="4732"/>
    <cellStyle name="Normal 2 9 4 2 2" xfId="4733"/>
    <cellStyle name="Normal 2 9 4 2 2 2" xfId="4734"/>
    <cellStyle name="Normal 2 9 4 2 2 2 2" xfId="4735"/>
    <cellStyle name="Normal 2 9 4 2 2 2 2 2" xfId="4736"/>
    <cellStyle name="Normal 2 9 4 2 2 2 3" xfId="4737"/>
    <cellStyle name="Normal 2 9 4 2 2 2 4" xfId="4738"/>
    <cellStyle name="Normal 2 9 4 2 2 2 5" xfId="4739"/>
    <cellStyle name="Normal 2 9 4 2 2 3" xfId="4740"/>
    <cellStyle name="Normal 2 9 4 2 2 3 2" xfId="4741"/>
    <cellStyle name="Normal 2 9 4 2 2 4" xfId="4742"/>
    <cellStyle name="Normal 2 9 4 2 2 5" xfId="4743"/>
    <cellStyle name="Normal 2 9 4 2 2 6" xfId="4744"/>
    <cellStyle name="Normal 2 9 4 2 3" xfId="4745"/>
    <cellStyle name="Normal 2 9 4 2 3 2" xfId="4746"/>
    <cellStyle name="Normal 2 9 4 2 3 2 2" xfId="4747"/>
    <cellStyle name="Normal 2 9 4 2 3 3" xfId="4748"/>
    <cellStyle name="Normal 2 9 4 2 3 4" xfId="4749"/>
    <cellStyle name="Normal 2 9 4 2 3 5" xfId="4750"/>
    <cellStyle name="Normal 2 9 4 2 4" xfId="4751"/>
    <cellStyle name="Normal 2 9 4 2 4 2" xfId="4752"/>
    <cellStyle name="Normal 2 9 4 2 5" xfId="4753"/>
    <cellStyle name="Normal 2 9 4 2 6" xfId="4754"/>
    <cellStyle name="Normal 2 9 4 2 7" xfId="4755"/>
    <cellStyle name="Normal 2 9 4 3" xfId="4756"/>
    <cellStyle name="Normal 2 9 4 3 2" xfId="4757"/>
    <cellStyle name="Normal 2 9 4 3 2 2" xfId="4758"/>
    <cellStyle name="Normal 2 9 4 3 2 2 2" xfId="4759"/>
    <cellStyle name="Normal 2 9 4 3 2 2 2 2" xfId="4760"/>
    <cellStyle name="Normal 2 9 4 3 2 2 3" xfId="4761"/>
    <cellStyle name="Normal 2 9 4 3 2 2 4" xfId="4762"/>
    <cellStyle name="Normal 2 9 4 3 2 2 5" xfId="4763"/>
    <cellStyle name="Normal 2 9 4 3 2 3" xfId="4764"/>
    <cellStyle name="Normal 2 9 4 3 2 3 2" xfId="4765"/>
    <cellStyle name="Normal 2 9 4 3 2 4" xfId="4766"/>
    <cellStyle name="Normal 2 9 4 3 2 5" xfId="4767"/>
    <cellStyle name="Normal 2 9 4 3 2 6" xfId="4768"/>
    <cellStyle name="Normal 2 9 4 3 3" xfId="4769"/>
    <cellStyle name="Normal 2 9 4 3 3 2" xfId="4770"/>
    <cellStyle name="Normal 2 9 4 3 3 2 2" xfId="4771"/>
    <cellStyle name="Normal 2 9 4 3 3 3" xfId="4772"/>
    <cellStyle name="Normal 2 9 4 3 3 4" xfId="4773"/>
    <cellStyle name="Normal 2 9 4 3 3 5" xfId="4774"/>
    <cellStyle name="Normal 2 9 4 3 4" xfId="4775"/>
    <cellStyle name="Normal 2 9 4 3 4 2" xfId="4776"/>
    <cellStyle name="Normal 2 9 4 3 5" xfId="4777"/>
    <cellStyle name="Normal 2 9 4 3 6" xfId="4778"/>
    <cellStyle name="Normal 2 9 4 3 7" xfId="4779"/>
    <cellStyle name="Normal 2 9 4 4" xfId="4780"/>
    <cellStyle name="Normal 2 9 4 4 2" xfId="4781"/>
    <cellStyle name="Normal 2 9 4 4 2 2" xfId="4782"/>
    <cellStyle name="Normal 2 9 4 4 2 2 2" xfId="4783"/>
    <cellStyle name="Normal 2 9 4 4 2 3" xfId="4784"/>
    <cellStyle name="Normal 2 9 4 4 2 4" xfId="4785"/>
    <cellStyle name="Normal 2 9 4 4 2 5" xfId="4786"/>
    <cellStyle name="Normal 2 9 4 4 3" xfId="4787"/>
    <cellStyle name="Normal 2 9 4 4 3 2" xfId="4788"/>
    <cellStyle name="Normal 2 9 4 4 4" xfId="4789"/>
    <cellStyle name="Normal 2 9 4 4 5" xfId="4790"/>
    <cellStyle name="Normal 2 9 4 4 6" xfId="4791"/>
    <cellStyle name="Normal 2 9 4 5" xfId="4792"/>
    <cellStyle name="Normal 2 9 4 5 2" xfId="4793"/>
    <cellStyle name="Normal 2 9 4 5 2 2" xfId="4794"/>
    <cellStyle name="Normal 2 9 4 5 2 2 2" xfId="4795"/>
    <cellStyle name="Normal 2 9 4 5 2 3" xfId="4796"/>
    <cellStyle name="Normal 2 9 4 5 2 4" xfId="4797"/>
    <cellStyle name="Normal 2 9 4 5 2 5" xfId="4798"/>
    <cellStyle name="Normal 2 9 4 5 3" xfId="4799"/>
    <cellStyle name="Normal 2 9 4 5 3 2" xfId="4800"/>
    <cellStyle name="Normal 2 9 4 5 4" xfId="4801"/>
    <cellStyle name="Normal 2 9 4 5 5" xfId="4802"/>
    <cellStyle name="Normal 2 9 4 5 6" xfId="4803"/>
    <cellStyle name="Normal 2 9 4 6" xfId="4804"/>
    <cellStyle name="Normal 2 9 4 6 2" xfId="4805"/>
    <cellStyle name="Normal 2 9 4 6 2 2" xfId="4806"/>
    <cellStyle name="Normal 2 9 4 6 3" xfId="4807"/>
    <cellStyle name="Normal 2 9 4 6 4" xfId="4808"/>
    <cellStyle name="Normal 2 9 4 6 5" xfId="4809"/>
    <cellStyle name="Normal 2 9 4 7" xfId="4810"/>
    <cellStyle name="Normal 2 9 4 7 2" xfId="4811"/>
    <cellStyle name="Normal 2 9 4 7 2 2" xfId="4812"/>
    <cellStyle name="Normal 2 9 4 7 3" xfId="4813"/>
    <cellStyle name="Normal 2 9 4 7 4" xfId="4814"/>
    <cellStyle name="Normal 2 9 4 7 5" xfId="4815"/>
    <cellStyle name="Normal 2 9 4 8" xfId="4816"/>
    <cellStyle name="Normal 2 9 4 8 2" xfId="4817"/>
    <cellStyle name="Normal 2 9 4 9" xfId="4818"/>
    <cellStyle name="Normal 2 9 5" xfId="4819"/>
    <cellStyle name="Normal 2 9 5 10" xfId="4820"/>
    <cellStyle name="Normal 2 9 5 11" xfId="4821"/>
    <cellStyle name="Normal 2 9 5 2" xfId="4822"/>
    <cellStyle name="Normal 2 9 5 2 2" xfId="4823"/>
    <cellStyle name="Normal 2 9 5 2 2 2" xfId="4824"/>
    <cellStyle name="Normal 2 9 5 2 2 2 2" xfId="4825"/>
    <cellStyle name="Normal 2 9 5 2 2 2 2 2" xfId="4826"/>
    <cellStyle name="Normal 2 9 5 2 2 2 3" xfId="4827"/>
    <cellStyle name="Normal 2 9 5 2 2 2 4" xfId="4828"/>
    <cellStyle name="Normal 2 9 5 2 2 2 5" xfId="4829"/>
    <cellStyle name="Normal 2 9 5 2 2 3" xfId="4830"/>
    <cellStyle name="Normal 2 9 5 2 2 3 2" xfId="4831"/>
    <cellStyle name="Normal 2 9 5 2 2 4" xfId="4832"/>
    <cellStyle name="Normal 2 9 5 2 2 5" xfId="4833"/>
    <cellStyle name="Normal 2 9 5 2 2 6" xfId="4834"/>
    <cellStyle name="Normal 2 9 5 2 3" xfId="4835"/>
    <cellStyle name="Normal 2 9 5 2 3 2" xfId="4836"/>
    <cellStyle name="Normal 2 9 5 2 3 2 2" xfId="4837"/>
    <cellStyle name="Normal 2 9 5 2 3 3" xfId="4838"/>
    <cellStyle name="Normal 2 9 5 2 3 4" xfId="4839"/>
    <cellStyle name="Normal 2 9 5 2 3 5" xfId="4840"/>
    <cellStyle name="Normal 2 9 5 2 4" xfId="4841"/>
    <cellStyle name="Normal 2 9 5 2 4 2" xfId="4842"/>
    <cellStyle name="Normal 2 9 5 2 5" xfId="4843"/>
    <cellStyle name="Normal 2 9 5 2 6" xfId="4844"/>
    <cellStyle name="Normal 2 9 5 2 7" xfId="4845"/>
    <cellStyle name="Normal 2 9 5 3" xfId="4846"/>
    <cellStyle name="Normal 2 9 5 3 2" xfId="4847"/>
    <cellStyle name="Normal 2 9 5 3 2 2" xfId="4848"/>
    <cellStyle name="Normal 2 9 5 3 2 2 2" xfId="4849"/>
    <cellStyle name="Normal 2 9 5 3 2 2 2 2" xfId="4850"/>
    <cellStyle name="Normal 2 9 5 3 2 2 3" xfId="4851"/>
    <cellStyle name="Normal 2 9 5 3 2 2 4" xfId="4852"/>
    <cellStyle name="Normal 2 9 5 3 2 2 5" xfId="4853"/>
    <cellStyle name="Normal 2 9 5 3 2 3" xfId="4854"/>
    <cellStyle name="Normal 2 9 5 3 2 3 2" xfId="4855"/>
    <cellStyle name="Normal 2 9 5 3 2 4" xfId="4856"/>
    <cellStyle name="Normal 2 9 5 3 2 5" xfId="4857"/>
    <cellStyle name="Normal 2 9 5 3 2 6" xfId="4858"/>
    <cellStyle name="Normal 2 9 5 3 3" xfId="4859"/>
    <cellStyle name="Normal 2 9 5 3 3 2" xfId="4860"/>
    <cellStyle name="Normal 2 9 5 3 3 2 2" xfId="4861"/>
    <cellStyle name="Normal 2 9 5 3 3 3" xfId="4862"/>
    <cellStyle name="Normal 2 9 5 3 3 4" xfId="4863"/>
    <cellStyle name="Normal 2 9 5 3 3 5" xfId="4864"/>
    <cellStyle name="Normal 2 9 5 3 4" xfId="4865"/>
    <cellStyle name="Normal 2 9 5 3 4 2" xfId="4866"/>
    <cellStyle name="Normal 2 9 5 3 5" xfId="4867"/>
    <cellStyle name="Normal 2 9 5 3 6" xfId="4868"/>
    <cellStyle name="Normal 2 9 5 3 7" xfId="4869"/>
    <cellStyle name="Normal 2 9 5 4" xfId="4870"/>
    <cellStyle name="Normal 2 9 5 4 2" xfId="4871"/>
    <cellStyle name="Normal 2 9 5 4 2 2" xfId="4872"/>
    <cellStyle name="Normal 2 9 5 4 2 2 2" xfId="4873"/>
    <cellStyle name="Normal 2 9 5 4 2 3" xfId="4874"/>
    <cellStyle name="Normal 2 9 5 4 2 4" xfId="4875"/>
    <cellStyle name="Normal 2 9 5 4 2 5" xfId="4876"/>
    <cellStyle name="Normal 2 9 5 4 3" xfId="4877"/>
    <cellStyle name="Normal 2 9 5 4 3 2" xfId="4878"/>
    <cellStyle name="Normal 2 9 5 4 4" xfId="4879"/>
    <cellStyle name="Normal 2 9 5 4 5" xfId="4880"/>
    <cellStyle name="Normal 2 9 5 4 6" xfId="4881"/>
    <cellStyle name="Normal 2 9 5 5" xfId="4882"/>
    <cellStyle name="Normal 2 9 5 5 2" xfId="4883"/>
    <cellStyle name="Normal 2 9 5 5 2 2" xfId="4884"/>
    <cellStyle name="Normal 2 9 5 5 2 2 2" xfId="4885"/>
    <cellStyle name="Normal 2 9 5 5 2 3" xfId="4886"/>
    <cellStyle name="Normal 2 9 5 5 2 4" xfId="4887"/>
    <cellStyle name="Normal 2 9 5 5 2 5" xfId="4888"/>
    <cellStyle name="Normal 2 9 5 5 3" xfId="4889"/>
    <cellStyle name="Normal 2 9 5 5 3 2" xfId="4890"/>
    <cellStyle name="Normal 2 9 5 5 4" xfId="4891"/>
    <cellStyle name="Normal 2 9 5 5 5" xfId="4892"/>
    <cellStyle name="Normal 2 9 5 5 6" xfId="4893"/>
    <cellStyle name="Normal 2 9 5 6" xfId="4894"/>
    <cellStyle name="Normal 2 9 5 6 2" xfId="4895"/>
    <cellStyle name="Normal 2 9 5 6 2 2" xfId="4896"/>
    <cellStyle name="Normal 2 9 5 6 3" xfId="4897"/>
    <cellStyle name="Normal 2 9 5 6 4" xfId="4898"/>
    <cellStyle name="Normal 2 9 5 6 5" xfId="4899"/>
    <cellStyle name="Normal 2 9 5 7" xfId="4900"/>
    <cellStyle name="Normal 2 9 5 7 2" xfId="4901"/>
    <cellStyle name="Normal 2 9 5 7 2 2" xfId="4902"/>
    <cellStyle name="Normal 2 9 5 7 3" xfId="4903"/>
    <cellStyle name="Normal 2 9 5 7 4" xfId="4904"/>
    <cellStyle name="Normal 2 9 5 7 5" xfId="4905"/>
    <cellStyle name="Normal 2 9 5 8" xfId="4906"/>
    <cellStyle name="Normal 2 9 5 8 2" xfId="4907"/>
    <cellStyle name="Normal 2 9 5 9" xfId="4908"/>
    <cellStyle name="Normal 2 9 6" xfId="4909"/>
    <cellStyle name="Normal 2 9 7" xfId="4910"/>
    <cellStyle name="Normal 2 9 7 2" xfId="4911"/>
    <cellStyle name="Normal 2 9 7 2 2" xfId="4912"/>
    <cellStyle name="Normal 2 9 7 2 2 2" xfId="4913"/>
    <cellStyle name="Normal 2 9 7 2 2 2 2" xfId="4914"/>
    <cellStyle name="Normal 2 9 7 2 2 3" xfId="4915"/>
    <cellStyle name="Normal 2 9 7 2 2 4" xfId="4916"/>
    <cellStyle name="Normal 2 9 7 2 2 5" xfId="4917"/>
    <cellStyle name="Normal 2 9 7 2 3" xfId="4918"/>
    <cellStyle name="Normal 2 9 7 2 3 2" xfId="4919"/>
    <cellStyle name="Normal 2 9 7 2 4" xfId="4920"/>
    <cellStyle name="Normal 2 9 7 2 5" xfId="4921"/>
    <cellStyle name="Normal 2 9 7 2 6" xfId="4922"/>
    <cellStyle name="Normal 2 9 7 3" xfId="4923"/>
    <cellStyle name="Normal 2 9 7 3 2" xfId="4924"/>
    <cellStyle name="Normal 2 9 7 3 2 2" xfId="4925"/>
    <cellStyle name="Normal 2 9 7 3 3" xfId="4926"/>
    <cellStyle name="Normal 2 9 7 3 4" xfId="4927"/>
    <cellStyle name="Normal 2 9 7 3 5" xfId="4928"/>
    <cellStyle name="Normal 2 9 7 4" xfId="4929"/>
    <cellStyle name="Normal 2 9 7 4 2" xfId="4930"/>
    <cellStyle name="Normal 2 9 7 5" xfId="4931"/>
    <cellStyle name="Normal 2 9 7 6" xfId="4932"/>
    <cellStyle name="Normal 2 9 7 7" xfId="4933"/>
    <cellStyle name="Normal 2 9 8" xfId="4934"/>
    <cellStyle name="Normal 2 9 8 2" xfId="4935"/>
    <cellStyle name="Normal 2 9 8 2 2" xfId="4936"/>
    <cellStyle name="Normal 2 9 8 2 2 2" xfId="4937"/>
    <cellStyle name="Normal 2 9 8 2 2 3" xfId="4938"/>
    <cellStyle name="Normal 2 9 8 2 2 3 2" xfId="4939"/>
    <cellStyle name="Normal 2 9 8 2 2 4" xfId="4940"/>
    <cellStyle name="Normal 2 9 8 2 3" xfId="4941"/>
    <cellStyle name="Normal 2 9 8 2 3 2" xfId="4942"/>
    <cellStyle name="Normal 2 9 8 2 4" xfId="4943"/>
    <cellStyle name="Normal 2 9 8 2 5" xfId="4944"/>
    <cellStyle name="Normal 2 9 8 3" xfId="4945"/>
    <cellStyle name="Normal 2 9 8 3 2" xfId="4946"/>
    <cellStyle name="Normal 2 9 8 3 2 2" xfId="4947"/>
    <cellStyle name="Normal 2 9 8 3 3" xfId="4948"/>
    <cellStyle name="Normal 2 9 8 3 4" xfId="4949"/>
    <cellStyle name="Normal 2 9 8 3 5" xfId="4950"/>
    <cellStyle name="Normal 2 9 8 4" xfId="4951"/>
    <cellStyle name="Normal 2 9 8 4 2" xfId="4952"/>
    <cellStyle name="Normal 2 9 8 5" xfId="4953"/>
    <cellStyle name="Normal 2 9 8 6" xfId="4954"/>
    <cellStyle name="Normal 2 9 8 7" xfId="4955"/>
    <cellStyle name="Normal 2 9 9" xfId="4956"/>
    <cellStyle name="Normal 2 9 9 2" xfId="4957"/>
    <cellStyle name="Normal 2 9 9 2 2" xfId="4958"/>
    <cellStyle name="Normal 2 9 9 2 2 2" xfId="4959"/>
    <cellStyle name="Normal 2 9 9 2 3" xfId="4960"/>
    <cellStyle name="Normal 2 9 9 3" xfId="4961"/>
    <cellStyle name="Normal 2 9 9 3 2" xfId="4962"/>
    <cellStyle name="Normal 2 9 9 3 4" xfId="4963"/>
    <cellStyle name="Normal 2 9 9 4" xfId="4964"/>
    <cellStyle name="Normal 2 9 9 6" xfId="4965"/>
    <cellStyle name="Normal 20" xfId="4966"/>
    <cellStyle name="Normal 20 10" xfId="4967"/>
    <cellStyle name="Normal 20 11" xfId="4968"/>
    <cellStyle name="Normal 20 12" xfId="4969"/>
    <cellStyle name="Normal 20 2" xfId="4970"/>
    <cellStyle name="Normal 20 2 2" xfId="4971"/>
    <cellStyle name="Normal 20 2 2 2" xfId="4972"/>
    <cellStyle name="Normal 20 2 2 2 2" xfId="4973"/>
    <cellStyle name="Normal 20 2 2 2 2 2" xfId="4974"/>
    <cellStyle name="Normal 20 2 2 2 3" xfId="4975"/>
    <cellStyle name="Normal 20 2 2 2 4" xfId="4976"/>
    <cellStyle name="Normal 20 2 2 2 5" xfId="4977"/>
    <cellStyle name="Normal 20 2 2 3" xfId="4978"/>
    <cellStyle name="Normal 20 2 2 3 2" xfId="4979"/>
    <cellStyle name="Normal 20 2 2 4" xfId="4980"/>
    <cellStyle name="Normal 20 2 2 5" xfId="4981"/>
    <cellStyle name="Normal 20 2 2 6" xfId="4982"/>
    <cellStyle name="Normal 20 2 3" xfId="4983"/>
    <cellStyle name="Normal 20 2 3 2" xfId="4984"/>
    <cellStyle name="Normal 20 2 3 2 2" xfId="4985"/>
    <cellStyle name="Normal 20 2 3 3" xfId="4986"/>
    <cellStyle name="Normal 20 2 3 4" xfId="4987"/>
    <cellStyle name="Normal 20 2 3 5" xfId="4988"/>
    <cellStyle name="Normal 20 2 4" xfId="4989"/>
    <cellStyle name="Normal 20 2 4 2" xfId="4990"/>
    <cellStyle name="Normal 20 2 5" xfId="4991"/>
    <cellStyle name="Normal 20 2 6" xfId="4992"/>
    <cellStyle name="Normal 20 2 7" xfId="4993"/>
    <cellStyle name="Normal 20 3" xfId="4994"/>
    <cellStyle name="Normal 20 3 2" xfId="4995"/>
    <cellStyle name="Normal 20 3 2 2" xfId="4996"/>
    <cellStyle name="Normal 20 3 2 2 2" xfId="4997"/>
    <cellStyle name="Normal 20 3 2 2 2 2" xfId="4998"/>
    <cellStyle name="Normal 20 3 2 2 3" xfId="4999"/>
    <cellStyle name="Normal 20 3 2 2 4" xfId="5000"/>
    <cellStyle name="Normal 20 3 2 2 5" xfId="5001"/>
    <cellStyle name="Normal 20 3 2 3" xfId="5002"/>
    <cellStyle name="Normal 20 3 2 3 2" xfId="5003"/>
    <cellStyle name="Normal 20 3 2 4" xfId="5004"/>
    <cellStyle name="Normal 20 3 2 5" xfId="5005"/>
    <cellStyle name="Normal 20 3 2 6" xfId="5006"/>
    <cellStyle name="Normal 20 3 3" xfId="5007"/>
    <cellStyle name="Normal 20 3 3 2" xfId="5008"/>
    <cellStyle name="Normal 20 3 3 2 2" xfId="5009"/>
    <cellStyle name="Normal 20 3 3 3" xfId="5010"/>
    <cellStyle name="Normal 20 3 3 4" xfId="5011"/>
    <cellStyle name="Normal 20 3 3 5" xfId="5012"/>
    <cellStyle name="Normal 20 3 4" xfId="5013"/>
    <cellStyle name="Normal 20 3 4 2" xfId="5014"/>
    <cellStyle name="Normal 20 3 5" xfId="5015"/>
    <cellStyle name="Normal 20 3 6" xfId="5016"/>
    <cellStyle name="Normal 20 3 7" xfId="5017"/>
    <cellStyle name="Normal 20 4" xfId="5018"/>
    <cellStyle name="Normal 20 4 2" xfId="5019"/>
    <cellStyle name="Normal 20 4 2 2" xfId="5020"/>
    <cellStyle name="Normal 20 4 2 2 2" xfId="5021"/>
    <cellStyle name="Normal 20 4 2 3" xfId="5022"/>
    <cellStyle name="Normal 20 4 2 4" xfId="5023"/>
    <cellStyle name="Normal 20 4 2 5" xfId="5024"/>
    <cellStyle name="Normal 20 4 3" xfId="5025"/>
    <cellStyle name="Normal 20 4 3 2" xfId="5026"/>
    <cellStyle name="Normal 20 4 4" xfId="5027"/>
    <cellStyle name="Normal 20 4 5" xfId="5028"/>
    <cellStyle name="Normal 20 4 6" xfId="5029"/>
    <cellStyle name="Normal 20 5" xfId="5030"/>
    <cellStyle name="Normal 20 5 2" xfId="5031"/>
    <cellStyle name="Normal 20 5 2 2" xfId="5032"/>
    <cellStyle name="Normal 20 5 2 2 2" xfId="5033"/>
    <cellStyle name="Normal 20 5 2 3" xfId="5034"/>
    <cellStyle name="Normal 20 5 2 4" xfId="5035"/>
    <cellStyle name="Normal 20 5 2 5" xfId="5036"/>
    <cellStyle name="Normal 20 5 3" xfId="5037"/>
    <cellStyle name="Normal 20 5 3 2" xfId="5038"/>
    <cellStyle name="Normal 20 5 4" xfId="5039"/>
    <cellStyle name="Normal 20 5 5" xfId="5040"/>
    <cellStyle name="Normal 20 5 6" xfId="5041"/>
    <cellStyle name="Normal 20 6" xfId="5042"/>
    <cellStyle name="Normal 20 6 2" xfId="5043"/>
    <cellStyle name="Normal 20 6 2 2" xfId="5044"/>
    <cellStyle name="Normal 20 6 3" xfId="5045"/>
    <cellStyle name="Normal 20 6 4" xfId="5046"/>
    <cellStyle name="Normal 20 6 5" xfId="5047"/>
    <cellStyle name="Normal 20 7" xfId="5048"/>
    <cellStyle name="Normal 20 7 2" xfId="5049"/>
    <cellStyle name="Normal 20 7 2 2" xfId="5050"/>
    <cellStyle name="Normal 20 7 3" xfId="5051"/>
    <cellStyle name="Normal 20 7 4" xfId="5052"/>
    <cellStyle name="Normal 20 7 5" xfId="5053"/>
    <cellStyle name="Normal 20 8" xfId="5054"/>
    <cellStyle name="Normal 20 8 2" xfId="5055"/>
    <cellStyle name="Normal 20 8 2 2" xfId="5056"/>
    <cellStyle name="Normal 20 8 3" xfId="5057"/>
    <cellStyle name="Normal 20 8 4" xfId="5058"/>
    <cellStyle name="Normal 20 8 5" xfId="5059"/>
    <cellStyle name="Normal 20 9" xfId="5060"/>
    <cellStyle name="Normal 20 9 2" xfId="5061"/>
    <cellStyle name="Normal 21" xfId="5062"/>
    <cellStyle name="Normal 21 10" xfId="5063"/>
    <cellStyle name="Normal 21 11" xfId="5064"/>
    <cellStyle name="Normal 21 12" xfId="5065"/>
    <cellStyle name="Normal 21 2" xfId="5066"/>
    <cellStyle name="Normal 21 2 2" xfId="5067"/>
    <cellStyle name="Normal 21 2 2 2" xfId="5068"/>
    <cellStyle name="Normal 21 2 2 2 2" xfId="5069"/>
    <cellStyle name="Normal 21 2 2 2 2 2" xfId="5070"/>
    <cellStyle name="Normal 21 2 2 2 3" xfId="5071"/>
    <cellStyle name="Normal 21 2 2 2 4" xfId="5072"/>
    <cellStyle name="Normal 21 2 2 2 5" xfId="5073"/>
    <cellStyle name="Normal 21 2 2 3" xfId="5074"/>
    <cellStyle name="Normal 21 2 2 3 2" xfId="5075"/>
    <cellStyle name="Normal 21 2 2 4" xfId="5076"/>
    <cellStyle name="Normal 21 2 2 5" xfId="5077"/>
    <cellStyle name="Normal 21 2 2 6" xfId="5078"/>
    <cellStyle name="Normal 21 2 3" xfId="5079"/>
    <cellStyle name="Normal 21 2 3 2" xfId="5080"/>
    <cellStyle name="Normal 21 2 3 2 2" xfId="5081"/>
    <cellStyle name="Normal 21 2 3 3" xfId="5082"/>
    <cellStyle name="Normal 21 2 3 4" xfId="5083"/>
    <cellStyle name="Normal 21 2 3 5" xfId="5084"/>
    <cellStyle name="Normal 21 2 4" xfId="5085"/>
    <cellStyle name="Normal 21 2 4 2" xfId="5086"/>
    <cellStyle name="Normal 21 2 5" xfId="5087"/>
    <cellStyle name="Normal 21 2 6" xfId="5088"/>
    <cellStyle name="Normal 21 2 7" xfId="5089"/>
    <cellStyle name="Normal 21 3" xfId="5090"/>
    <cellStyle name="Normal 21 3 2" xfId="5091"/>
    <cellStyle name="Normal 21 3 2 2" xfId="5092"/>
    <cellStyle name="Normal 21 3 2 2 2" xfId="5093"/>
    <cellStyle name="Normal 21 3 2 2 2 2" xfId="5094"/>
    <cellStyle name="Normal 21 3 2 2 3" xfId="5095"/>
    <cellStyle name="Normal 21 3 2 2 4" xfId="5096"/>
    <cellStyle name="Normal 21 3 2 2 5" xfId="5097"/>
    <cellStyle name="Normal 21 3 2 3" xfId="5098"/>
    <cellStyle name="Normal 21 3 2 3 2" xfId="5099"/>
    <cellStyle name="Normal 21 3 2 4" xfId="5100"/>
    <cellStyle name="Normal 21 3 2 5" xfId="5101"/>
    <cellStyle name="Normal 21 3 2 6" xfId="5102"/>
    <cellStyle name="Normal 21 3 3" xfId="5103"/>
    <cellStyle name="Normal 21 3 3 2" xfId="5104"/>
    <cellStyle name="Normal 21 3 3 2 2" xfId="5105"/>
    <cellStyle name="Normal 21 3 3 3" xfId="5106"/>
    <cellStyle name="Normal 21 3 3 4" xfId="5107"/>
    <cellStyle name="Normal 21 3 3 5" xfId="5108"/>
    <cellStyle name="Normal 21 3 4" xfId="5109"/>
    <cellStyle name="Normal 21 3 4 2" xfId="5110"/>
    <cellStyle name="Normal 21 3 5" xfId="5111"/>
    <cellStyle name="Normal 21 3 6" xfId="5112"/>
    <cellStyle name="Normal 21 3 7" xfId="5113"/>
    <cellStyle name="Normal 21 4" xfId="5114"/>
    <cellStyle name="Normal 21 4 2" xfId="5115"/>
    <cellStyle name="Normal 21 4 2 2" xfId="5116"/>
    <cellStyle name="Normal 21 4 2 2 2" xfId="5117"/>
    <cellStyle name="Normal 21 4 2 3" xfId="5118"/>
    <cellStyle name="Normal 21 4 2 4" xfId="5119"/>
    <cellStyle name="Normal 21 4 2 5" xfId="5120"/>
    <cellStyle name="Normal 21 4 3" xfId="5121"/>
    <cellStyle name="Normal 21 4 3 2" xfId="5122"/>
    <cellStyle name="Normal 21 4 4" xfId="5123"/>
    <cellStyle name="Normal 21 4 5" xfId="5124"/>
    <cellStyle name="Normal 21 4 6" xfId="5125"/>
    <cellStyle name="Normal 21 5" xfId="5126"/>
    <cellStyle name="Normal 21 5 2" xfId="5127"/>
    <cellStyle name="Normal 21 5 2 2" xfId="5128"/>
    <cellStyle name="Normal 21 5 2 2 2" xfId="5129"/>
    <cellStyle name="Normal 21 5 2 3" xfId="5130"/>
    <cellStyle name="Normal 21 5 2 4" xfId="5131"/>
    <cellStyle name="Normal 21 5 2 5" xfId="5132"/>
    <cellStyle name="Normal 21 5 3" xfId="5133"/>
    <cellStyle name="Normal 21 5 3 2" xfId="5134"/>
    <cellStyle name="Normal 21 5 4" xfId="5135"/>
    <cellStyle name="Normal 21 5 5" xfId="5136"/>
    <cellStyle name="Normal 21 5 6" xfId="5137"/>
    <cellStyle name="Normal 21 6" xfId="5138"/>
    <cellStyle name="Normal 21 6 2" xfId="5139"/>
    <cellStyle name="Normal 21 6 2 2" xfId="5140"/>
    <cellStyle name="Normal 21 6 3" xfId="5141"/>
    <cellStyle name="Normal 21 6 4" xfId="5142"/>
    <cellStyle name="Normal 21 6 5" xfId="5143"/>
    <cellStyle name="Normal 21 7" xfId="5144"/>
    <cellStyle name="Normal 21 7 2" xfId="5145"/>
    <cellStyle name="Normal 21 7 2 2" xfId="5146"/>
    <cellStyle name="Normal 21 7 3" xfId="5147"/>
    <cellStyle name="Normal 21 7 4" xfId="5148"/>
    <cellStyle name="Normal 21 7 5" xfId="5149"/>
    <cellStyle name="Normal 21 8" xfId="5150"/>
    <cellStyle name="Normal 21 8 2" xfId="5151"/>
    <cellStyle name="Normal 21 8 2 2" xfId="5152"/>
    <cellStyle name="Normal 21 8 3" xfId="5153"/>
    <cellStyle name="Normal 21 8 4" xfId="5154"/>
    <cellStyle name="Normal 21 8 5" xfId="5155"/>
    <cellStyle name="Normal 21 9" xfId="5156"/>
    <cellStyle name="Normal 21 9 2" xfId="5157"/>
    <cellStyle name="Normal 22" xfId="5158"/>
    <cellStyle name="Normal 22 10" xfId="5159"/>
    <cellStyle name="Normal 22 11" xfId="5160"/>
    <cellStyle name="Normal 22 12" xfId="5161"/>
    <cellStyle name="Normal 22 2" xfId="5162"/>
    <cellStyle name="Normal 22 2 2" xfId="5163"/>
    <cellStyle name="Normal 22 2 2 2" xfId="5164"/>
    <cellStyle name="Normal 22 2 2 2 2" xfId="5165"/>
    <cellStyle name="Normal 22 2 2 2 2 2" xfId="5166"/>
    <cellStyle name="Normal 22 2 2 2 3" xfId="5167"/>
    <cellStyle name="Normal 22 2 2 2 4" xfId="5168"/>
    <cellStyle name="Normal 22 2 2 2 5" xfId="5169"/>
    <cellStyle name="Normal 22 2 2 3" xfId="5170"/>
    <cellStyle name="Normal 22 2 2 3 2" xfId="5171"/>
    <cellStyle name="Normal 22 2 2 4" xfId="5172"/>
    <cellStyle name="Normal 22 2 2 5" xfId="5173"/>
    <cellStyle name="Normal 22 2 2 6" xfId="5174"/>
    <cellStyle name="Normal 22 2 3" xfId="5175"/>
    <cellStyle name="Normal 22 2 3 2" xfId="5176"/>
    <cellStyle name="Normal 22 2 3 2 2" xfId="5177"/>
    <cellStyle name="Normal 22 2 3 3" xfId="5178"/>
    <cellStyle name="Normal 22 2 3 4" xfId="5179"/>
    <cellStyle name="Normal 22 2 3 5" xfId="5180"/>
    <cellStyle name="Normal 22 2 4" xfId="5181"/>
    <cellStyle name="Normal 22 2 4 2" xfId="5182"/>
    <cellStyle name="Normal 22 2 5" xfId="5183"/>
    <cellStyle name="Normal 22 2 6" xfId="5184"/>
    <cellStyle name="Normal 22 2 7" xfId="5185"/>
    <cellStyle name="Normal 22 3" xfId="5186"/>
    <cellStyle name="Normal 22 3 2" xfId="5187"/>
    <cellStyle name="Normal 22 3 2 2" xfId="5188"/>
    <cellStyle name="Normal 22 3 2 2 2" xfId="5189"/>
    <cellStyle name="Normal 22 3 2 2 2 2" xfId="5190"/>
    <cellStyle name="Normal 22 3 2 2 3" xfId="5191"/>
    <cellStyle name="Normal 22 3 2 2 4" xfId="5192"/>
    <cellStyle name="Normal 22 3 2 2 5" xfId="5193"/>
    <cellStyle name="Normal 22 3 2 3" xfId="5194"/>
    <cellStyle name="Normal 22 3 2 3 2" xfId="5195"/>
    <cellStyle name="Normal 22 3 2 4" xfId="5196"/>
    <cellStyle name="Normal 22 3 2 5" xfId="5197"/>
    <cellStyle name="Normal 22 3 2 6" xfId="5198"/>
    <cellStyle name="Normal 22 3 3" xfId="5199"/>
    <cellStyle name="Normal 22 3 3 2" xfId="5200"/>
    <cellStyle name="Normal 22 3 3 2 2" xfId="5201"/>
    <cellStyle name="Normal 22 3 3 3" xfId="5202"/>
    <cellStyle name="Normal 22 3 3 4" xfId="5203"/>
    <cellStyle name="Normal 22 3 3 5" xfId="5204"/>
    <cellStyle name="Normal 22 3 4" xfId="5205"/>
    <cellStyle name="Normal 22 3 4 2" xfId="5206"/>
    <cellStyle name="Normal 22 3 5" xfId="5207"/>
    <cellStyle name="Normal 22 3 6" xfId="5208"/>
    <cellStyle name="Normal 22 3 7" xfId="5209"/>
    <cellStyle name="Normal 22 4" xfId="5210"/>
    <cellStyle name="Normal 22 4 2" xfId="5211"/>
    <cellStyle name="Normal 22 4 2 2" xfId="5212"/>
    <cellStyle name="Normal 22 4 2 2 2" xfId="5213"/>
    <cellStyle name="Normal 22 4 2 3" xfId="5214"/>
    <cellStyle name="Normal 22 4 2 4" xfId="5215"/>
    <cellStyle name="Normal 22 4 2 5" xfId="5216"/>
    <cellStyle name="Normal 22 4 3" xfId="5217"/>
    <cellStyle name="Normal 22 4 3 2" xfId="5218"/>
    <cellStyle name="Normal 22 4 4" xfId="5219"/>
    <cellStyle name="Normal 22 4 5" xfId="5220"/>
    <cellStyle name="Normal 22 4 6" xfId="5221"/>
    <cellStyle name="Normal 22 5" xfId="5222"/>
    <cellStyle name="Normal 22 5 2" xfId="5223"/>
    <cellStyle name="Normal 22 5 2 2" xfId="5224"/>
    <cellStyle name="Normal 22 5 2 2 2" xfId="5225"/>
    <cellStyle name="Normal 22 5 2 3" xfId="5226"/>
    <cellStyle name="Normal 22 5 2 4" xfId="5227"/>
    <cellStyle name="Normal 22 5 2 5" xfId="5228"/>
    <cellStyle name="Normal 22 5 3" xfId="5229"/>
    <cellStyle name="Normal 22 5 3 2" xfId="5230"/>
    <cellStyle name="Normal 22 5 4" xfId="5231"/>
    <cellStyle name="Normal 22 5 5" xfId="5232"/>
    <cellStyle name="Normal 22 5 6" xfId="5233"/>
    <cellStyle name="Normal 22 6" xfId="5234"/>
    <cellStyle name="Normal 22 6 2" xfId="5235"/>
    <cellStyle name="Normal 22 6 2 2" xfId="5236"/>
    <cellStyle name="Normal 22 6 3" xfId="5237"/>
    <cellStyle name="Normal 22 6 4" xfId="5238"/>
    <cellStyle name="Normal 22 6 5" xfId="5239"/>
    <cellStyle name="Normal 22 7" xfId="5240"/>
    <cellStyle name="Normal 22 7 2" xfId="5241"/>
    <cellStyle name="Normal 22 7 2 2" xfId="5242"/>
    <cellStyle name="Normal 22 7 3" xfId="5243"/>
    <cellStyle name="Normal 22 7 4" xfId="5244"/>
    <cellStyle name="Normal 22 7 5" xfId="5245"/>
    <cellStyle name="Normal 22 8" xfId="5246"/>
    <cellStyle name="Normal 22 8 2" xfId="5247"/>
    <cellStyle name="Normal 22 8 2 2" xfId="5248"/>
    <cellStyle name="Normal 22 8 3" xfId="5249"/>
    <cellStyle name="Normal 22 8 4" xfId="5250"/>
    <cellStyle name="Normal 22 8 5" xfId="5251"/>
    <cellStyle name="Normal 22 9" xfId="5252"/>
    <cellStyle name="Normal 22 9 2" xfId="5253"/>
    <cellStyle name="Normal 23" xfId="5254"/>
    <cellStyle name="Normal 23 10" xfId="5255"/>
    <cellStyle name="Normal 23 11" xfId="5256"/>
    <cellStyle name="Normal 23 12" xfId="5257"/>
    <cellStyle name="Normal 23 2" xfId="5258"/>
    <cellStyle name="Normal 23 2 2" xfId="5259"/>
    <cellStyle name="Normal 23 2 2 2" xfId="5260"/>
    <cellStyle name="Normal 23 2 2 2 2" xfId="5261"/>
    <cellStyle name="Normal 23 2 2 2 2 2" xfId="5262"/>
    <cellStyle name="Normal 23 2 2 2 3" xfId="5263"/>
    <cellStyle name="Normal 23 2 2 2 4" xfId="5264"/>
    <cellStyle name="Normal 23 2 2 2 5" xfId="5265"/>
    <cellStyle name="Normal 23 2 2 3" xfId="5266"/>
    <cellStyle name="Normal 23 2 2 3 2" xfId="5267"/>
    <cellStyle name="Normal 23 2 2 4" xfId="5268"/>
    <cellStyle name="Normal 23 2 2 5" xfId="5269"/>
    <cellStyle name="Normal 23 2 2 6" xfId="5270"/>
    <cellStyle name="Normal 23 2 3" xfId="5271"/>
    <cellStyle name="Normal 23 2 3 2" xfId="5272"/>
    <cellStyle name="Normal 23 2 3 2 2" xfId="5273"/>
    <cellStyle name="Normal 23 2 3 3" xfId="5274"/>
    <cellStyle name="Normal 23 2 3 4" xfId="5275"/>
    <cellStyle name="Normal 23 2 3 5" xfId="5276"/>
    <cellStyle name="Normal 23 2 4" xfId="5277"/>
    <cellStyle name="Normal 23 2 4 2" xfId="5278"/>
    <cellStyle name="Normal 23 2 5" xfId="5279"/>
    <cellStyle name="Normal 23 2 6" xfId="5280"/>
    <cellStyle name="Normal 23 2 7" xfId="5281"/>
    <cellStyle name="Normal 23 3" xfId="5282"/>
    <cellStyle name="Normal 23 3 2" xfId="5283"/>
    <cellStyle name="Normal 23 3 2 2" xfId="5284"/>
    <cellStyle name="Normal 23 3 2 2 2" xfId="5285"/>
    <cellStyle name="Normal 23 3 2 2 2 2" xfId="5286"/>
    <cellStyle name="Normal 23 3 2 2 3" xfId="5287"/>
    <cellStyle name="Normal 23 3 2 2 4" xfId="5288"/>
    <cellStyle name="Normal 23 3 2 2 5" xfId="5289"/>
    <cellStyle name="Normal 23 3 2 3" xfId="5290"/>
    <cellStyle name="Normal 23 3 2 3 2" xfId="5291"/>
    <cellStyle name="Normal 23 3 2 4" xfId="5292"/>
    <cellStyle name="Normal 23 3 2 5" xfId="5293"/>
    <cellStyle name="Normal 23 3 2 6" xfId="5294"/>
    <cellStyle name="Normal 23 3 3" xfId="5295"/>
    <cellStyle name="Normal 23 3 3 2" xfId="5296"/>
    <cellStyle name="Normal 23 3 3 2 2" xfId="5297"/>
    <cellStyle name="Normal 23 3 3 3" xfId="5298"/>
    <cellStyle name="Normal 23 3 3 4" xfId="5299"/>
    <cellStyle name="Normal 23 3 3 5" xfId="5300"/>
    <cellStyle name="Normal 23 3 4" xfId="5301"/>
    <cellStyle name="Normal 23 3 4 2" xfId="5302"/>
    <cellStyle name="Normal 23 3 5" xfId="5303"/>
    <cellStyle name="Normal 23 3 6" xfId="5304"/>
    <cellStyle name="Normal 23 3 7" xfId="5305"/>
    <cellStyle name="Normal 23 4" xfId="5306"/>
    <cellStyle name="Normal 23 4 2" xfId="5307"/>
    <cellStyle name="Normal 23 4 2 2" xfId="5308"/>
    <cellStyle name="Normal 23 4 2 2 2" xfId="5309"/>
    <cellStyle name="Normal 23 4 2 3" xfId="5310"/>
    <cellStyle name="Normal 23 4 2 4" xfId="5311"/>
    <cellStyle name="Normal 23 4 2 5" xfId="5312"/>
    <cellStyle name="Normal 23 4 3" xfId="5313"/>
    <cellStyle name="Normal 23 4 3 2" xfId="5314"/>
    <cellStyle name="Normal 23 4 4" xfId="5315"/>
    <cellStyle name="Normal 23 4 5" xfId="5316"/>
    <cellStyle name="Normal 23 4 6" xfId="5317"/>
    <cellStyle name="Normal 23 5" xfId="5318"/>
    <cellStyle name="Normal 23 5 2" xfId="5319"/>
    <cellStyle name="Normal 23 5 2 2" xfId="5320"/>
    <cellStyle name="Normal 23 5 2 2 2" xfId="5321"/>
    <cellStyle name="Normal 23 5 2 3" xfId="5322"/>
    <cellStyle name="Normal 23 5 2 4" xfId="5323"/>
    <cellStyle name="Normal 23 5 2 5" xfId="5324"/>
    <cellStyle name="Normal 23 5 3" xfId="5325"/>
    <cellStyle name="Normal 23 5 3 2" xfId="5326"/>
    <cellStyle name="Normal 23 5 4" xfId="5327"/>
    <cellStyle name="Normal 23 5 5" xfId="5328"/>
    <cellStyle name="Normal 23 5 6" xfId="5329"/>
    <cellStyle name="Normal 23 6" xfId="5330"/>
    <cellStyle name="Normal 23 6 2" xfId="5331"/>
    <cellStyle name="Normal 23 6 2 2" xfId="5332"/>
    <cellStyle name="Normal 23 6 3" xfId="5333"/>
    <cellStyle name="Normal 23 6 4" xfId="5334"/>
    <cellStyle name="Normal 23 6 5" xfId="5335"/>
    <cellStyle name="Normal 23 7" xfId="5336"/>
    <cellStyle name="Normal 23 7 2" xfId="5337"/>
    <cellStyle name="Normal 23 7 2 2" xfId="5338"/>
    <cellStyle name="Normal 23 7 3" xfId="5339"/>
    <cellStyle name="Normal 23 7 4" xfId="5340"/>
    <cellStyle name="Normal 23 7 5" xfId="5341"/>
    <cellStyle name="Normal 23 8" xfId="5342"/>
    <cellStyle name="Normal 23 8 2" xfId="5343"/>
    <cellStyle name="Normal 23 8 2 2" xfId="5344"/>
    <cellStyle name="Normal 23 8 3" xfId="5345"/>
    <cellStyle name="Normal 23 8 4" xfId="5346"/>
    <cellStyle name="Normal 23 8 5" xfId="5347"/>
    <cellStyle name="Normal 23 9" xfId="5348"/>
    <cellStyle name="Normal 23 9 2" xfId="5349"/>
    <cellStyle name="Normal 24" xfId="5350"/>
    <cellStyle name="Normal 24 10" xfId="5351"/>
    <cellStyle name="Normal 24 11" xfId="5352"/>
    <cellStyle name="Normal 24 12" xfId="5353"/>
    <cellStyle name="Normal 24 2" xfId="5354"/>
    <cellStyle name="Normal 24 2 2" xfId="5355"/>
    <cellStyle name="Normal 24 2 2 2" xfId="5356"/>
    <cellStyle name="Normal 24 2 2 2 2" xfId="5357"/>
    <cellStyle name="Normal 24 2 2 2 2 2" xfId="5358"/>
    <cellStyle name="Normal 24 2 2 2 3" xfId="5359"/>
    <cellStyle name="Normal 24 2 2 2 4" xfId="5360"/>
    <cellStyle name="Normal 24 2 2 2 5" xfId="5361"/>
    <cellStyle name="Normal 24 2 2 3" xfId="5362"/>
    <cellStyle name="Normal 24 2 2 3 2" xfId="5363"/>
    <cellStyle name="Normal 24 2 2 4" xfId="5364"/>
    <cellStyle name="Normal 24 2 2 5" xfId="5365"/>
    <cellStyle name="Normal 24 2 2 6" xfId="5366"/>
    <cellStyle name="Normal 24 2 3" xfId="5367"/>
    <cellStyle name="Normal 24 2 3 2" xfId="5368"/>
    <cellStyle name="Normal 24 2 3 2 2" xfId="5369"/>
    <cellStyle name="Normal 24 2 3 3" xfId="5370"/>
    <cellStyle name="Normal 24 2 3 4" xfId="5371"/>
    <cellStyle name="Normal 24 2 3 5" xfId="5372"/>
    <cellStyle name="Normal 24 2 4" xfId="5373"/>
    <cellStyle name="Normal 24 2 4 2" xfId="5374"/>
    <cellStyle name="Normal 24 2 5" xfId="5375"/>
    <cellStyle name="Normal 24 2 6" xfId="5376"/>
    <cellStyle name="Normal 24 2 7" xfId="5377"/>
    <cellStyle name="Normal 24 3" xfId="5378"/>
    <cellStyle name="Normal 24 3 2" xfId="5379"/>
    <cellStyle name="Normal 24 3 2 2" xfId="5380"/>
    <cellStyle name="Normal 24 3 2 2 2" xfId="5381"/>
    <cellStyle name="Normal 24 3 2 2 2 2" xfId="5382"/>
    <cellStyle name="Normal 24 3 2 2 3" xfId="5383"/>
    <cellStyle name="Normal 24 3 2 2 4" xfId="5384"/>
    <cellStyle name="Normal 24 3 2 2 5" xfId="5385"/>
    <cellStyle name="Normal 24 3 2 3" xfId="5386"/>
    <cellStyle name="Normal 24 3 2 3 2" xfId="5387"/>
    <cellStyle name="Normal 24 3 2 4" xfId="5388"/>
    <cellStyle name="Normal 24 3 2 5" xfId="5389"/>
    <cellStyle name="Normal 24 3 2 6" xfId="5390"/>
    <cellStyle name="Normal 24 3 3" xfId="5391"/>
    <cellStyle name="Normal 24 3 3 2" xfId="5392"/>
    <cellStyle name="Normal 24 3 3 2 2" xfId="5393"/>
    <cellStyle name="Normal 24 3 3 3" xfId="5394"/>
    <cellStyle name="Normal 24 3 3 4" xfId="5395"/>
    <cellStyle name="Normal 24 3 3 5" xfId="5396"/>
    <cellStyle name="Normal 24 3 4" xfId="5397"/>
    <cellStyle name="Normal 24 3 4 2" xfId="5398"/>
    <cellStyle name="Normal 24 3 5" xfId="5399"/>
    <cellStyle name="Normal 24 3 6" xfId="5400"/>
    <cellStyle name="Normal 24 3 7" xfId="5401"/>
    <cellStyle name="Normal 24 4" xfId="5402"/>
    <cellStyle name="Normal 24 4 2" xfId="5403"/>
    <cellStyle name="Normal 24 4 2 2" xfId="5404"/>
    <cellStyle name="Normal 24 4 2 2 2" xfId="5405"/>
    <cellStyle name="Normal 24 4 2 3" xfId="5406"/>
    <cellStyle name="Normal 24 4 2 4" xfId="5407"/>
    <cellStyle name="Normal 24 4 2 5" xfId="5408"/>
    <cellStyle name="Normal 24 4 3" xfId="5409"/>
    <cellStyle name="Normal 24 4 3 2" xfId="5410"/>
    <cellStyle name="Normal 24 4 4" xfId="5411"/>
    <cellStyle name="Normal 24 4 5" xfId="5412"/>
    <cellStyle name="Normal 24 4 6" xfId="5413"/>
    <cellStyle name="Normal 24 5" xfId="5414"/>
    <cellStyle name="Normal 24 5 2" xfId="5415"/>
    <cellStyle name="Normal 24 5 2 2" xfId="5416"/>
    <cellStyle name="Normal 24 5 2 2 2" xfId="5417"/>
    <cellStyle name="Normal 24 5 2 3" xfId="5418"/>
    <cellStyle name="Normal 24 5 2 4" xfId="5419"/>
    <cellStyle name="Normal 24 5 2 5" xfId="5420"/>
    <cellStyle name="Normal 24 5 3" xfId="5421"/>
    <cellStyle name="Normal 24 5 3 2" xfId="5422"/>
    <cellStyle name="Normal 24 5 4" xfId="5423"/>
    <cellStyle name="Normal 24 5 5" xfId="5424"/>
    <cellStyle name="Normal 24 5 6" xfId="5425"/>
    <cellStyle name="Normal 24 6" xfId="5426"/>
    <cellStyle name="Normal 24 6 2" xfId="5427"/>
    <cellStyle name="Normal 24 6 2 2" xfId="5428"/>
    <cellStyle name="Normal 24 6 3" xfId="5429"/>
    <cellStyle name="Normal 24 6 4" xfId="5430"/>
    <cellStyle name="Normal 24 6 5" xfId="5431"/>
    <cellStyle name="Normal 24 7" xfId="5432"/>
    <cellStyle name="Normal 24 7 2" xfId="5433"/>
    <cellStyle name="Normal 24 7 2 2" xfId="5434"/>
    <cellStyle name="Normal 24 7 3" xfId="5435"/>
    <cellStyle name="Normal 24 7 4" xfId="5436"/>
    <cellStyle name="Normal 24 7 5" xfId="5437"/>
    <cellStyle name="Normal 24 8" xfId="5438"/>
    <cellStyle name="Normal 24 8 2" xfId="5439"/>
    <cellStyle name="Normal 24 8 2 2" xfId="5440"/>
    <cellStyle name="Normal 24 8 3" xfId="5441"/>
    <cellStyle name="Normal 24 8 4" xfId="5442"/>
    <cellStyle name="Normal 24 8 5" xfId="5443"/>
    <cellStyle name="Normal 24 9" xfId="5444"/>
    <cellStyle name="Normal 24 9 2" xfId="5445"/>
    <cellStyle name="Normal 25" xfId="5446"/>
    <cellStyle name="Normal 25 10" xfId="5447"/>
    <cellStyle name="Normal 25 11" xfId="5448"/>
    <cellStyle name="Normal 25 2" xfId="5449"/>
    <cellStyle name="Normal 25 2 2" xfId="5450"/>
    <cellStyle name="Normal 25 2 2 2" xfId="5451"/>
    <cellStyle name="Normal 25 2 2 2 2" xfId="5452"/>
    <cellStyle name="Normal 25 2 2 2 2 2" xfId="5453"/>
    <cellStyle name="Normal 25 2 2 2 3" xfId="5454"/>
    <cellStyle name="Normal 25 2 2 2 4" xfId="5455"/>
    <cellStyle name="Normal 25 2 2 2 5" xfId="5456"/>
    <cellStyle name="Normal 25 2 2 3" xfId="5457"/>
    <cellStyle name="Normal 25 2 2 3 2" xfId="5458"/>
    <cellStyle name="Normal 25 2 2 4" xfId="5459"/>
    <cellStyle name="Normal 25 2 2 5" xfId="5460"/>
    <cellStyle name="Normal 25 2 3" xfId="5461"/>
    <cellStyle name="Normal 25 2 3 2" xfId="5462"/>
    <cellStyle name="Normal 25 2 3 2 2" xfId="5463"/>
    <cellStyle name="Normal 25 2 3 3" xfId="5464"/>
    <cellStyle name="Normal 25 2 3 4" xfId="5465"/>
    <cellStyle name="Normal 25 2 4" xfId="5466"/>
    <cellStyle name="Normal 25 3" xfId="5467"/>
    <cellStyle name="Normal 25 3 2" xfId="5468"/>
    <cellStyle name="Normal 25 3 2 2" xfId="5469"/>
    <cellStyle name="Normal 25 3 2 2 2" xfId="5470"/>
    <cellStyle name="Normal 25 3 2 2 2 2" xfId="5471"/>
    <cellStyle name="Normal 25 3 2 2 3" xfId="5472"/>
    <cellStyle name="Normal 25 3 2 2 4" xfId="5473"/>
    <cellStyle name="Normal 25 3 2 2 5" xfId="5474"/>
    <cellStyle name="Normal 25 3 2 3" xfId="5475"/>
    <cellStyle name="Normal 25 3 2 3 2" xfId="5476"/>
    <cellStyle name="Normal 25 3 2 4" xfId="5477"/>
    <cellStyle name="Normal 25 3 2 5" xfId="5478"/>
    <cellStyle name="Normal 25 3 2 6" xfId="5479"/>
    <cellStyle name="Normal 25 3 3" xfId="5480"/>
    <cellStyle name="Normal 25 3 3 2" xfId="5481"/>
    <cellStyle name="Normal 25 3 3 2 2" xfId="5482"/>
    <cellStyle name="Normal 25 3 3 3" xfId="5483"/>
    <cellStyle name="Normal 25 3 4" xfId="5484"/>
    <cellStyle name="Normal 25 4" xfId="5485"/>
    <cellStyle name="Normal 25 4 2" xfId="5486"/>
    <cellStyle name="Normal 25 4 2 2" xfId="5487"/>
    <cellStyle name="Normal 25 4 2 2 2" xfId="5488"/>
    <cellStyle name="Normal 25 4 2 3" xfId="5489"/>
    <cellStyle name="Normal 25 4 2 4" xfId="5490"/>
    <cellStyle name="Normal 25 4 3" xfId="5491"/>
    <cellStyle name="Normal 25 4 4" xfId="5492"/>
    <cellStyle name="Normal 25 4 5" xfId="5493"/>
    <cellStyle name="Normal 25 5" xfId="5494"/>
    <cellStyle name="Normal 25 5 2" xfId="5495"/>
    <cellStyle name="Normal 25 5 2 2" xfId="5496"/>
    <cellStyle name="Normal 25 5 2 2 2" xfId="5497"/>
    <cellStyle name="Normal 25 5 2 3" xfId="5498"/>
    <cellStyle name="Normal 25 5 2 4" xfId="5499"/>
    <cellStyle name="Normal 25 5 3" xfId="5500"/>
    <cellStyle name="Normal 25 5 5" xfId="5501"/>
    <cellStyle name="Normal 25 6" xfId="5502"/>
    <cellStyle name="Normal 25 6 2" xfId="5503"/>
    <cellStyle name="Normal 25 7" xfId="5504"/>
    <cellStyle name="Normal 25 7 2" xfId="5505"/>
    <cellStyle name="Normal 25 8" xfId="5506"/>
    <cellStyle name="Normal 25 8 2" xfId="5507"/>
    <cellStyle name="Normal 25 8 2 2" xfId="5508"/>
    <cellStyle name="Normal 25 8 3" xfId="5509"/>
    <cellStyle name="Normal 25 8 4" xfId="5510"/>
    <cellStyle name="Normal 25 9" xfId="5511"/>
    <cellStyle name="Normal 26" xfId="5512"/>
    <cellStyle name="Normal 26 2" xfId="5513"/>
    <cellStyle name="Normal 26 2 2" xfId="5514"/>
    <cellStyle name="Normal 26 2 2 2" xfId="5515"/>
    <cellStyle name="Normal 26 2 2 2 2" xfId="5516"/>
    <cellStyle name="Normal 26 2 2 2 2 2" xfId="5517"/>
    <cellStyle name="Normal 26 2 2 2 3" xfId="5518"/>
    <cellStyle name="Normal 26 2 2 2 4" xfId="5519"/>
    <cellStyle name="Normal 26 2 2 2 5" xfId="5520"/>
    <cellStyle name="Normal 26 2 2 3" xfId="5521"/>
    <cellStyle name="Normal 26 2 2 3 2" xfId="5522"/>
    <cellStyle name="Normal 26 2 2 4" xfId="5523"/>
    <cellStyle name="Normal 26 2 3" xfId="5524"/>
    <cellStyle name="Normal 26 2 3 2" xfId="5525"/>
    <cellStyle name="Normal 26 2 3 2 2" xfId="5526"/>
    <cellStyle name="Normal 26 2 3 3" xfId="5527"/>
    <cellStyle name="Normal 26 2 3 4" xfId="5528"/>
    <cellStyle name="Normal 26 2 4" xfId="5529"/>
    <cellStyle name="Normal 26 3" xfId="5530"/>
    <cellStyle name="Normal 26 3 2" xfId="5531"/>
    <cellStyle name="Normal 26 3 2 2" xfId="5532"/>
    <cellStyle name="Normal 26 3 2 2 2" xfId="5533"/>
    <cellStyle name="Normal 26 3 2 3" xfId="5534"/>
    <cellStyle name="Normal 26 3 2 5" xfId="5535"/>
    <cellStyle name="Normal 26 3 3" xfId="5536"/>
    <cellStyle name="Normal 26 3 3 2" xfId="5537"/>
    <cellStyle name="Normal 26 3 3 2 2" xfId="5538"/>
    <cellStyle name="Normal 26 3 3 3" xfId="5539"/>
    <cellStyle name="Normal 26 3 3 4" xfId="5540"/>
    <cellStyle name="Normal 26 3 4" xfId="5541"/>
    <cellStyle name="Normal 26 3 4 2" xfId="5542"/>
    <cellStyle name="Normal 26 3 5" xfId="5543"/>
    <cellStyle name="Normal 26 3 6" xfId="5544"/>
    <cellStyle name="Normal 26 4" xfId="5545"/>
    <cellStyle name="Normal 26 4 2" xfId="5546"/>
    <cellStyle name="Normal 26 4 2 2" xfId="5547"/>
    <cellStyle name="Normal 26 4 3" xfId="5548"/>
    <cellStyle name="Normal 26 4 5" xfId="5549"/>
    <cellStyle name="Normal 26 5" xfId="5550"/>
    <cellStyle name="Normal 26 5 2" xfId="5551"/>
    <cellStyle name="Normal 26 5 2 2" xfId="5552"/>
    <cellStyle name="Normal 26 5 2 3" xfId="5553"/>
    <cellStyle name="Normal 26 5 2 4" xfId="5554"/>
    <cellStyle name="Normal 26 5 3" xfId="5555"/>
    <cellStyle name="Normal 26 5 5" xfId="5556"/>
    <cellStyle name="Normal 26 6" xfId="5557"/>
    <cellStyle name="Normal 26 6 2" xfId="5558"/>
    <cellStyle name="Normal 26 7" xfId="5559"/>
    <cellStyle name="Normal 26 7 2" xfId="5560"/>
    <cellStyle name="Normal 26 8" xfId="5561"/>
    <cellStyle name="Normal 26 8 2" xfId="5562"/>
    <cellStyle name="Normal 26 8 2 2" xfId="5563"/>
    <cellStyle name="Normal 26 8 3" xfId="5564"/>
    <cellStyle name="Normal 26 8 4" xfId="5565"/>
    <cellStyle name="Normal 26 9" xfId="5566"/>
    <cellStyle name="Normal 27" xfId="5567"/>
    <cellStyle name="Normal 27 10" xfId="5568"/>
    <cellStyle name="Normal 27 11" xfId="5569"/>
    <cellStyle name="Normal 27 2" xfId="5570"/>
    <cellStyle name="Normal 27 2 2" xfId="5571"/>
    <cellStyle name="Normal 27 2 2 2" xfId="5572"/>
    <cellStyle name="Normal 27 2 2 2 2" xfId="5573"/>
    <cellStyle name="Normal 27 2 2 3" xfId="5574"/>
    <cellStyle name="Normal 27 2 3" xfId="5575"/>
    <cellStyle name="Normal 27 2 3 2" xfId="5576"/>
    <cellStyle name="Normal 27 2 3 2 2" xfId="5577"/>
    <cellStyle name="Normal 27 2 3 3" xfId="5578"/>
    <cellStyle name="Normal 27 2 4" xfId="5579"/>
    <cellStyle name="Normal 27 3" xfId="5580"/>
    <cellStyle name="Normal 27 3 2" xfId="5581"/>
    <cellStyle name="Normal 27 3 2 2" xfId="5582"/>
    <cellStyle name="Normal 27 3 2 2 2" xfId="5583"/>
    <cellStyle name="Normal 27 3 2 2 3" xfId="5584"/>
    <cellStyle name="Normal 27 3 2 2 4" xfId="5585"/>
    <cellStyle name="Normal 27 3 2 3" xfId="5586"/>
    <cellStyle name="Normal 27 3 2 4" xfId="5587"/>
    <cellStyle name="Normal 27 3 2 5" xfId="5588"/>
    <cellStyle name="Normal 27 3 3" xfId="5589"/>
    <cellStyle name="Normal 27 3 3 2" xfId="5590"/>
    <cellStyle name="Normal 27 3 3 2 2" xfId="5591"/>
    <cellStyle name="Normal 27 3 3 3" xfId="5592"/>
    <cellStyle name="Normal 27 3 3 4" xfId="5593"/>
    <cellStyle name="Normal 27 3 4" xfId="5594"/>
    <cellStyle name="Normal 27 3 5" xfId="5595"/>
    <cellStyle name="Normal 27 3 6" xfId="5596"/>
    <cellStyle name="Normal 27 4" xfId="5597"/>
    <cellStyle name="Normal 27 4 2" xfId="5598"/>
    <cellStyle name="Normal 27 4 2 2" xfId="5599"/>
    <cellStyle name="Normal 27 4 2 4" xfId="5600"/>
    <cellStyle name="Normal 27 4 3" xfId="5601"/>
    <cellStyle name="Normal 27 4 5" xfId="5602"/>
    <cellStyle name="Normal 27 5" xfId="5603"/>
    <cellStyle name="Normal 27 5 2" xfId="5604"/>
    <cellStyle name="Normal 27 5 2 2" xfId="5605"/>
    <cellStyle name="Normal 27 5 2 3" xfId="5606"/>
    <cellStyle name="Normal 27 5 2 4" xfId="5607"/>
    <cellStyle name="Normal 27 5 3" xfId="5608"/>
    <cellStyle name="Normal 27 6" xfId="5609"/>
    <cellStyle name="Normal 27 6 2" xfId="5610"/>
    <cellStyle name="Normal 27 7" xfId="5611"/>
    <cellStyle name="Normal 27 7 2" xfId="5612"/>
    <cellStyle name="Normal 27 8" xfId="5613"/>
    <cellStyle name="Normal 27 8 2" xfId="5614"/>
    <cellStyle name="Normal 27 8 2 2" xfId="5615"/>
    <cellStyle name="Normal 27 8 3" xfId="5616"/>
    <cellStyle name="Normal 27 8 4" xfId="5617"/>
    <cellStyle name="Normal 27 9" xfId="5618"/>
    <cellStyle name="Normal 28" xfId="5619"/>
    <cellStyle name="Normal 28 10" xfId="5620"/>
    <cellStyle name="Normal 28 11" xfId="5621"/>
    <cellStyle name="Normal 28 2" xfId="5622"/>
    <cellStyle name="Normal 28 2 2" xfId="5623"/>
    <cellStyle name="Normal 28 2 2 2" xfId="5624"/>
    <cellStyle name="Normal 28 2 2 2 2" xfId="5625"/>
    <cellStyle name="Normal 28 2 2 2 2 2" xfId="5626"/>
    <cellStyle name="Normal 28 2 2 2 3" xfId="5627"/>
    <cellStyle name="Normal 28 2 2 2 4" xfId="5628"/>
    <cellStyle name="Normal 28 2 2 2 5" xfId="5629"/>
    <cellStyle name="Normal 28 2 2 3" xfId="5630"/>
    <cellStyle name="Normal 28 2 2 3 2" xfId="5631"/>
    <cellStyle name="Normal 28 2 2 4" xfId="5632"/>
    <cellStyle name="Normal 28 2 2 5" xfId="5633"/>
    <cellStyle name="Normal 28 2 2 6" xfId="5634"/>
    <cellStyle name="Normal 28 2 3" xfId="5635"/>
    <cellStyle name="Normal 28 2 3 2" xfId="5636"/>
    <cellStyle name="Normal 28 2 3 2 2" xfId="5637"/>
    <cellStyle name="Normal 28 2 3 3" xfId="5638"/>
    <cellStyle name="Normal 28 2 3 4" xfId="5639"/>
    <cellStyle name="Normal 28 2 3 5" xfId="5640"/>
    <cellStyle name="Normal 28 2 4" xfId="5641"/>
    <cellStyle name="Normal 28 2 4 2" xfId="5642"/>
    <cellStyle name="Normal 28 2 5" xfId="5643"/>
    <cellStyle name="Normal 28 2 6" xfId="5644"/>
    <cellStyle name="Normal 28 2 7" xfId="5645"/>
    <cellStyle name="Normal 28 3" xfId="5646"/>
    <cellStyle name="Normal 28 3 2" xfId="5647"/>
    <cellStyle name="Normal 28 3 2 2" xfId="5648"/>
    <cellStyle name="Normal 28 3 2 2 2" xfId="5649"/>
    <cellStyle name="Normal 28 3 2 2 2 2" xfId="5650"/>
    <cellStyle name="Normal 28 3 2 2 3" xfId="5651"/>
    <cellStyle name="Normal 28 3 2 2 4" xfId="5652"/>
    <cellStyle name="Normal 28 3 2 2 5" xfId="5653"/>
    <cellStyle name="Normal 28 3 2 3" xfId="5654"/>
    <cellStyle name="Normal 28 3 2 3 2" xfId="5655"/>
    <cellStyle name="Normal 28 3 2 4" xfId="5656"/>
    <cellStyle name="Normal 28 3 2 5" xfId="5657"/>
    <cellStyle name="Normal 28 3 2 6" xfId="5658"/>
    <cellStyle name="Normal 28 3 3" xfId="5659"/>
    <cellStyle name="Normal 28 3 3 2" xfId="5660"/>
    <cellStyle name="Normal 28 3 3 2 2" xfId="5661"/>
    <cellStyle name="Normal 28 3 3 3" xfId="5662"/>
    <cellStyle name="Normal 28 3 3 4" xfId="5663"/>
    <cellStyle name="Normal 28 3 3 5" xfId="5664"/>
    <cellStyle name="Normal 28 3 4" xfId="5665"/>
    <cellStyle name="Normal 28 3 4 2" xfId="5666"/>
    <cellStyle name="Normal 28 3 5" xfId="5667"/>
    <cellStyle name="Normal 28 3 6" xfId="5668"/>
    <cellStyle name="Normal 28 4" xfId="5669"/>
    <cellStyle name="Normal 28 4 2" xfId="5670"/>
    <cellStyle name="Normal 28 4 2 2" xfId="5671"/>
    <cellStyle name="Normal 28 4 2 2 2" xfId="5672"/>
    <cellStyle name="Normal 28 4 2 3" xfId="5673"/>
    <cellStyle name="Normal 28 4 2 4" xfId="5674"/>
    <cellStyle name="Normal 28 4 2 5" xfId="5675"/>
    <cellStyle name="Normal 28 4 3" xfId="5676"/>
    <cellStyle name="Normal 28 4 3 2" xfId="5677"/>
    <cellStyle name="Normal 28 4 4" xfId="5678"/>
    <cellStyle name="Normal 28 4 5" xfId="5679"/>
    <cellStyle name="Normal 28 5" xfId="5680"/>
    <cellStyle name="Normal 28 5 2" xfId="5681"/>
    <cellStyle name="Normal 28 5 2 2" xfId="5682"/>
    <cellStyle name="Normal 28 5 2 4" xfId="5683"/>
    <cellStyle name="Normal 28 5 3" xfId="5684"/>
    <cellStyle name="Normal 28 5 3 2" xfId="5685"/>
    <cellStyle name="Normal 28 6" xfId="5686"/>
    <cellStyle name="Normal 28 6 2" xfId="5687"/>
    <cellStyle name="Normal 28 6 2 2" xfId="5688"/>
    <cellStyle name="Normal 28 6 3" xfId="5689"/>
    <cellStyle name="Normal 28 6 4" xfId="5690"/>
    <cellStyle name="Normal 28 6 5" xfId="5691"/>
    <cellStyle name="Normal 28 7" xfId="5692"/>
    <cellStyle name="Normal 28 7 2" xfId="5693"/>
    <cellStyle name="Normal 28 8" xfId="5694"/>
    <cellStyle name="Normal 28 8 2" xfId="5695"/>
    <cellStyle name="Normal 28 8 2 2" xfId="5696"/>
    <cellStyle name="Normal 28 8 3" xfId="5697"/>
    <cellStyle name="Normal 28 8 4" xfId="5698"/>
    <cellStyle name="Normal 28 8 5" xfId="5699"/>
    <cellStyle name="Normal 28 9" xfId="5700"/>
    <cellStyle name="Normal 28 9 2" xfId="5701"/>
    <cellStyle name="Normal 29" xfId="5702"/>
    <cellStyle name="Normal 29 10" xfId="5703"/>
    <cellStyle name="Normal 29 11" xfId="5704"/>
    <cellStyle name="Normal 29 2" xfId="5705"/>
    <cellStyle name="Normal 29 2 2" xfId="5706"/>
    <cellStyle name="Normal 29 2 2 2" xfId="5707"/>
    <cellStyle name="Normal 29 2 2 2 2" xfId="5708"/>
    <cellStyle name="Normal 29 2 2 2 2 2" xfId="5709"/>
    <cellStyle name="Normal 29 2 2 2 3" xfId="5710"/>
    <cellStyle name="Normal 29 2 2 2 4" xfId="5711"/>
    <cellStyle name="Normal 29 2 2 2 5" xfId="5712"/>
    <cellStyle name="Normal 29 2 2 3" xfId="5713"/>
    <cellStyle name="Normal 29 2 2 4" xfId="5714"/>
    <cellStyle name="Normal 29 2 2 5" xfId="5715"/>
    <cellStyle name="Normal 29 2 3" xfId="5716"/>
    <cellStyle name="Normal 29 2 3 2" xfId="5717"/>
    <cellStyle name="Normal 29 2 3 2 2" xfId="5718"/>
    <cellStyle name="Normal 29 2 3 3" xfId="5719"/>
    <cellStyle name="Normal 29 2 3 4" xfId="5720"/>
    <cellStyle name="Normal 29 2 3 5" xfId="5721"/>
    <cellStyle name="Normal 29 2 4" xfId="5722"/>
    <cellStyle name="Normal 29 2 4 2" xfId="5723"/>
    <cellStyle name="Normal 29 3" xfId="5724"/>
    <cellStyle name="Normal 29 3 2" xfId="5725"/>
    <cellStyle name="Normal 29 3 2 2" xfId="5726"/>
    <cellStyle name="Normal 29 3 2 2 2" xfId="5727"/>
    <cellStyle name="Normal 29 3 2 2 2 2" xfId="5728"/>
    <cellStyle name="Normal 29 3 2 2 3" xfId="5729"/>
    <cellStyle name="Normal 29 3 2 2 4" xfId="5730"/>
    <cellStyle name="Normal 29 3 2 3" xfId="5731"/>
    <cellStyle name="Normal 29 3 2 4" xfId="5732"/>
    <cellStyle name="Normal 29 3 2 5" xfId="5733"/>
    <cellStyle name="Normal 29 3 3" xfId="5734"/>
    <cellStyle name="Normal 29 3 3 2" xfId="5735"/>
    <cellStyle name="Normal 29 3 3 2 2" xfId="5736"/>
    <cellStyle name="Normal 29 3 3 3" xfId="5737"/>
    <cellStyle name="Normal 29 3 3 4" xfId="5738"/>
    <cellStyle name="Normal 29 3 4" xfId="5739"/>
    <cellStyle name="Normal 29 3 5" xfId="5740"/>
    <cellStyle name="Normal 29 3 6" xfId="5741"/>
    <cellStyle name="Normal 29 4" xfId="5742"/>
    <cellStyle name="Normal 29 4 2" xfId="5743"/>
    <cellStyle name="Normal 29 4 2 2" xfId="5744"/>
    <cellStyle name="Normal 29 4 2 2 2" xfId="5745"/>
    <cellStyle name="Normal 29 4 2 3" xfId="5746"/>
    <cellStyle name="Normal 29 4 2 4" xfId="5747"/>
    <cellStyle name="Normal 29 4 2 5" xfId="5748"/>
    <cellStyle name="Normal 29 4 3" xfId="5749"/>
    <cellStyle name="Normal 29 4 3 2" xfId="5750"/>
    <cellStyle name="Normal 29 5" xfId="5751"/>
    <cellStyle name="Normal 29 5 2" xfId="5752"/>
    <cellStyle name="Normal 29 5 2 2" xfId="5753"/>
    <cellStyle name="Normal 29 5 2 4" xfId="5754"/>
    <cellStyle name="Normal 29 5 3" xfId="5755"/>
    <cellStyle name="Normal 29 6" xfId="5756"/>
    <cellStyle name="Normal 29 6 2" xfId="5757"/>
    <cellStyle name="Normal 29 7" xfId="5758"/>
    <cellStyle name="Normal 29 7 2" xfId="5759"/>
    <cellStyle name="Normal 29 8" xfId="5760"/>
    <cellStyle name="Normal 29 8 2" xfId="5761"/>
    <cellStyle name="Normal 29 9" xfId="5762"/>
    <cellStyle name="Normal 3" xfId="5763"/>
    <cellStyle name="Normal 3 2" xfId="5764"/>
    <cellStyle name="Normal 3 2 10" xfId="5765"/>
    <cellStyle name="Normal 3 2 2" xfId="5766"/>
    <cellStyle name="Normal 3 2 2 2" xfId="5767"/>
    <cellStyle name="Normal 3 2 2 2 2" xfId="5768"/>
    <cellStyle name="Normal 3 2 2 2 2 2" xfId="5769"/>
    <cellStyle name="Normal 3 2 2 2 2 3" xfId="5770"/>
    <cellStyle name="Normal 3 2 2 2 2 4" xfId="5771"/>
    <cellStyle name="Normal 3 2 2 2 3" xfId="5772"/>
    <cellStyle name="Normal 3 2 2 2 3 2" xfId="5773"/>
    <cellStyle name="Normal 3 2 2 2 4" xfId="5774"/>
    <cellStyle name="Normal 3 2 2 2 5" xfId="5775"/>
    <cellStyle name="Normal 3 2 2 3" xfId="5776"/>
    <cellStyle name="Normal 3 2 2 3 2" xfId="5777"/>
    <cellStyle name="Normal 3 2 2 3 2 2" xfId="5778"/>
    <cellStyle name="Normal 3 2 2 3 3" xfId="5779"/>
    <cellStyle name="Normal 3 2 2 3 4" xfId="5780"/>
    <cellStyle name="Normal 3 2 2 3 5" xfId="5781"/>
    <cellStyle name="Normal 3 2 2 4" xfId="5782"/>
    <cellStyle name="Normal 3 2 2 4 2" xfId="5783"/>
    <cellStyle name="Normal 3 2 2 5" xfId="5784"/>
    <cellStyle name="Normal 3 2 3" xfId="5785"/>
    <cellStyle name="Normal 3 2 3 2" xfId="5786"/>
    <cellStyle name="Normal 3 2 3 2 2" xfId="5787"/>
    <cellStyle name="Normal 3 2 3 2 2 2" xfId="5788"/>
    <cellStyle name="Normal 3 2 3 2 2 2 2" xfId="5789"/>
    <cellStyle name="Normal 3 2 3 2 2 3" xfId="5790"/>
    <cellStyle name="Normal 3 2 3 2 3" xfId="5791"/>
    <cellStyle name="Normal 3 2 3 2 3 2" xfId="5792"/>
    <cellStyle name="Normal 3 2 3 2 4" xfId="5793"/>
    <cellStyle name="Normal 3 2 3 3" xfId="5794"/>
    <cellStyle name="Normal 3 2 3 3 2" xfId="5795"/>
    <cellStyle name="Normal 3 2 3 3 2 2" xfId="5796"/>
    <cellStyle name="Normal 3 2 3 3 3" xfId="5797"/>
    <cellStyle name="Normal 3 2 3 4" xfId="5798"/>
    <cellStyle name="Normal 3 2 4" xfId="5799"/>
    <cellStyle name="Normal 3 2 4 2" xfId="5800"/>
    <cellStyle name="Normal 3 2 4 2 2" xfId="5801"/>
    <cellStyle name="Normal 3 2 4 2 2 2" xfId="5802"/>
    <cellStyle name="Normal 3 2 4 2 3" xfId="5803"/>
    <cellStyle name="Normal 3 2 4 2 4" xfId="5804"/>
    <cellStyle name="Normal 3 2 4 3" xfId="5805"/>
    <cellStyle name="Normal 3 2 5" xfId="5806"/>
    <cellStyle name="Normal 3 2 5 2" xfId="5807"/>
    <cellStyle name="Normal 3 2 5 2 2" xfId="5808"/>
    <cellStyle name="Normal 3 2 5 3" xfId="5809"/>
    <cellStyle name="Normal 3 2 5 4" xfId="5810"/>
    <cellStyle name="Normal 3 2 5 5" xfId="5811"/>
    <cellStyle name="Normal 3 2 6" xfId="5812"/>
    <cellStyle name="Normal 3 2 6 2" xfId="5813"/>
    <cellStyle name="Normal 3 2 6 4" xfId="5814"/>
    <cellStyle name="Normal 3 2 7" xfId="5815"/>
    <cellStyle name="Normal 3 2 7 2" xfId="5816"/>
    <cellStyle name="Normal 3 2 7 4" xfId="5817"/>
    <cellStyle name="Normal 3 2 8" xfId="5818"/>
    <cellStyle name="Normal 3 2 8 2" xfId="5819"/>
    <cellStyle name="Normal 3 2 9" xfId="5820"/>
    <cellStyle name="Normal 3 2 9 2" xfId="5821"/>
    <cellStyle name="Normal 3 3" xfId="5822"/>
    <cellStyle name="Normal 3 3 2" xfId="5823"/>
    <cellStyle name="Normal 3 3 2 2" xfId="5824"/>
    <cellStyle name="Normal 3 3 3" xfId="5825"/>
    <cellStyle name="Normal 3 3 3 2" xfId="5826"/>
    <cellStyle name="Normal 3 3 4" xfId="5827"/>
    <cellStyle name="Normal 3 3 5" xfId="5828"/>
    <cellStyle name="Normal 3 4" xfId="5829"/>
    <cellStyle name="Normal 3 4 2" xfId="5830"/>
    <cellStyle name="Normal 3 5" xfId="5831"/>
    <cellStyle name="Normal 3 5 2" xfId="5832"/>
    <cellStyle name="Normal 3 5 2 2" xfId="5833"/>
    <cellStyle name="Normal 3 5 2 2 2" xfId="5834"/>
    <cellStyle name="Normal 3 5 2 2 2 2" xfId="5835"/>
    <cellStyle name="Normal 3 5 2 2 2 2 2" xfId="5836"/>
    <cellStyle name="Normal 3 5 2 2 2 2 2 2" xfId="5837"/>
    <cellStyle name="Normal 3 5 2 2 2 2 3" xfId="5838"/>
    <cellStyle name="Normal 3 5 2 2 2 2 4" xfId="5839"/>
    <cellStyle name="Normal 3 5 2 2 2 2 5" xfId="5840"/>
    <cellStyle name="Normal 3 5 2 2 2 3" xfId="5841"/>
    <cellStyle name="Normal 3 5 2 2 2 4" xfId="5842"/>
    <cellStyle name="Normal 3 5 2 2 2 5" xfId="5843"/>
    <cellStyle name="Normal 3 6" xfId="5844"/>
    <cellStyle name="Normal 3 7" xfId="5845"/>
    <cellStyle name="Normal 3 8" xfId="5846"/>
    <cellStyle name="Normal 30" xfId="5847"/>
    <cellStyle name="Normal 30 10" xfId="5848"/>
    <cellStyle name="Normal 30 11" xfId="5849"/>
    <cellStyle name="Normal 30 2" xfId="5850"/>
    <cellStyle name="Normal 30 2 2" xfId="5851"/>
    <cellStyle name="Normal 30 2 2 2" xfId="5852"/>
    <cellStyle name="Normal 30 2 2 2 2" xfId="5853"/>
    <cellStyle name="Normal 30 2 2 2 2 2" xfId="5854"/>
    <cellStyle name="Normal 30 2 2 2 3" xfId="5855"/>
    <cellStyle name="Normal 30 2 2 2 4" xfId="5856"/>
    <cellStyle name="Normal 30 2 2 2 5" xfId="5857"/>
    <cellStyle name="Normal 30 2 2 3" xfId="5858"/>
    <cellStyle name="Normal 30 2 2 3 2" xfId="5859"/>
    <cellStyle name="Normal 30 2 2 4" xfId="5860"/>
    <cellStyle name="Normal 30 2 2 5" xfId="5861"/>
    <cellStyle name="Normal 30 2 3" xfId="5862"/>
    <cellStyle name="Normal 30 2 3 2" xfId="5863"/>
    <cellStyle name="Normal 30 2 3 2 2" xfId="5864"/>
    <cellStyle name="Normal 30 2 3 3" xfId="5865"/>
    <cellStyle name="Normal 30 2 3 4" xfId="5866"/>
    <cellStyle name="Normal 30 2 4" xfId="5867"/>
    <cellStyle name="Normal 30 3" xfId="5868"/>
    <cellStyle name="Normal 30 3 2" xfId="5869"/>
    <cellStyle name="Normal 30 3 2 2" xfId="5870"/>
    <cellStyle name="Normal 30 3 2 2 2" xfId="5871"/>
    <cellStyle name="Normal 30 3 2 2 2 2" xfId="5872"/>
    <cellStyle name="Normal 30 3 2 2 3" xfId="5873"/>
    <cellStyle name="Normal 30 3 2 2 4" xfId="5874"/>
    <cellStyle name="Normal 30 3 2 2 5" xfId="5875"/>
    <cellStyle name="Normal 30 3 2 3" xfId="5876"/>
    <cellStyle name="Normal 30 3 2 3 2" xfId="5877"/>
    <cellStyle name="Normal 30 3 2 4" xfId="5878"/>
    <cellStyle name="Normal 30 3 2 5" xfId="5879"/>
    <cellStyle name="Normal 30 3 2 6" xfId="5880"/>
    <cellStyle name="Normal 30 3 3" xfId="5881"/>
    <cellStyle name="Normal 30 3 3 2" xfId="5882"/>
    <cellStyle name="Normal 30 3 3 2 2" xfId="5883"/>
    <cellStyle name="Normal 30 3 3 3" xfId="5884"/>
    <cellStyle name="Normal 30 3 4" xfId="5885"/>
    <cellStyle name="Normal 30 4" xfId="5886"/>
    <cellStyle name="Normal 30 4 2" xfId="5887"/>
    <cellStyle name="Normal 30 4 2 2" xfId="5888"/>
    <cellStyle name="Normal 30 4 2 2 2" xfId="5889"/>
    <cellStyle name="Normal 30 4 2 3" xfId="5890"/>
    <cellStyle name="Normal 30 4 2 4" xfId="5891"/>
    <cellStyle name="Normal 30 4 3" xfId="5892"/>
    <cellStyle name="Normal 30 4 4" xfId="5893"/>
    <cellStyle name="Normal 30 4 5" xfId="5894"/>
    <cellStyle name="Normal 30 5" xfId="5895"/>
    <cellStyle name="Normal 30 5 2" xfId="5896"/>
    <cellStyle name="Normal 30 5 2 2" xfId="5897"/>
    <cellStyle name="Normal 30 5 2 2 2" xfId="5898"/>
    <cellStyle name="Normal 30 5 2 3" xfId="5899"/>
    <cellStyle name="Normal 30 5 2 4" xfId="5900"/>
    <cellStyle name="Normal 30 5 3" xfId="5901"/>
    <cellStyle name="Normal 30 5 5" xfId="5902"/>
    <cellStyle name="Normal 30 6" xfId="5903"/>
    <cellStyle name="Normal 30 6 2" xfId="5904"/>
    <cellStyle name="Normal 30 7" xfId="5905"/>
    <cellStyle name="Normal 30 7 2" xfId="5906"/>
    <cellStyle name="Normal 30 8" xfId="5907"/>
    <cellStyle name="Normal 30 8 2" xfId="5908"/>
    <cellStyle name="Normal 30 8 2 2" xfId="5909"/>
    <cellStyle name="Normal 30 8 3" xfId="5910"/>
    <cellStyle name="Normal 30 8 4" xfId="5911"/>
    <cellStyle name="Normal 30 9" xfId="5912"/>
    <cellStyle name="Normal 31" xfId="5913"/>
    <cellStyle name="Normal 31 2" xfId="5914"/>
    <cellStyle name="Normal 31 2 2" xfId="5915"/>
    <cellStyle name="Normal 31 2 2 2" xfId="5916"/>
    <cellStyle name="Normal 31 2 2 2 2" xfId="5917"/>
    <cellStyle name="Normal 31 2 2 2 2 2" xfId="5918"/>
    <cellStyle name="Normal 31 2 2 2 3" xfId="5919"/>
    <cellStyle name="Normal 31 2 2 2 4" xfId="5920"/>
    <cellStyle name="Normal 31 2 2 2 5" xfId="5921"/>
    <cellStyle name="Normal 31 2 2 3" xfId="5922"/>
    <cellStyle name="Normal 31 2 2 3 2" xfId="5923"/>
    <cellStyle name="Normal 31 2 2 4" xfId="5924"/>
    <cellStyle name="Normal 31 2 3" xfId="5925"/>
    <cellStyle name="Normal 31 2 3 2" xfId="5926"/>
    <cellStyle name="Normal 31 2 3 2 2" xfId="5927"/>
    <cellStyle name="Normal 31 2 3 3" xfId="5928"/>
    <cellStyle name="Normal 31 2 3 4" xfId="5929"/>
    <cellStyle name="Normal 31 2 4" xfId="5930"/>
    <cellStyle name="Normal 31 3" xfId="5931"/>
    <cellStyle name="Normal 31 3 2" xfId="5932"/>
    <cellStyle name="Normal 31 3 2 2" xfId="5933"/>
    <cellStyle name="Normal 31 3 2 2 2" xfId="5934"/>
    <cellStyle name="Normal 31 3 2 3" xfId="5935"/>
    <cellStyle name="Normal 31 3 2 5" xfId="5936"/>
    <cellStyle name="Normal 31 3 3" xfId="5937"/>
    <cellStyle name="Normal 31 3 3 2" xfId="5938"/>
    <cellStyle name="Normal 31 3 3 2 2" xfId="5939"/>
    <cellStyle name="Normal 31 3 3 3" xfId="5940"/>
    <cellStyle name="Normal 31 3 3 4" xfId="5941"/>
    <cellStyle name="Normal 31 3 4" xfId="5942"/>
    <cellStyle name="Normal 31 3 4 2" xfId="5943"/>
    <cellStyle name="Normal 31 3 5" xfId="5944"/>
    <cellStyle name="Normal 31 3 6" xfId="5945"/>
    <cellStyle name="Normal 31 4" xfId="5946"/>
    <cellStyle name="Normal 31 4 2" xfId="5947"/>
    <cellStyle name="Normal 31 4 2 2" xfId="5948"/>
    <cellStyle name="Normal 31 4 3" xfId="5949"/>
    <cellStyle name="Normal 31 4 5" xfId="5950"/>
    <cellStyle name="Normal 31 5" xfId="5951"/>
    <cellStyle name="Normal 31 5 2" xfId="5952"/>
    <cellStyle name="Normal 31 5 2 2" xfId="5953"/>
    <cellStyle name="Normal 31 5 2 3" xfId="5954"/>
    <cellStyle name="Normal 31 5 2 4" xfId="5955"/>
    <cellStyle name="Normal 31 5 3" xfId="5956"/>
    <cellStyle name="Normal 31 5 5" xfId="5957"/>
    <cellStyle name="Normal 31 6" xfId="5958"/>
    <cellStyle name="Normal 31 6 2" xfId="5959"/>
    <cellStyle name="Normal 31 7" xfId="5960"/>
    <cellStyle name="Normal 31 7 2" xfId="5961"/>
    <cellStyle name="Normal 31 8" xfId="5962"/>
    <cellStyle name="Normal 31 8 2" xfId="5963"/>
    <cellStyle name="Normal 31 8 2 2" xfId="5964"/>
    <cellStyle name="Normal 31 8 3" xfId="5965"/>
    <cellStyle name="Normal 31 8 4" xfId="5966"/>
    <cellStyle name="Normal 31 9" xfId="5967"/>
    <cellStyle name="Normal 32" xfId="5968"/>
    <cellStyle name="Normal 32 10" xfId="5969"/>
    <cellStyle name="Normal 32 11" xfId="5970"/>
    <cellStyle name="Normal 32 2" xfId="5971"/>
    <cellStyle name="Normal 32 2 2" xfId="5972"/>
    <cellStyle name="Normal 32 2 2 2" xfId="5973"/>
    <cellStyle name="Normal 32 2 2 2 2" xfId="5974"/>
    <cellStyle name="Normal 32 2 2 3" xfId="5975"/>
    <cellStyle name="Normal 32 2 3" xfId="5976"/>
    <cellStyle name="Normal 32 2 3 2" xfId="5977"/>
    <cellStyle name="Normal 32 2 3 2 2" xfId="5978"/>
    <cellStyle name="Normal 32 2 3 3" xfId="5979"/>
    <cellStyle name="Normal 32 2 4" xfId="5980"/>
    <cellStyle name="Normal 32 3" xfId="5981"/>
    <cellStyle name="Normal 32 3 2" xfId="5982"/>
    <cellStyle name="Normal 32 3 2 2" xfId="5983"/>
    <cellStyle name="Normal 32 3 2 2 2" xfId="5984"/>
    <cellStyle name="Normal 32 3 2 2 3" xfId="5985"/>
    <cellStyle name="Normal 32 3 2 2 4" xfId="5986"/>
    <cellStyle name="Normal 32 3 2 3" xfId="5987"/>
    <cellStyle name="Normal 32 3 2 4" xfId="5988"/>
    <cellStyle name="Normal 32 3 2 5" xfId="5989"/>
    <cellStyle name="Normal 32 3 3" xfId="5990"/>
    <cellStyle name="Normal 32 3 3 2" xfId="5991"/>
    <cellStyle name="Normal 32 3 3 2 2" xfId="5992"/>
    <cellStyle name="Normal 32 3 3 3" xfId="5993"/>
    <cellStyle name="Normal 32 3 3 4" xfId="5994"/>
    <cellStyle name="Normal 32 3 4" xfId="5995"/>
    <cellStyle name="Normal 32 3 5" xfId="5996"/>
    <cellStyle name="Normal 32 3 6" xfId="5997"/>
    <cellStyle name="Normal 32 4" xfId="5998"/>
    <cellStyle name="Normal 32 4 2" xfId="5999"/>
    <cellStyle name="Normal 32 4 2 2" xfId="6000"/>
    <cellStyle name="Normal 32 4 2 4" xfId="6001"/>
    <cellStyle name="Normal 32 4 3" xfId="6002"/>
    <cellStyle name="Normal 32 4 5" xfId="6003"/>
    <cellStyle name="Normal 32 5" xfId="6004"/>
    <cellStyle name="Normal 32 5 2" xfId="6005"/>
    <cellStyle name="Normal 32 5 2 2" xfId="6006"/>
    <cellStyle name="Normal 32 5 2 3" xfId="6007"/>
    <cellStyle name="Normal 32 5 2 4" xfId="6008"/>
    <cellStyle name="Normal 32 5 3" xfId="6009"/>
    <cellStyle name="Normal 32 6" xfId="6010"/>
    <cellStyle name="Normal 32 6 2" xfId="6011"/>
    <cellStyle name="Normal 32 7" xfId="6012"/>
    <cellStyle name="Normal 32 7 2" xfId="6013"/>
    <cellStyle name="Normal 32 8" xfId="6014"/>
    <cellStyle name="Normal 32 8 2" xfId="6015"/>
    <cellStyle name="Normal 32 8 2 2" xfId="6016"/>
    <cellStyle name="Normal 32 8 3" xfId="6017"/>
    <cellStyle name="Normal 32 8 4" xfId="6018"/>
    <cellStyle name="Normal 32 9" xfId="6019"/>
    <cellStyle name="Normal 33" xfId="6020"/>
    <cellStyle name="Normal 33 10" xfId="6021"/>
    <cellStyle name="Normal 33 11" xfId="6022"/>
    <cellStyle name="Normal 33 2" xfId="6023"/>
    <cellStyle name="Normal 33 2 2" xfId="6024"/>
    <cellStyle name="Normal 33 2 2 2" xfId="6025"/>
    <cellStyle name="Normal 33 2 2 2 2" xfId="6026"/>
    <cellStyle name="Normal 33 2 2 2 2 2" xfId="6027"/>
    <cellStyle name="Normal 33 2 2 2 3" xfId="6028"/>
    <cellStyle name="Normal 33 2 2 2 4" xfId="6029"/>
    <cellStyle name="Normal 33 2 2 2 5" xfId="6030"/>
    <cellStyle name="Normal 33 2 2 3" xfId="6031"/>
    <cellStyle name="Normal 33 2 2 3 2" xfId="6032"/>
    <cellStyle name="Normal 33 2 2 4" xfId="6033"/>
    <cellStyle name="Normal 33 2 2 5" xfId="6034"/>
    <cellStyle name="Normal 33 2 2 6" xfId="6035"/>
    <cellStyle name="Normal 33 2 3" xfId="6036"/>
    <cellStyle name="Normal 33 2 3 2" xfId="6037"/>
    <cellStyle name="Normal 33 2 3 2 2" xfId="6038"/>
    <cellStyle name="Normal 33 2 3 3" xfId="6039"/>
    <cellStyle name="Normal 33 2 3 4" xfId="6040"/>
    <cellStyle name="Normal 33 2 3 5" xfId="6041"/>
    <cellStyle name="Normal 33 2 4" xfId="6042"/>
    <cellStyle name="Normal 33 2 4 2" xfId="6043"/>
    <cellStyle name="Normal 33 2 5" xfId="6044"/>
    <cellStyle name="Normal 33 2 6" xfId="6045"/>
    <cellStyle name="Normal 33 2 7" xfId="6046"/>
    <cellStyle name="Normal 33 3" xfId="6047"/>
    <cellStyle name="Normal 33 3 2" xfId="6048"/>
    <cellStyle name="Normal 33 3 2 2" xfId="6049"/>
    <cellStyle name="Normal 33 3 2 2 2" xfId="6050"/>
    <cellStyle name="Normal 33 3 2 2 2 2" xfId="6051"/>
    <cellStyle name="Normal 33 3 2 2 3" xfId="6052"/>
    <cellStyle name="Normal 33 3 2 2 4" xfId="6053"/>
    <cellStyle name="Normal 33 3 2 2 5" xfId="6054"/>
    <cellStyle name="Normal 33 3 2 3" xfId="6055"/>
    <cellStyle name="Normal 33 3 2 3 2" xfId="6056"/>
    <cellStyle name="Normal 33 3 2 4" xfId="6057"/>
    <cellStyle name="Normal 33 3 2 5" xfId="6058"/>
    <cellStyle name="Normal 33 3 2 6" xfId="6059"/>
    <cellStyle name="Normal 33 3 3" xfId="6060"/>
    <cellStyle name="Normal 33 3 3 2" xfId="6061"/>
    <cellStyle name="Normal 33 3 3 2 2" xfId="6062"/>
    <cellStyle name="Normal 33 3 3 3" xfId="6063"/>
    <cellStyle name="Normal 33 3 3 4" xfId="6064"/>
    <cellStyle name="Normal 33 3 3 5" xfId="6065"/>
    <cellStyle name="Normal 33 3 4" xfId="6066"/>
    <cellStyle name="Normal 33 3 4 2" xfId="6067"/>
    <cellStyle name="Normal 33 3 5" xfId="6068"/>
    <cellStyle name="Normal 33 3 6" xfId="6069"/>
    <cellStyle name="Normal 33 4" xfId="6070"/>
    <cellStyle name="Normal 33 4 2" xfId="6071"/>
    <cellStyle name="Normal 33 4 2 2" xfId="6072"/>
    <cellStyle name="Normal 33 4 2 2 2" xfId="6073"/>
    <cellStyle name="Normal 33 4 2 3" xfId="6074"/>
    <cellStyle name="Normal 33 4 2 4" xfId="6075"/>
    <cellStyle name="Normal 33 4 2 5" xfId="6076"/>
    <cellStyle name="Normal 33 4 3" xfId="6077"/>
    <cellStyle name="Normal 33 4 3 2" xfId="6078"/>
    <cellStyle name="Normal 33 4 4" xfId="6079"/>
    <cellStyle name="Normal 33 4 5" xfId="6080"/>
    <cellStyle name="Normal 33 5" xfId="6081"/>
    <cellStyle name="Normal 33 5 2" xfId="6082"/>
    <cellStyle name="Normal 33 5 2 2" xfId="6083"/>
    <cellStyle name="Normal 33 5 2 4" xfId="6084"/>
    <cellStyle name="Normal 33 5 3" xfId="6085"/>
    <cellStyle name="Normal 33 5 3 2" xfId="6086"/>
    <cellStyle name="Normal 33 6" xfId="6087"/>
    <cellStyle name="Normal 33 6 2" xfId="6088"/>
    <cellStyle name="Normal 33 6 2 2" xfId="6089"/>
    <cellStyle name="Normal 33 6 3" xfId="6090"/>
    <cellStyle name="Normal 33 6 4" xfId="6091"/>
    <cellStyle name="Normal 33 6 5" xfId="6092"/>
    <cellStyle name="Normal 33 7" xfId="6093"/>
    <cellStyle name="Normal 33 7 2" xfId="6094"/>
    <cellStyle name="Normal 33 8" xfId="6095"/>
    <cellStyle name="Normal 33 8 2" xfId="6096"/>
    <cellStyle name="Normal 33 8 2 2" xfId="6097"/>
    <cellStyle name="Normal 33 8 3" xfId="6098"/>
    <cellStyle name="Normal 33 8 4" xfId="6099"/>
    <cellStyle name="Normal 33 8 5" xfId="6100"/>
    <cellStyle name="Normal 33 9" xfId="6101"/>
    <cellStyle name="Normal 33 9 2" xfId="6102"/>
    <cellStyle name="Normal 34" xfId="6103"/>
    <cellStyle name="Normal 34 10" xfId="6104"/>
    <cellStyle name="Normal 34 11" xfId="6105"/>
    <cellStyle name="Normal 34 2" xfId="6106"/>
    <cellStyle name="Normal 34 2 2" xfId="6107"/>
    <cellStyle name="Normal 34 2 2 2" xfId="6108"/>
    <cellStyle name="Normal 34 2 2 2 2" xfId="6109"/>
    <cellStyle name="Normal 34 2 2 2 2 2" xfId="6110"/>
    <cellStyle name="Normal 34 2 2 2 3" xfId="6111"/>
    <cellStyle name="Normal 34 2 2 2 4" xfId="6112"/>
    <cellStyle name="Normal 34 2 2 2 5" xfId="6113"/>
    <cellStyle name="Normal 34 2 2 3" xfId="6114"/>
    <cellStyle name="Normal 34 2 2 4" xfId="6115"/>
    <cellStyle name="Normal 34 2 2 5" xfId="6116"/>
    <cellStyle name="Normal 34 2 3" xfId="6117"/>
    <cellStyle name="Normal 34 2 3 2" xfId="6118"/>
    <cellStyle name="Normal 34 2 3 2 2" xfId="6119"/>
    <cellStyle name="Normal 34 2 3 3" xfId="6120"/>
    <cellStyle name="Normal 34 2 3 4" xfId="6121"/>
    <cellStyle name="Normal 34 2 3 5" xfId="6122"/>
    <cellStyle name="Normal 34 2 4" xfId="6123"/>
    <cellStyle name="Normal 34 2 4 2" xfId="6124"/>
    <cellStyle name="Normal 34 3" xfId="6125"/>
    <cellStyle name="Normal 34 3 2" xfId="6126"/>
    <cellStyle name="Normal 34 3 2 2" xfId="6127"/>
    <cellStyle name="Normal 34 3 2 2 2" xfId="6128"/>
    <cellStyle name="Normal 34 3 2 2 2 2" xfId="6129"/>
    <cellStyle name="Normal 34 3 2 2 3" xfId="6130"/>
    <cellStyle name="Normal 34 3 2 2 4" xfId="6131"/>
    <cellStyle name="Normal 34 3 2 3" xfId="6132"/>
    <cellStyle name="Normal 34 3 2 4" xfId="6133"/>
    <cellStyle name="Normal 34 3 2 5" xfId="6134"/>
    <cellStyle name="Normal 34 3 3" xfId="6135"/>
    <cellStyle name="Normal 34 3 3 2" xfId="6136"/>
    <cellStyle name="Normal 34 3 3 2 2" xfId="6137"/>
    <cellStyle name="Normal 34 3 3 3" xfId="6138"/>
    <cellStyle name="Normal 34 3 3 4" xfId="6139"/>
    <cellStyle name="Normal 34 3 3 4 2" xfId="6140"/>
    <cellStyle name="Normal 34 3 4" xfId="6141"/>
    <cellStyle name="Normal 34 3 5" xfId="6142"/>
    <cellStyle name="Normal 34 3 6" xfId="6143"/>
    <cellStyle name="Normal 34 4" xfId="6144"/>
    <cellStyle name="Normal 34 4 2" xfId="6145"/>
    <cellStyle name="Normal 34 4 2 2" xfId="6146"/>
    <cellStyle name="Normal 34 4 2 2 2" xfId="6147"/>
    <cellStyle name="Normal 34 4 2 3" xfId="6148"/>
    <cellStyle name="Normal 34 4 2 4" xfId="6149"/>
    <cellStyle name="Normal 34 4 2 5" xfId="6150"/>
    <cellStyle name="Normal 34 4 3" xfId="6151"/>
    <cellStyle name="Normal 34 4 3 2" xfId="6152"/>
    <cellStyle name="Normal 34 5" xfId="6153"/>
    <cellStyle name="Normal 34 5 2" xfId="6154"/>
    <cellStyle name="Normal 34 5 2 2" xfId="6155"/>
    <cellStyle name="Normal 34 5 2 4" xfId="6156"/>
    <cellStyle name="Normal 34 5 3" xfId="6157"/>
    <cellStyle name="Normal 34 6" xfId="6158"/>
    <cellStyle name="Normal 34 6 2" xfId="6159"/>
    <cellStyle name="Normal 34 7" xfId="6160"/>
    <cellStyle name="Normal 34 7 2" xfId="6161"/>
    <cellStyle name="Normal 34 8" xfId="6162"/>
    <cellStyle name="Normal 34 8 2" xfId="6163"/>
    <cellStyle name="Normal 34 9" xfId="6164"/>
    <cellStyle name="Normal 35" xfId="6165"/>
    <cellStyle name="Normal 35 2" xfId="6166"/>
    <cellStyle name="Normal 35 2 2" xfId="6167"/>
    <cellStyle name="Normal 35 2 2 2" xfId="6168"/>
    <cellStyle name="Normal 35 2 2 2 2" xfId="6169"/>
    <cellStyle name="Normal 35 2 2 3" xfId="6170"/>
    <cellStyle name="Normal 35 2 2 4" xfId="6171"/>
    <cellStyle name="Normal 35 2 2 5" xfId="6172"/>
    <cellStyle name="Normal 35 2 3" xfId="6173"/>
    <cellStyle name="Normal 35 2 3 2" xfId="6174"/>
    <cellStyle name="Normal 35 2 3 4" xfId="6175"/>
    <cellStyle name="Normal 35 2 4" xfId="6176"/>
    <cellStyle name="Normal 35 3" xfId="6177"/>
    <cellStyle name="Normal 35 3 2" xfId="6178"/>
    <cellStyle name="Normal 35 3 2 2" xfId="6179"/>
    <cellStyle name="Normal 35 3 2 2 2" xfId="6180"/>
    <cellStyle name="Normal 35 3 2 3" xfId="6181"/>
    <cellStyle name="Normal 35 3 2 4" xfId="6182"/>
    <cellStyle name="Normal 35 3 2 5" xfId="6183"/>
    <cellStyle name="Normal 35 3 3" xfId="6184"/>
    <cellStyle name="Normal 35 3 3 2" xfId="6185"/>
    <cellStyle name="Normal 35 3 3 4" xfId="6186"/>
    <cellStyle name="Normal 35 3 4" xfId="6187"/>
    <cellStyle name="Normal 35 4" xfId="6188"/>
    <cellStyle name="Normal 35 4 2" xfId="6189"/>
    <cellStyle name="Normal 35 4 2 2" xfId="6190"/>
    <cellStyle name="Normal 35 4 2 4" xfId="6191"/>
    <cellStyle name="Normal 35 4 3" xfId="6192"/>
    <cellStyle name="Normal 35 5" xfId="6193"/>
    <cellStyle name="Normal 35 5 2" xfId="6194"/>
    <cellStyle name="Normal 35 5 2 2" xfId="6195"/>
    <cellStyle name="Normal 35 5 2 4" xfId="6196"/>
    <cellStyle name="Normal 35 5 3" xfId="6197"/>
    <cellStyle name="Normal 35 6" xfId="6198"/>
    <cellStyle name="Normal 35 6 2" xfId="6199"/>
    <cellStyle name="Normal 35 7" xfId="6200"/>
    <cellStyle name="Normal 35 7 2" xfId="6201"/>
    <cellStyle name="Normal 35 8" xfId="6202"/>
    <cellStyle name="Normal 35 8 2" xfId="6203"/>
    <cellStyle name="Normal 35 9" xfId="6204"/>
    <cellStyle name="Normal 36" xfId="6205"/>
    <cellStyle name="Normal 36 2" xfId="6206"/>
    <cellStyle name="Normal 36 2 2" xfId="6207"/>
    <cellStyle name="Normal 36 2 2 2" xfId="6208"/>
    <cellStyle name="Normal 36 2 2 2 2" xfId="6209"/>
    <cellStyle name="Normal 36 2 2 2 2 2" xfId="6210"/>
    <cellStyle name="Normal 36 2 2 3" xfId="6211"/>
    <cellStyle name="Normal 36 2 3" xfId="6212"/>
    <cellStyle name="Normal 36 2 3 2" xfId="6213"/>
    <cellStyle name="Normal 36 2 4" xfId="6214"/>
    <cellStyle name="Normal 36 3" xfId="6215"/>
    <cellStyle name="Normal 36 3 2" xfId="6216"/>
    <cellStyle name="Normal 36 3 2 2" xfId="6217"/>
    <cellStyle name="Normal 36 3 2 2 2" xfId="6218"/>
    <cellStyle name="Normal 36 3 2 3" xfId="6219"/>
    <cellStyle name="Normal 36 3 3" xfId="6220"/>
    <cellStyle name="Normal 36 3 3 2" xfId="6221"/>
    <cellStyle name="Normal 36 3 4" xfId="6222"/>
    <cellStyle name="Normal 36 4" xfId="6223"/>
    <cellStyle name="Normal 36 4 2" xfId="6224"/>
    <cellStyle name="Normal 36 4 2 2" xfId="6225"/>
    <cellStyle name="Normal 36 4 3" xfId="6226"/>
    <cellStyle name="Normal 36 5" xfId="6227"/>
    <cellStyle name="Normal 36 5 2" xfId="6228"/>
    <cellStyle name="Normal 36 5 2 2" xfId="6229"/>
    <cellStyle name="Normal 36 5 3" xfId="6230"/>
    <cellStyle name="Normal 36 6" xfId="6231"/>
    <cellStyle name="Normal 36 6 2" xfId="6232"/>
    <cellStyle name="Normal 36 7" xfId="6233"/>
    <cellStyle name="Normal 36 7 2" xfId="6234"/>
    <cellStyle name="Normal 36 8" xfId="6235"/>
    <cellStyle name="Normal 36 8 2" xfId="6236"/>
    <cellStyle name="Normal 36 8 2 2" xfId="6237"/>
    <cellStyle name="Normal 36 8 3" xfId="6238"/>
    <cellStyle name="Normal 36 8 4" xfId="6239"/>
    <cellStyle name="Normal 36 8 5" xfId="6240"/>
    <cellStyle name="Normal 36 9" xfId="6241"/>
    <cellStyle name="Normal 36 9 2" xfId="6242"/>
    <cellStyle name="Normal 37" xfId="6243"/>
    <cellStyle name="Normal 37 11" xfId="6244"/>
    <cellStyle name="Normal 37 2" xfId="6245"/>
    <cellStyle name="Normal 37 2 2" xfId="6246"/>
    <cellStyle name="Normal 37 2 2 2" xfId="6247"/>
    <cellStyle name="Normal 37 2 2 2 2" xfId="6248"/>
    <cellStyle name="Normal 37 2 2 3" xfId="6249"/>
    <cellStyle name="Normal 37 2 2 4" xfId="6250"/>
    <cellStyle name="Normal 37 2 2 5" xfId="6251"/>
    <cellStyle name="Normal 37 2 3" xfId="6252"/>
    <cellStyle name="Normal 37 2 3 2" xfId="6253"/>
    <cellStyle name="Normal 37 2 4" xfId="6254"/>
    <cellStyle name="Normal 37 3" xfId="6255"/>
    <cellStyle name="Normal 37 3 2" xfId="6256"/>
    <cellStyle name="Normal 37 3 2 2" xfId="6257"/>
    <cellStyle name="Normal 37 3 2 2 2" xfId="6258"/>
    <cellStyle name="Normal 37 3 2 3" xfId="6259"/>
    <cellStyle name="Normal 37 3 3" xfId="6260"/>
    <cellStyle name="Normal 37 3 3 2" xfId="6261"/>
    <cellStyle name="Normal 37 3 4" xfId="6262"/>
    <cellStyle name="Normal 37 4" xfId="6263"/>
    <cellStyle name="Normal 37 4 2" xfId="6264"/>
    <cellStyle name="Normal 37 4 2 2" xfId="6265"/>
    <cellStyle name="Normal 37 4 3" xfId="6266"/>
    <cellStyle name="Normal 37 5" xfId="6267"/>
    <cellStyle name="Normal 37 5 2" xfId="6268"/>
    <cellStyle name="Normal 37 5 2 2" xfId="6269"/>
    <cellStyle name="Normal 37 5 3" xfId="6270"/>
    <cellStyle name="Normal 37 6" xfId="6271"/>
    <cellStyle name="Normal 37 6 2" xfId="6272"/>
    <cellStyle name="Normal 37 7" xfId="6273"/>
    <cellStyle name="Normal 37 7 2" xfId="6274"/>
    <cellStyle name="Normal 37 8" xfId="6275"/>
    <cellStyle name="Normal 37 8 2" xfId="6276"/>
    <cellStyle name="Normal 37 9" xfId="6277"/>
    <cellStyle name="Normal 37 9 2" xfId="6278"/>
    <cellStyle name="Normal 38" xfId="6279"/>
    <cellStyle name="Normal 38 2" xfId="6280"/>
    <cellStyle name="Normal 38 2 2" xfId="6281"/>
    <cellStyle name="Normal 38 2 2 2" xfId="6282"/>
    <cellStyle name="Normal 38 2 2 2 2" xfId="6283"/>
    <cellStyle name="Normal 38 2 2 3" xfId="6284"/>
    <cellStyle name="Normal 38 2 2 4" xfId="6285"/>
    <cellStyle name="Normal 38 2 2 5" xfId="6286"/>
    <cellStyle name="Normal 38 2 3" xfId="6287"/>
    <cellStyle name="Normal 38 2 3 2" xfId="6288"/>
    <cellStyle name="Normal 38 2 4" xfId="6289"/>
    <cellStyle name="Normal 38 3" xfId="6290"/>
    <cellStyle name="Normal 38 3 2" xfId="6291"/>
    <cellStyle name="Normal 38 3 2 2" xfId="6292"/>
    <cellStyle name="Normal 38 3 2 2 2" xfId="6293"/>
    <cellStyle name="Normal 38 3 2 3" xfId="6294"/>
    <cellStyle name="Normal 38 3 3" xfId="6295"/>
    <cellStyle name="Normal 38 3 3 2" xfId="6296"/>
    <cellStyle name="Normal 38 3 4" xfId="6297"/>
    <cellStyle name="Normal 38 4" xfId="6298"/>
    <cellStyle name="Normal 38 4 2" xfId="6299"/>
    <cellStyle name="Normal 38 4 2 2" xfId="6300"/>
    <cellStyle name="Normal 38 4 3" xfId="6301"/>
    <cellStyle name="Normal 38 5" xfId="6302"/>
    <cellStyle name="Normal 38 5 2" xfId="6303"/>
    <cellStyle name="Normal 38 5 2 2" xfId="6304"/>
    <cellStyle name="Normal 38 5 3" xfId="6305"/>
    <cellStyle name="Normal 38 6" xfId="6306"/>
    <cellStyle name="Normal 38 6 2" xfId="6307"/>
    <cellStyle name="Normal 38 7" xfId="6308"/>
    <cellStyle name="Normal 38 7 2" xfId="6309"/>
    <cellStyle name="Normal 38 8" xfId="6310"/>
    <cellStyle name="Normal 38 8 2" xfId="6311"/>
    <cellStyle name="Normal 38 9" xfId="6312"/>
    <cellStyle name="Normal 39" xfId="6313"/>
    <cellStyle name="Normal 39 2" xfId="6314"/>
    <cellStyle name="Normal 39 2 2" xfId="6315"/>
    <cellStyle name="Normal 39 2 2 2" xfId="6316"/>
    <cellStyle name="Normal 39 2 2 2 2" xfId="6317"/>
    <cellStyle name="Normal 39 2 2 3" xfId="6318"/>
    <cellStyle name="Normal 39 2 2 4" xfId="6319"/>
    <cellStyle name="Normal 39 2 3" xfId="6320"/>
    <cellStyle name="Normal 39 2 3 2" xfId="6321"/>
    <cellStyle name="Normal 39 2 4" xfId="6322"/>
    <cellStyle name="Normal 39 3" xfId="6323"/>
    <cellStyle name="Normal 39 3 2" xfId="6324"/>
    <cellStyle name="Normal 39 3 2 2" xfId="6325"/>
    <cellStyle name="Normal 39 3 2 2 2" xfId="6326"/>
    <cellStyle name="Normal 39 3 2 3" xfId="6327"/>
    <cellStyle name="Normal 39 3 3" xfId="6328"/>
    <cellStyle name="Normal 39 3 3 2" xfId="6329"/>
    <cellStyle name="Normal 39 3 4" xfId="6330"/>
    <cellStyle name="Normal 39 4" xfId="6331"/>
    <cellStyle name="Normal 39 4 2" xfId="6332"/>
    <cellStyle name="Normal 39 4 2 2" xfId="6333"/>
    <cellStyle name="Normal 39 4 3" xfId="6334"/>
    <cellStyle name="Normal 39 5" xfId="6335"/>
    <cellStyle name="Normal 39 5 2" xfId="6336"/>
    <cellStyle name="Normal 39 5 2 2" xfId="6337"/>
    <cellStyle name="Normal 39 5 3" xfId="6338"/>
    <cellStyle name="Normal 39 6" xfId="6339"/>
    <cellStyle name="Normal 39 6 2" xfId="6340"/>
    <cellStyle name="Normal 39 7" xfId="6341"/>
    <cellStyle name="Normal 39 7 2" xfId="6342"/>
    <cellStyle name="Normal 39 8" xfId="6343"/>
    <cellStyle name="Normal 39 8 2" xfId="6344"/>
    <cellStyle name="Normal 39 9" xfId="6345"/>
    <cellStyle name="Normal 4" xfId="6346"/>
    <cellStyle name="Normal 4 2" xfId="6347"/>
    <cellStyle name="Normal 4 2 2" xfId="6348"/>
    <cellStyle name="Normal 4 2 2 2" xfId="6349"/>
    <cellStyle name="Normal 4 2 3" xfId="6350"/>
    <cellStyle name="Normal 4 3" xfId="6351"/>
    <cellStyle name="Normal 4 3 2" xfId="6352"/>
    <cellStyle name="Normal 4 3 2 2" xfId="6353"/>
    <cellStyle name="Normal 4 4" xfId="6354"/>
    <cellStyle name="Normal 4 5" xfId="6355"/>
    <cellStyle name="Normal 40" xfId="6356"/>
    <cellStyle name="Normal 40 2" xfId="6357"/>
    <cellStyle name="Normal 40 2 2" xfId="6358"/>
    <cellStyle name="Normal 40 2 2 2" xfId="6359"/>
    <cellStyle name="Normal 40 2 2 2 2" xfId="6360"/>
    <cellStyle name="Normal 40 2 2 3" xfId="6361"/>
    <cellStyle name="Normal 40 2 2 4" xfId="6362"/>
    <cellStyle name="Normal 40 2 2 5" xfId="6363"/>
    <cellStyle name="Normal 40 2 3" xfId="6364"/>
    <cellStyle name="Normal 40 2 3 2" xfId="6365"/>
    <cellStyle name="Normal 40 2 3 4" xfId="6366"/>
    <cellStyle name="Normal 40 2 4" xfId="6367"/>
    <cellStyle name="Normal 40 3" xfId="6368"/>
    <cellStyle name="Normal 40 3 2" xfId="6369"/>
    <cellStyle name="Normal 40 3 2 2" xfId="6370"/>
    <cellStyle name="Normal 40 3 2 2 2" xfId="6371"/>
    <cellStyle name="Normal 40 3 2 3" xfId="6372"/>
    <cellStyle name="Normal 40 3 2 4" xfId="6373"/>
    <cellStyle name="Normal 40 3 2 5" xfId="6374"/>
    <cellStyle name="Normal 40 3 3" xfId="6375"/>
    <cellStyle name="Normal 40 3 3 2" xfId="6376"/>
    <cellStyle name="Normal 40 3 3 4" xfId="6377"/>
    <cellStyle name="Normal 40 3 4" xfId="6378"/>
    <cellStyle name="Normal 40 4" xfId="6379"/>
    <cellStyle name="Normal 40 4 2" xfId="6380"/>
    <cellStyle name="Normal 40 4 2 2" xfId="6381"/>
    <cellStyle name="Normal 40 4 2 4" xfId="6382"/>
    <cellStyle name="Normal 40 4 3" xfId="6383"/>
    <cellStyle name="Normal 40 5" xfId="6384"/>
    <cellStyle name="Normal 40 5 2" xfId="6385"/>
    <cellStyle name="Normal 40 5 2 2" xfId="6386"/>
    <cellStyle name="Normal 40 5 2 4" xfId="6387"/>
    <cellStyle name="Normal 40 5 3" xfId="6388"/>
    <cellStyle name="Normal 40 6" xfId="6389"/>
    <cellStyle name="Normal 40 6 2" xfId="6390"/>
    <cellStyle name="Normal 40 7" xfId="6391"/>
    <cellStyle name="Normal 40 7 2" xfId="6392"/>
    <cellStyle name="Normal 40 8" xfId="6393"/>
    <cellStyle name="Normal 40 8 2" xfId="6394"/>
    <cellStyle name="Normal 40 9" xfId="6395"/>
    <cellStyle name="Normal 41" xfId="6396"/>
    <cellStyle name="Normal 41 2" xfId="6397"/>
    <cellStyle name="Normal 41 2 2" xfId="6398"/>
    <cellStyle name="Normal 41 2 2 2" xfId="6399"/>
    <cellStyle name="Normal 41 2 2 2 2" xfId="6400"/>
    <cellStyle name="Normal 41 2 2 2 2 2" xfId="6401"/>
    <cellStyle name="Normal 41 2 2 3" xfId="6402"/>
    <cellStyle name="Normal 41 2 3" xfId="6403"/>
    <cellStyle name="Normal 41 2 3 2" xfId="6404"/>
    <cellStyle name="Normal 41 2 4" xfId="6405"/>
    <cellStyle name="Normal 41 3" xfId="6406"/>
    <cellStyle name="Normal 41 3 2" xfId="6407"/>
    <cellStyle name="Normal 41 3 2 2" xfId="6408"/>
    <cellStyle name="Normal 41 3 2 2 2" xfId="6409"/>
    <cellStyle name="Normal 41 3 2 3" xfId="6410"/>
    <cellStyle name="Normal 41 3 3" xfId="6411"/>
    <cellStyle name="Normal 41 3 3 2" xfId="6412"/>
    <cellStyle name="Normal 41 3 4" xfId="6413"/>
    <cellStyle name="Normal 41 4" xfId="6414"/>
    <cellStyle name="Normal 41 4 2" xfId="6415"/>
    <cellStyle name="Normal 41 4 2 2" xfId="6416"/>
    <cellStyle name="Normal 41 4 3" xfId="6417"/>
    <cellStyle name="Normal 41 5" xfId="6418"/>
    <cellStyle name="Normal 41 5 2" xfId="6419"/>
    <cellStyle name="Normal 41 5 2 2" xfId="6420"/>
    <cellStyle name="Normal 41 5 3" xfId="6421"/>
    <cellStyle name="Normal 41 6" xfId="6422"/>
    <cellStyle name="Normal 41 6 2" xfId="6423"/>
    <cellStyle name="Normal 41 7" xfId="6424"/>
    <cellStyle name="Normal 41 7 2" xfId="6425"/>
    <cellStyle name="Normal 41 8" xfId="6426"/>
    <cellStyle name="Normal 41 8 2" xfId="6427"/>
    <cellStyle name="Normal 41 8 2 2" xfId="6428"/>
    <cellStyle name="Normal 41 8 3" xfId="6429"/>
    <cellStyle name="Normal 41 8 4" xfId="6430"/>
    <cellStyle name="Normal 41 8 5" xfId="6431"/>
    <cellStyle name="Normal 41 9" xfId="6432"/>
    <cellStyle name="Normal 41 9 2" xfId="6433"/>
    <cellStyle name="Normal 42" xfId="6434"/>
    <cellStyle name="Normal 42 11" xfId="6435"/>
    <cellStyle name="Normal 42 2" xfId="6436"/>
    <cellStyle name="Normal 42 2 2" xfId="6437"/>
    <cellStyle name="Normal 42 2 2 2" xfId="6438"/>
    <cellStyle name="Normal 42 2 2 2 2" xfId="6439"/>
    <cellStyle name="Normal 42 2 2 3" xfId="6440"/>
    <cellStyle name="Normal 42 2 2 4" xfId="6441"/>
    <cellStyle name="Normal 42 2 2 5" xfId="6442"/>
    <cellStyle name="Normal 42 2 3" xfId="6443"/>
    <cellStyle name="Normal 42 2 3 2" xfId="6444"/>
    <cellStyle name="Normal 42 2 4" xfId="6445"/>
    <cellStyle name="Normal 42 3" xfId="6446"/>
    <cellStyle name="Normal 42 3 2" xfId="6447"/>
    <cellStyle name="Normal 42 3 2 2" xfId="6448"/>
    <cellStyle name="Normal 42 3 2 2 2" xfId="6449"/>
    <cellStyle name="Normal 42 3 2 3" xfId="6450"/>
    <cellStyle name="Normal 42 3 3" xfId="6451"/>
    <cellStyle name="Normal 42 3 3 2" xfId="6452"/>
    <cellStyle name="Normal 42 3 4" xfId="6453"/>
    <cellStyle name="Normal 42 4" xfId="6454"/>
    <cellStyle name="Normal 42 4 2" xfId="6455"/>
    <cellStyle name="Normal 42 4 2 2" xfId="6456"/>
    <cellStyle name="Normal 42 4 3" xfId="6457"/>
    <cellStyle name="Normal 42 5" xfId="6458"/>
    <cellStyle name="Normal 42 5 2" xfId="6459"/>
    <cellStyle name="Normal 42 5 2 2" xfId="6460"/>
    <cellStyle name="Normal 42 5 3" xfId="6461"/>
    <cellStyle name="Normal 42 6" xfId="6462"/>
    <cellStyle name="Normal 42 6 2" xfId="6463"/>
    <cellStyle name="Normal 42 7" xfId="6464"/>
    <cellStyle name="Normal 42 7 2" xfId="6465"/>
    <cellStyle name="Normal 42 8" xfId="6466"/>
    <cellStyle name="Normal 42 8 2" xfId="6467"/>
    <cellStyle name="Normal 42 9" xfId="6468"/>
    <cellStyle name="Normal 42 9 2" xfId="6469"/>
    <cellStyle name="Normal 43" xfId="6470"/>
    <cellStyle name="Normal 43 2" xfId="6471"/>
    <cellStyle name="Normal 43 2 2" xfId="6472"/>
    <cellStyle name="Normal 43 2 2 2" xfId="6473"/>
    <cellStyle name="Normal 43 2 2 2 2" xfId="6474"/>
    <cellStyle name="Normal 43 2 2 3" xfId="6475"/>
    <cellStyle name="Normal 43 2 2 4" xfId="6476"/>
    <cellStyle name="Normal 43 2 2 5" xfId="6477"/>
    <cellStyle name="Normal 43 2 3" xfId="6478"/>
    <cellStyle name="Normal 43 2 3 2" xfId="6479"/>
    <cellStyle name="Normal 43 2 4" xfId="6480"/>
    <cellStyle name="Normal 43 3" xfId="6481"/>
    <cellStyle name="Normal 43 3 2" xfId="6482"/>
    <cellStyle name="Normal 43 3 2 2" xfId="6483"/>
    <cellStyle name="Normal 43 3 2 2 2" xfId="6484"/>
    <cellStyle name="Normal 43 3 2 3" xfId="6485"/>
    <cellStyle name="Normal 43 3 3" xfId="6486"/>
    <cellStyle name="Normal 43 3 3 2" xfId="6487"/>
    <cellStyle name="Normal 43 3 4" xfId="6488"/>
    <cellStyle name="Normal 43 4" xfId="6489"/>
    <cellStyle name="Normal 43 4 2" xfId="6490"/>
    <cellStyle name="Normal 43 4 2 2" xfId="6491"/>
    <cellStyle name="Normal 43 4 3" xfId="6492"/>
    <cellStyle name="Normal 43 5" xfId="6493"/>
    <cellStyle name="Normal 43 5 2" xfId="6494"/>
    <cellStyle name="Normal 43 5 2 2" xfId="6495"/>
    <cellStyle name="Normal 43 5 3" xfId="6496"/>
    <cellStyle name="Normal 43 6" xfId="6497"/>
    <cellStyle name="Normal 43 6 2" xfId="6498"/>
    <cellStyle name="Normal 43 7" xfId="6499"/>
    <cellStyle name="Normal 43 7 2" xfId="6500"/>
    <cellStyle name="Normal 43 8" xfId="6501"/>
    <cellStyle name="Normal 43 8 2" xfId="6502"/>
    <cellStyle name="Normal 43 9" xfId="6503"/>
    <cellStyle name="Normal 44" xfId="6504"/>
    <cellStyle name="Normal 44 2" xfId="6505"/>
    <cellStyle name="Normal 44 2 2" xfId="6506"/>
    <cellStyle name="Normal 44 2 2 2" xfId="6507"/>
    <cellStyle name="Normal 44 2 2 2 2" xfId="6508"/>
    <cellStyle name="Normal 44 2 2 3" xfId="6509"/>
    <cellStyle name="Normal 44 2 2 4" xfId="6510"/>
    <cellStyle name="Normal 44 2 3" xfId="6511"/>
    <cellStyle name="Normal 44 2 3 2" xfId="6512"/>
    <cellStyle name="Normal 44 2 4" xfId="6513"/>
    <cellStyle name="Normal 44 3" xfId="6514"/>
    <cellStyle name="Normal 44 3 2" xfId="6515"/>
    <cellStyle name="Normal 44 3 2 2" xfId="6516"/>
    <cellStyle name="Normal 44 3 2 2 2" xfId="6517"/>
    <cellStyle name="Normal 44 3 2 3" xfId="6518"/>
    <cellStyle name="Normal 44 3 3" xfId="6519"/>
    <cellStyle name="Normal 44 3 3 2" xfId="6520"/>
    <cellStyle name="Normal 44 3 4" xfId="6521"/>
    <cellStyle name="Normal 44 4" xfId="6522"/>
    <cellStyle name="Normal 44 4 2" xfId="6523"/>
    <cellStyle name="Normal 44 4 2 2" xfId="6524"/>
    <cellStyle name="Normal 44 4 3" xfId="6525"/>
    <cellStyle name="Normal 44 5" xfId="6526"/>
    <cellStyle name="Normal 44 5 2" xfId="6527"/>
    <cellStyle name="Normal 44 5 2 2" xfId="6528"/>
    <cellStyle name="Normal 44 5 3" xfId="6529"/>
    <cellStyle name="Normal 44 6" xfId="6530"/>
    <cellStyle name="Normal 44 6 2" xfId="6531"/>
    <cellStyle name="Normal 44 7" xfId="6532"/>
    <cellStyle name="Normal 44 7 2" xfId="6533"/>
    <cellStyle name="Normal 44 8" xfId="6534"/>
    <cellStyle name="Normal 44 8 2" xfId="6535"/>
    <cellStyle name="Normal 44 9" xfId="6536"/>
    <cellStyle name="Normal 45" xfId="6537"/>
    <cellStyle name="Normal 45 2" xfId="6538"/>
    <cellStyle name="Normal 45 2 2" xfId="6539"/>
    <cellStyle name="Normal 45 2 2 2" xfId="6540"/>
    <cellStyle name="Normal 45 2 2 2 2" xfId="6541"/>
    <cellStyle name="Normal 45 2 2 3" xfId="6542"/>
    <cellStyle name="Normal 45 2 3" xfId="6543"/>
    <cellStyle name="Normal 45 2 3 2" xfId="6544"/>
    <cellStyle name="Normal 45 2 4" xfId="6545"/>
    <cellStyle name="Normal 45 3" xfId="6546"/>
    <cellStyle name="Normal 45 3 2" xfId="6547"/>
    <cellStyle name="Normal 45 3 2 2" xfId="6548"/>
    <cellStyle name="Normal 45 3 2 2 2" xfId="6549"/>
    <cellStyle name="Normal 45 3 2 3" xfId="6550"/>
    <cellStyle name="Normal 45 3 3" xfId="6551"/>
    <cellStyle name="Normal 45 3 3 2" xfId="6552"/>
    <cellStyle name="Normal 45 3 4" xfId="6553"/>
    <cellStyle name="Normal 45 4" xfId="6554"/>
    <cellStyle name="Normal 45 4 2" xfId="6555"/>
    <cellStyle name="Normal 45 4 2 2" xfId="6556"/>
    <cellStyle name="Normal 45 4 3" xfId="6557"/>
    <cellStyle name="Normal 45 5" xfId="6558"/>
    <cellStyle name="Normal 45 5 2" xfId="6559"/>
    <cellStyle name="Normal 45 5 2 2" xfId="6560"/>
    <cellStyle name="Normal 45 5 3" xfId="6561"/>
    <cellStyle name="Normal 45 6" xfId="6562"/>
    <cellStyle name="Normal 45 6 2" xfId="6563"/>
    <cellStyle name="Normal 45 7" xfId="6564"/>
    <cellStyle name="Normal 45 7 2" xfId="6565"/>
    <cellStyle name="Normal 45 8" xfId="6566"/>
    <cellStyle name="Normal 45 8 2" xfId="6567"/>
    <cellStyle name="Normal 45 9" xfId="6568"/>
    <cellStyle name="Normal 45 9 2" xfId="6569"/>
    <cellStyle name="Normal 46" xfId="6570"/>
    <cellStyle name="Normal 47" xfId="6571"/>
    <cellStyle name="Normal 47 2" xfId="6572"/>
    <cellStyle name="Normal 47 2 2" xfId="6573"/>
    <cellStyle name="Normal 47 2 2 2" xfId="6574"/>
    <cellStyle name="Normal 47 2 2 2 2" xfId="6575"/>
    <cellStyle name="Normal 47 2 2 3" xfId="6576"/>
    <cellStyle name="Normal 47 2 2 4" xfId="6577"/>
    <cellStyle name="Normal 47 2 2 5" xfId="6578"/>
    <cellStyle name="Normal 47 2 3" xfId="6579"/>
    <cellStyle name="Normal 47 2 3 2" xfId="6580"/>
    <cellStyle name="Normal 47 2 4" xfId="6581"/>
    <cellStyle name="Normal 47 3" xfId="6582"/>
    <cellStyle name="Normal 47 3 2" xfId="6583"/>
    <cellStyle name="Normal 47 3 2 2" xfId="6584"/>
    <cellStyle name="Normal 47 3 2 2 2" xfId="6585"/>
    <cellStyle name="Normal 47 3 2 3" xfId="6586"/>
    <cellStyle name="Normal 47 3 2 4" xfId="6587"/>
    <cellStyle name="Normal 47 3 2 5" xfId="6588"/>
    <cellStyle name="Normal 47 3 3" xfId="6589"/>
    <cellStyle name="Normal 47 3 3 2" xfId="6590"/>
    <cellStyle name="Normal 47 3 4" xfId="6591"/>
    <cellStyle name="Normal 47 4" xfId="6592"/>
    <cellStyle name="Normal 47 4 2" xfId="6593"/>
    <cellStyle name="Normal 47 4 2 2" xfId="6594"/>
    <cellStyle name="Normal 47 4 3" xfId="6595"/>
    <cellStyle name="Normal 47 5" xfId="6596"/>
    <cellStyle name="Normal 47 5 2" xfId="6597"/>
    <cellStyle name="Normal 47 5 2 2" xfId="6598"/>
    <cellStyle name="Normal 47 5 3" xfId="6599"/>
    <cellStyle name="Normal 47 6" xfId="6600"/>
    <cellStyle name="Normal 47 6 2" xfId="6601"/>
    <cellStyle name="Normal 47 7" xfId="6602"/>
    <cellStyle name="Normal 47 7 2" xfId="6603"/>
    <cellStyle name="Normal 47 8" xfId="6604"/>
    <cellStyle name="Normal 47 8 2" xfId="6605"/>
    <cellStyle name="Normal 47 9" xfId="6606"/>
    <cellStyle name="Normal 48" xfId="6607"/>
    <cellStyle name="Normal 48 2" xfId="6608"/>
    <cellStyle name="Normal 48 2 2" xfId="6609"/>
    <cellStyle name="Normal 48 3" xfId="6610"/>
    <cellStyle name="Normal 48 4" xfId="6611"/>
    <cellStyle name="Normal 49" xfId="6612"/>
    <cellStyle name="Normal 49 2" xfId="6613"/>
    <cellStyle name="Normal 49 2 2" xfId="6614"/>
    <cellStyle name="Normal 49 3" xfId="6615"/>
    <cellStyle name="Normal 5" xfId="6616"/>
    <cellStyle name="Normal 5 2" xfId="6617"/>
    <cellStyle name="Normal 5 2 2" xfId="6618"/>
    <cellStyle name="Normal 5 2 2 2" xfId="6619"/>
    <cellStyle name="Normal 5 2 3" xfId="6620"/>
    <cellStyle name="Normal 5 5" xfId="6621"/>
    <cellStyle name="Normal 50" xfId="6622"/>
    <cellStyle name="Normal 50 2" xfId="6623"/>
    <cellStyle name="Normal 51" xfId="6624"/>
    <cellStyle name="Normal 52" xfId="6625"/>
    <cellStyle name="Normal 52 2" xfId="6626"/>
    <cellStyle name="Normal 53" xfId="6627"/>
    <cellStyle name="Normal 53 2" xfId="6628"/>
    <cellStyle name="Normal 53 2 2" xfId="6629"/>
    <cellStyle name="Normal 54" xfId="6630"/>
    <cellStyle name="Normal 54 2" xfId="6631"/>
    <cellStyle name="Normal 55" xfId="6632"/>
    <cellStyle name="Normal 55 2" xfId="6633"/>
    <cellStyle name="Normal 56" xfId="6634"/>
    <cellStyle name="Normal 57" xfId="6635"/>
    <cellStyle name="Normal 58" xfId="6636"/>
    <cellStyle name="Normal 59" xfId="6637"/>
    <cellStyle name="Normal 6" xfId="6638"/>
    <cellStyle name="Normal 6 2" xfId="6639"/>
    <cellStyle name="Normal 6 2 2" xfId="6640"/>
    <cellStyle name="Normal 6 2 2 2" xfId="6641"/>
    <cellStyle name="Normal 6 2 2 2 2" xfId="6642"/>
    <cellStyle name="Normal 6 2 2 2 2 2" xfId="6643"/>
    <cellStyle name="Normal 6 2 2 2 3" xfId="6644"/>
    <cellStyle name="Normal 6 2 2 3" xfId="6645"/>
    <cellStyle name="Normal 6 2 2 3 2" xfId="6646"/>
    <cellStyle name="Normal 6 2 2 4" xfId="6647"/>
    <cellStyle name="Normal 6 2 3" xfId="6648"/>
    <cellStyle name="Normal 6 2 3 2" xfId="6649"/>
    <cellStyle name="Normal 6 2 3 2 2" xfId="6650"/>
    <cellStyle name="Normal 6 2 3 2 2 2" xfId="6651"/>
    <cellStyle name="Normal 6 2 3 2 3" xfId="6652"/>
    <cellStyle name="Normal 6 2 3 3" xfId="6653"/>
    <cellStyle name="Normal 6 2 3 3 2" xfId="6654"/>
    <cellStyle name="Normal 6 2 3 4" xfId="6655"/>
    <cellStyle name="Normal 6 2 4" xfId="6656"/>
    <cellStyle name="Normal 6 2 4 2" xfId="6657"/>
    <cellStyle name="Normal 6 2 4 2 2" xfId="6658"/>
    <cellStyle name="Normal 6 2 4 3" xfId="6659"/>
    <cellStyle name="Normal 6 2 5" xfId="6660"/>
    <cellStyle name="Normal 6 2 5 2" xfId="6661"/>
    <cellStyle name="Normal 6 2 5 2 2" xfId="6662"/>
    <cellStyle name="Normal 6 2 5 3" xfId="6663"/>
    <cellStyle name="Normal 6 2 6" xfId="6664"/>
    <cellStyle name="Normal 6 2 6 2" xfId="6665"/>
    <cellStyle name="Normal 6 2 7" xfId="6666"/>
    <cellStyle name="Normal 6 2 7 2" xfId="6667"/>
    <cellStyle name="Normal 6 2 8" xfId="6668"/>
    <cellStyle name="Normal 6 2 8 2" xfId="6669"/>
    <cellStyle name="Normal 6 2 9" xfId="6670"/>
    <cellStyle name="Normal 6 2 9 2" xfId="6671"/>
    <cellStyle name="Normal 6 3" xfId="6672"/>
    <cellStyle name="Normal 60" xfId="6673"/>
    <cellStyle name="Normal 61" xfId="6674"/>
    <cellStyle name="Normal 61 2" xfId="6675"/>
    <cellStyle name="Normal 62" xfId="6676"/>
    <cellStyle name="Normal 63" xfId="6677"/>
    <cellStyle name="Normal 64" xfId="6678"/>
    <cellStyle name="Normal 65" xfId="6679"/>
    <cellStyle name="Normal 66" xfId="6680"/>
    <cellStyle name="Normal 66 2" xfId="6681"/>
    <cellStyle name="Normal 67" xfId="6682"/>
    <cellStyle name="Normal 7" xfId="6683"/>
    <cellStyle name="Normal 7 2" xfId="6684"/>
    <cellStyle name="Normal 8" xfId="6685"/>
    <cellStyle name="Normal 8 10" xfId="6686"/>
    <cellStyle name="Normal 8 10 2" xfId="6687"/>
    <cellStyle name="Normal 8 10 2 2" xfId="6688"/>
    <cellStyle name="Normal 8 10 2 2 2" xfId="6689"/>
    <cellStyle name="Normal 8 10 3" xfId="6690"/>
    <cellStyle name="Normal 8 11" xfId="6691"/>
    <cellStyle name="Normal 8 11 2" xfId="6692"/>
    <cellStyle name="Normal 8 11 2 2" xfId="6693"/>
    <cellStyle name="Normal 8 11 3" xfId="6694"/>
    <cellStyle name="Normal 8 12" xfId="6695"/>
    <cellStyle name="Normal 8 12 2" xfId="6696"/>
    <cellStyle name="Normal 8 13" xfId="6697"/>
    <cellStyle name="Normal 8 13 2" xfId="6698"/>
    <cellStyle name="Normal 8 13 2 2" xfId="6699"/>
    <cellStyle name="Normal 8 13 3" xfId="6700"/>
    <cellStyle name="Normal 8 14" xfId="6701"/>
    <cellStyle name="Normal 8 2" xfId="6702"/>
    <cellStyle name="Normal 8 2 2" xfId="6703"/>
    <cellStyle name="Normal 8 2 3" xfId="6704"/>
    <cellStyle name="Normal 8 2 3 2" xfId="6705"/>
    <cellStyle name="Normal 8 2 3 2 2" xfId="6706"/>
    <cellStyle name="Normal 8 2 3 2 2 2" xfId="6707"/>
    <cellStyle name="Normal 8 2 3 2 3" xfId="6708"/>
    <cellStyle name="Normal 8 2 3 3" xfId="6709"/>
    <cellStyle name="Normal 8 2 3 3 2" xfId="6710"/>
    <cellStyle name="Normal 8 2 3 4" xfId="6711"/>
    <cellStyle name="Normal 8 2 4" xfId="6712"/>
    <cellStyle name="Normal 8 2 4 2" xfId="6713"/>
    <cellStyle name="Normal 8 2 4 2 2" xfId="6714"/>
    <cellStyle name="Normal 8 2 4 2 2 2" xfId="6715"/>
    <cellStyle name="Normal 8 2 4 2 3" xfId="6716"/>
    <cellStyle name="Normal 8 2 4 3" xfId="6717"/>
    <cellStyle name="Normal 8 2 4 3 2" xfId="6718"/>
    <cellStyle name="Normal 8 2 4 4" xfId="6719"/>
    <cellStyle name="Normal 8 2 5" xfId="6720"/>
    <cellStyle name="Normal 8 2 5 2" xfId="6721"/>
    <cellStyle name="Normal 8 2 5 2 2" xfId="6722"/>
    <cellStyle name="Normal 8 2 5 3" xfId="6723"/>
    <cellStyle name="Normal 8 2 6" xfId="6724"/>
    <cellStyle name="Normal 8 2 6 2" xfId="6725"/>
    <cellStyle name="Normal 8 2 6 2 2" xfId="6726"/>
    <cellStyle name="Normal 8 2 6 3" xfId="6727"/>
    <cellStyle name="Normal 8 2 7" xfId="6728"/>
    <cellStyle name="Normal 8 2 7 2" xfId="6729"/>
    <cellStyle name="Normal 8 2 8" xfId="6730"/>
    <cellStyle name="Normal 8 2 8 2" xfId="6731"/>
    <cellStyle name="Normal 8 2 9" xfId="6732"/>
    <cellStyle name="Normal 8 3" xfId="6733"/>
    <cellStyle name="Normal 8 3 2" xfId="6734"/>
    <cellStyle name="Normal 8 3 3" xfId="6735"/>
    <cellStyle name="Normal 8 3 3 2" xfId="6736"/>
    <cellStyle name="Normal 8 3 3 2 2" xfId="6737"/>
    <cellStyle name="Normal 8 3 3 2 2 2" xfId="6738"/>
    <cellStyle name="Normal 8 3 3 2 3" xfId="6739"/>
    <cellStyle name="Normal 8 3 3 3" xfId="6740"/>
    <cellStyle name="Normal 8 3 3 3 2" xfId="6741"/>
    <cellStyle name="Normal 8 3 3 4" xfId="6742"/>
    <cellStyle name="Normal 8 3 4" xfId="6743"/>
    <cellStyle name="Normal 8 3 4 2" xfId="6744"/>
    <cellStyle name="Normal 8 3 4 2 2" xfId="6745"/>
    <cellStyle name="Normal 8 3 4 2 2 2" xfId="6746"/>
    <cellStyle name="Normal 8 3 4 2 3" xfId="6747"/>
    <cellStyle name="Normal 8 3 4 3" xfId="6748"/>
    <cellStyle name="Normal 8 3 4 3 2" xfId="6749"/>
    <cellStyle name="Normal 8 3 4 4" xfId="6750"/>
    <cellStyle name="Normal 8 3 5" xfId="6751"/>
    <cellStyle name="Normal 8 3 5 2" xfId="6752"/>
    <cellStyle name="Normal 8 3 5 2 2" xfId="6753"/>
    <cellStyle name="Normal 8 3 5 3" xfId="6754"/>
    <cellStyle name="Normal 8 3 6" xfId="6755"/>
    <cellStyle name="Normal 8 3 6 2" xfId="6756"/>
    <cellStyle name="Normal 8 3 6 2 2" xfId="6757"/>
    <cellStyle name="Normal 8 3 6 3" xfId="6758"/>
    <cellStyle name="Normal 8 3 7" xfId="6759"/>
    <cellStyle name="Normal 8 3 7 2" xfId="6760"/>
    <cellStyle name="Normal 8 3 8" xfId="6761"/>
    <cellStyle name="Normal 8 3 8 2" xfId="6762"/>
    <cellStyle name="Normal 8 3 9" xfId="6763"/>
    <cellStyle name="Normal 8 4" xfId="6764"/>
    <cellStyle name="Normal 8 4 2" xfId="6765"/>
    <cellStyle name="Normal 8 4 2 2" xfId="6766"/>
    <cellStyle name="Normal 8 4 2 2 2" xfId="6767"/>
    <cellStyle name="Normal 8 4 2 2 2 2" xfId="6768"/>
    <cellStyle name="Normal 8 4 2 2 3" xfId="6769"/>
    <cellStyle name="Normal 8 4 2 3" xfId="6770"/>
    <cellStyle name="Normal 8 4 2 3 2" xfId="6771"/>
    <cellStyle name="Normal 8 4 2 4" xfId="6772"/>
    <cellStyle name="Normal 8 4 3" xfId="6773"/>
    <cellStyle name="Normal 8 4 3 2" xfId="6774"/>
    <cellStyle name="Normal 8 4 3 2 2" xfId="6775"/>
    <cellStyle name="Normal 8 4 3 2 2 2" xfId="6776"/>
    <cellStyle name="Normal 8 4 3 2 3" xfId="6777"/>
    <cellStyle name="Normal 8 4 3 3" xfId="6778"/>
    <cellStyle name="Normal 8 4 3 3 2" xfId="6779"/>
    <cellStyle name="Normal 8 4 3 4" xfId="6780"/>
    <cellStyle name="Normal 8 4 4" xfId="6781"/>
    <cellStyle name="Normal 8 4 4 2" xfId="6782"/>
    <cellStyle name="Normal 8 4 4 2 2" xfId="6783"/>
    <cellStyle name="Normal 8 4 4 3" xfId="6784"/>
    <cellStyle name="Normal 8 4 5" xfId="6785"/>
    <cellStyle name="Normal 8 4 5 2" xfId="6786"/>
    <cellStyle name="Normal 8 4 5 2 2" xfId="6787"/>
    <cellStyle name="Normal 8 4 5 2 2 2" xfId="6788"/>
    <cellStyle name="Normal 8 4 5 3" xfId="6789"/>
    <cellStyle name="Normal 8 4 6" xfId="6790"/>
    <cellStyle name="Normal 8 4 6 2" xfId="6791"/>
    <cellStyle name="Normal 8 4 7" xfId="6792"/>
    <cellStyle name="Normal 8 4 7 2" xfId="6793"/>
    <cellStyle name="Normal 8 4 8" xfId="6794"/>
    <cellStyle name="Normal 8 5" xfId="6795"/>
    <cellStyle name="Normal 8 5 2" xfId="6796"/>
    <cellStyle name="Normal 8 5 2 2" xfId="6797"/>
    <cellStyle name="Normal 8 5 2 2 2" xfId="6798"/>
    <cellStyle name="Normal 8 5 2 2 2 2" xfId="6799"/>
    <cellStyle name="Normal 8 5 2 2 3" xfId="6800"/>
    <cellStyle name="Normal 8 5 2 3" xfId="6801"/>
    <cellStyle name="Normal 8 5 2 3 2" xfId="6802"/>
    <cellStyle name="Normal 8 5 2 4" xfId="6803"/>
    <cellStyle name="Normal 8 5 3" xfId="6804"/>
    <cellStyle name="Normal 8 5 3 2" xfId="6805"/>
    <cellStyle name="Normal 8 5 3 2 2" xfId="6806"/>
    <cellStyle name="Normal 8 5 3 2 2 2" xfId="6807"/>
    <cellStyle name="Normal 8 5 3 2 3" xfId="6808"/>
    <cellStyle name="Normal 8 5 3 3" xfId="6809"/>
    <cellStyle name="Normal 8 5 3 3 2" xfId="6810"/>
    <cellStyle name="Normal 8 5 3 4" xfId="6811"/>
    <cellStyle name="Normal 8 5 4" xfId="6812"/>
    <cellStyle name="Normal 8 5 4 2" xfId="6813"/>
    <cellStyle name="Normal 8 5 4 2 2" xfId="6814"/>
    <cellStyle name="Normal 8 5 4 2 3" xfId="6815"/>
    <cellStyle name="Normal 8 5 4 2 4" xfId="6816"/>
    <cellStyle name="Normal 8 5 4 3" xfId="6817"/>
    <cellStyle name="Normal 8 5 5" xfId="6818"/>
    <cellStyle name="Normal 8 5 5 2" xfId="6819"/>
    <cellStyle name="Normal 8 5 5 2 2" xfId="6820"/>
    <cellStyle name="Normal 8 5 5 2 3" xfId="6821"/>
    <cellStyle name="Normal 8 5 5 2 4" xfId="6822"/>
    <cellStyle name="Normal 8 5 5 3" xfId="6823"/>
    <cellStyle name="Normal 8 5 6" xfId="6824"/>
    <cellStyle name="Normal 8 5 6 2" xfId="6825"/>
    <cellStyle name="Normal 8 5 7" xfId="6826"/>
    <cellStyle name="Normal 8 5 7 2" xfId="6827"/>
    <cellStyle name="Normal 8 5 8" xfId="6828"/>
    <cellStyle name="Normal 8 6" xfId="6829"/>
    <cellStyle name="Normal 8 7" xfId="6830"/>
    <cellStyle name="Normal 8 7 2" xfId="6831"/>
    <cellStyle name="Normal 8 7 2 2" xfId="6832"/>
    <cellStyle name="Normal 8 7 2 2 2" xfId="6833"/>
    <cellStyle name="Normal 8 7 2 3" xfId="6834"/>
    <cellStyle name="Normal 8 7 3" xfId="6835"/>
    <cellStyle name="Normal 8 7 3 2" xfId="6836"/>
    <cellStyle name="Normal 8 7 4" xfId="6837"/>
    <cellStyle name="Normal 8 8" xfId="6838"/>
    <cellStyle name="Normal 8 8 2" xfId="6839"/>
    <cellStyle name="Normal 8 8 2 2" xfId="6840"/>
    <cellStyle name="Normal 8 8 2 2 2" xfId="6841"/>
    <cellStyle name="Normal 8 8 2 2 2 2" xfId="6842"/>
    <cellStyle name="Normal 8 8 2 3" xfId="6843"/>
    <cellStyle name="Normal 8 8 3" xfId="6844"/>
    <cellStyle name="Normal 8 8 3 2" xfId="6845"/>
    <cellStyle name="Normal 8 8 4" xfId="6846"/>
    <cellStyle name="Normal 8 9" xfId="6847"/>
    <cellStyle name="Normal 8 9 2" xfId="6848"/>
    <cellStyle name="Normal 8 9 2 2" xfId="6849"/>
    <cellStyle name="Normal 8 9 2 2 2" xfId="6850"/>
    <cellStyle name="Normal 8 9 2 3" xfId="6851"/>
    <cellStyle name="Normal 8 9 3" xfId="6852"/>
    <cellStyle name="Normal 8 9 3 2" xfId="6853"/>
    <cellStyle name="Normal 8 9 4" xfId="6854"/>
    <cellStyle name="Normal 9" xfId="6855"/>
    <cellStyle name="Normal 9 2" xfId="6856"/>
    <cellStyle name="Normal 9 2 2" xfId="6857"/>
    <cellStyle name="Normal 9 2 2 2" xfId="6858"/>
    <cellStyle name="Normal 9 2 2 2 2" xfId="6859"/>
    <cellStyle name="Normal 9 2 2 3" xfId="6860"/>
    <cellStyle name="Normal 9 2 3" xfId="6861"/>
    <cellStyle name="Normal 9 2 3 2" xfId="6862"/>
    <cellStyle name="Normal 9 2 4" xfId="6863"/>
    <cellStyle name="Normal 9 3" xfId="6864"/>
    <cellStyle name="Normal 9 3 2" xfId="6865"/>
    <cellStyle name="Normal 9 3 2 2" xfId="6866"/>
    <cellStyle name="Normal 9 3 2 2 2" xfId="6867"/>
    <cellStyle name="Normal 9 3 2 3" xfId="6868"/>
    <cellStyle name="Normal 9 3 3" xfId="6869"/>
    <cellStyle name="Normal 9 3 3 2" xfId="6870"/>
    <cellStyle name="Normal 9 3 4" xfId="6871"/>
    <cellStyle name="Normal 9 4" xfId="6872"/>
    <cellStyle name="Normal 9 4 2" xfId="6873"/>
    <cellStyle name="Normal 9 4 2 2" xfId="6874"/>
    <cellStyle name="Normal 9 4 3" xfId="6875"/>
    <cellStyle name="Normal 9 5" xfId="6876"/>
    <cellStyle name="Normal 9 5 2" xfId="6877"/>
    <cellStyle name="Normal 9 5 2 2" xfId="6878"/>
    <cellStyle name="Normal 9 5 3" xfId="6879"/>
    <cellStyle name="Normal 9 6" xfId="6880"/>
    <cellStyle name="Normal 9 6 2" xfId="6881"/>
    <cellStyle name="Normal 9 7" xfId="6882"/>
    <cellStyle name="Normal 9 7 2" xfId="6883"/>
    <cellStyle name="Normal 9 8" xfId="6884"/>
    <cellStyle name="Percent 2" xfId="6885"/>
    <cellStyle name="Percent 2 2" xfId="6886"/>
    <cellStyle name="Percent 2 2 2 4" xfId="6887"/>
    <cellStyle name="Percent 3" xfId="6888"/>
    <cellStyle name="Percent 4" xfId="6889"/>
    <cellStyle name="Percent 5" xfId="6890"/>
    <cellStyle name="Pivot Table Category" xfId="6891"/>
    <cellStyle name="Pivot Table Corner" xfId="6892"/>
    <cellStyle name="Pivot Table Field" xfId="6893"/>
    <cellStyle name="Pivot Table Result" xfId="6894"/>
    <cellStyle name="Pivot Table Title" xfId="6895"/>
    <cellStyle name="Pivot Table Value" xfId="689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NEW%20DATABASE%20TTNT%20FEB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ER"/>
      <sheetName val="MILKRUN"/>
      <sheetName val="ALL"/>
      <sheetName val="NIK"/>
      <sheetName val="OUT"/>
    </sheetNames>
    <sheetDataSet>
      <sheetData sheetId="0"/>
      <sheetData sheetId="1">
        <row r="4">
          <cell r="C4" t="str">
            <v xml:space="preserve">ABDUL RAHMAN </v>
          </cell>
          <cell r="D4" t="str">
            <v xml:space="preserve">DRIVER </v>
          </cell>
          <cell r="E4" t="str">
            <v>M5TA02</v>
          </cell>
          <cell r="F4" t="str">
            <v>081282070385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KP PONCOL RT 007/003 TANJUNG SARI. KOTA BEKASI</v>
          </cell>
          <cell r="M4" t="str">
            <v>BEKASI</v>
          </cell>
          <cell r="N4">
            <v>33636</v>
          </cell>
          <cell r="O4">
            <v>0</v>
          </cell>
          <cell r="P4" t="str">
            <v>ISLAM</v>
          </cell>
          <cell r="Q4" t="str">
            <v>SMA</v>
          </cell>
          <cell r="R4" t="str">
            <v>K1</v>
          </cell>
        </row>
        <row r="5">
          <cell r="C5" t="str">
            <v xml:space="preserve">ACEP TARUNA </v>
          </cell>
          <cell r="D5" t="str">
            <v xml:space="preserve">DRIVER </v>
          </cell>
          <cell r="E5" t="str">
            <v>M2KRW</v>
          </cell>
          <cell r="F5" t="str">
            <v>087786913405</v>
          </cell>
          <cell r="G5">
            <v>0</v>
          </cell>
          <cell r="H5">
            <v>0</v>
          </cell>
          <cell r="I5" t="str">
            <v>√</v>
          </cell>
          <cell r="J5" t="str">
            <v>087786913415</v>
          </cell>
          <cell r="K5" t="str">
            <v xml:space="preserve">SRI MARYATI </v>
          </cell>
          <cell r="L5" t="str">
            <v xml:space="preserve">KP CIBITUNG KAUM RT 012/003 DESA CIBITUNG TENGAH KEC TENJOLAYA </v>
          </cell>
          <cell r="M5" t="str">
            <v xml:space="preserve">KARAWANG </v>
          </cell>
          <cell r="N5">
            <v>32321</v>
          </cell>
          <cell r="O5">
            <v>0</v>
          </cell>
          <cell r="P5" t="str">
            <v xml:space="preserve">ISLAM </v>
          </cell>
          <cell r="Q5" t="str">
            <v xml:space="preserve">SMA </v>
          </cell>
          <cell r="R5" t="str">
            <v>K1</v>
          </cell>
        </row>
        <row r="6">
          <cell r="C6" t="str">
            <v>ADE RAHMAT</v>
          </cell>
          <cell r="D6" t="str">
            <v>DRIVER</v>
          </cell>
          <cell r="E6" t="str">
            <v>M2CBCK</v>
          </cell>
          <cell r="F6" t="str">
            <v>083807084614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Kp.sampor Rt.07 Rw.05 Ds. Jaya mulya Kec. Serang baru Kab. Bekasi</v>
          </cell>
          <cell r="M6" t="str">
            <v>BEKAS</v>
          </cell>
          <cell r="N6">
            <v>36671</v>
          </cell>
          <cell r="O6">
            <v>0</v>
          </cell>
          <cell r="P6" t="str">
            <v>ISLAM</v>
          </cell>
          <cell r="Q6" t="str">
            <v>SMP</v>
          </cell>
          <cell r="R6">
            <v>0</v>
          </cell>
        </row>
        <row r="7">
          <cell r="C7" t="str">
            <v>AGUNG SETIAWAN</v>
          </cell>
          <cell r="D7" t="str">
            <v>DRIVER</v>
          </cell>
          <cell r="E7" t="str">
            <v>REGULER</v>
          </cell>
          <cell r="F7" t="str">
            <v>081380018681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KP CINYOSOG RT 004/004 KEL. BURANGKENG KEC.  SETU KAB. BEKASI</v>
          </cell>
          <cell r="M7" t="str">
            <v>NAMBAH DADI</v>
          </cell>
          <cell r="N7">
            <v>33502</v>
          </cell>
          <cell r="O7">
            <v>0</v>
          </cell>
          <cell r="P7" t="str">
            <v>ISLAM</v>
          </cell>
          <cell r="Q7" t="str">
            <v>SMA</v>
          </cell>
          <cell r="R7" t="str">
            <v>K2</v>
          </cell>
        </row>
        <row r="8">
          <cell r="C8" t="str">
            <v>AGUS TIANA</v>
          </cell>
          <cell r="D8" t="str">
            <v>DRIVER</v>
          </cell>
          <cell r="E8" t="str">
            <v>MR-AWI</v>
          </cell>
          <cell r="F8" t="str">
            <v>082258491617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DUSUN I RT 001/001 KEL. SUKOSARI KEC. KALIREJO KAB. LAMPUNG TENGAH</v>
          </cell>
          <cell r="M8" t="str">
            <v>BOGOR</v>
          </cell>
          <cell r="N8">
            <v>35643</v>
          </cell>
          <cell r="O8">
            <v>0</v>
          </cell>
          <cell r="P8">
            <v>44347</v>
          </cell>
          <cell r="Q8" t="str">
            <v>SMA</v>
          </cell>
          <cell r="R8" t="str">
            <v>L</v>
          </cell>
        </row>
        <row r="9">
          <cell r="C9" t="str">
            <v xml:space="preserve">AHDI </v>
          </cell>
          <cell r="D9" t="str">
            <v xml:space="preserve">DRIVER </v>
          </cell>
          <cell r="E9" t="str">
            <v xml:space="preserve">M-2KRW </v>
          </cell>
          <cell r="F9" t="str">
            <v>087812509586</v>
          </cell>
          <cell r="G9">
            <v>0</v>
          </cell>
          <cell r="H9">
            <v>0</v>
          </cell>
          <cell r="I9" t="str">
            <v>√</v>
          </cell>
          <cell r="J9" t="str">
            <v>087776174481</v>
          </cell>
          <cell r="K9" t="str">
            <v>SITI KHODIJAH</v>
          </cell>
          <cell r="L9" t="str">
            <v xml:space="preserve">KP CIPATARUMAN RT 002/002 DESA SINDANG KERTA KEC SINDANG KARTA </v>
          </cell>
          <cell r="M9" t="str">
            <v xml:space="preserve">BANDUNG </v>
          </cell>
          <cell r="N9">
            <v>27585</v>
          </cell>
          <cell r="O9" t="str">
            <v xml:space="preserve">ITOH </v>
          </cell>
          <cell r="P9" t="str">
            <v xml:space="preserve">ISLAM </v>
          </cell>
          <cell r="Q9" t="str">
            <v xml:space="preserve">SMA </v>
          </cell>
          <cell r="R9" t="str">
            <v>K3</v>
          </cell>
        </row>
        <row r="10">
          <cell r="C10" t="str">
            <v xml:space="preserve">AJI IRAWAN </v>
          </cell>
          <cell r="D10" t="str">
            <v xml:space="preserve">DRIVER </v>
          </cell>
          <cell r="E10" t="str">
            <v xml:space="preserve">DRA-01 </v>
          </cell>
          <cell r="F10" t="str">
            <v>085945415859</v>
          </cell>
          <cell r="G10">
            <v>0</v>
          </cell>
          <cell r="H10">
            <v>0</v>
          </cell>
          <cell r="I10">
            <v>0</v>
          </cell>
          <cell r="J10" t="str">
            <v>087887904465</v>
          </cell>
          <cell r="K10" t="str">
            <v xml:space="preserve">SRIMULYANI </v>
          </cell>
          <cell r="L10" t="str">
            <v xml:space="preserve">JLN BINA ASIH RT 002/009 KEL JATIASIH KEL JATIASIH BEKASI </v>
          </cell>
          <cell r="M10" t="str">
            <v xml:space="preserve">GROBOGAN </v>
          </cell>
          <cell r="N10">
            <v>33034</v>
          </cell>
          <cell r="O10" t="str">
            <v xml:space="preserve">SUGIYANTI </v>
          </cell>
          <cell r="P10" t="str">
            <v xml:space="preserve">ISLAM </v>
          </cell>
          <cell r="Q10" t="str">
            <v xml:space="preserve">SMA </v>
          </cell>
          <cell r="R10" t="str">
            <v>K</v>
          </cell>
        </row>
        <row r="11">
          <cell r="C11" t="str">
            <v>ANDI KUSNADI</v>
          </cell>
          <cell r="D11" t="str">
            <v>DRIVER</v>
          </cell>
          <cell r="E11" t="str">
            <v>BACKUP</v>
          </cell>
          <cell r="F11" t="str">
            <v>083844466102/082324528486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KASIH KEBON DALEM RT003/002 DESA KASIH - PURBALINGGA</v>
          </cell>
          <cell r="M11" t="str">
            <v>TEGAL</v>
          </cell>
          <cell r="N11">
            <v>29495</v>
          </cell>
          <cell r="O11">
            <v>0</v>
          </cell>
          <cell r="P11" t="str">
            <v>ISLAM</v>
          </cell>
          <cell r="Q11" t="str">
            <v>SMA</v>
          </cell>
          <cell r="R11" t="str">
            <v>K2</v>
          </cell>
        </row>
        <row r="12">
          <cell r="C12" t="str">
            <v>ANDRI YANTO</v>
          </cell>
          <cell r="D12" t="str">
            <v>DRIVER</v>
          </cell>
          <cell r="E12" t="str">
            <v>FJS-04</v>
          </cell>
          <cell r="F12" t="str">
            <v>0895400508580</v>
          </cell>
          <cell r="G12" t="str">
            <v>2310305271</v>
          </cell>
          <cell r="H12" t="str">
            <v>BCA</v>
          </cell>
          <cell r="I12" t="str">
            <v>√</v>
          </cell>
          <cell r="J12" t="str">
            <v>08996264332</v>
          </cell>
          <cell r="K12" t="str">
            <v>APRILIAN SAEFUDIN</v>
          </cell>
          <cell r="L12" t="str">
            <v>KP. PANGUPAKAN RT 07/02 KEL MUNJUL JAYA KEC PURWAKARTA</v>
          </cell>
          <cell r="M12" t="str">
            <v>PURWAKARTA</v>
          </cell>
          <cell r="N12">
            <v>32738</v>
          </cell>
          <cell r="O12">
            <v>0</v>
          </cell>
          <cell r="P12" t="str">
            <v xml:space="preserve">ISLAM </v>
          </cell>
          <cell r="Q12" t="str">
            <v xml:space="preserve">SMK </v>
          </cell>
          <cell r="R12" t="str">
            <v>K</v>
          </cell>
        </row>
        <row r="13">
          <cell r="C13" t="str">
            <v>ARIS RACHMAT KURNIAWAN</v>
          </cell>
          <cell r="D13" t="str">
            <v>DRIVER</v>
          </cell>
          <cell r="E13" t="str">
            <v>FJS -KBU</v>
          </cell>
          <cell r="F13" t="str">
            <v>089655288666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KP. CALINGCING RT 004/004 KEL. SINDANGLAYA KEC. KARANGPAWITAN KAB. GARUT</v>
          </cell>
          <cell r="M13" t="str">
            <v>GARUT</v>
          </cell>
          <cell r="N13">
            <v>34611</v>
          </cell>
          <cell r="O13">
            <v>0</v>
          </cell>
          <cell r="P13" t="str">
            <v>ISLAM</v>
          </cell>
          <cell r="Q13">
            <v>0</v>
          </cell>
          <cell r="R13">
            <v>0</v>
          </cell>
        </row>
        <row r="14">
          <cell r="C14" t="str">
            <v>ARMAN</v>
          </cell>
          <cell r="D14" t="str">
            <v>DRIVER</v>
          </cell>
          <cell r="E14" t="str">
            <v>DRA-06</v>
          </cell>
          <cell r="F14" t="str">
            <v>085218704180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KP. JATI RT 008/004 DS SEJATI KEC CIKARANG SELATAN KAB BEKASI</v>
          </cell>
          <cell r="M14" t="str">
            <v>BEKASI</v>
          </cell>
          <cell r="N14">
            <v>30043</v>
          </cell>
          <cell r="O14">
            <v>0</v>
          </cell>
          <cell r="P14" t="str">
            <v>ISLAM</v>
          </cell>
          <cell r="Q14" t="str">
            <v>SMK</v>
          </cell>
          <cell r="R14" t="str">
            <v>K2</v>
          </cell>
        </row>
        <row r="15">
          <cell r="C15" t="str">
            <v>ATDI YUSHADI</v>
          </cell>
          <cell r="D15" t="str">
            <v>DRIVER</v>
          </cell>
          <cell r="E15" t="str">
            <v>M5TA01</v>
          </cell>
          <cell r="F15" t="str">
            <v>089524428676</v>
          </cell>
          <cell r="G15" t="str">
            <v>5775344145</v>
          </cell>
          <cell r="H15" t="str">
            <v>bca</v>
          </cell>
          <cell r="I15" t="str">
            <v>√</v>
          </cell>
          <cell r="J15" t="str">
            <v>089694086373</v>
          </cell>
          <cell r="K15" t="str">
            <v>PAMAN</v>
          </cell>
          <cell r="L15" t="str">
            <v>KP CIKEDOKAN RTT 005/012 DS SUKADAMU KEC CIKARANG BARAT KAB BEKASI</v>
          </cell>
          <cell r="M15" t="str">
            <v>JAKARTA</v>
          </cell>
          <cell r="N15">
            <v>28951</v>
          </cell>
          <cell r="O15" t="str">
            <v>SITI SUHARIAH</v>
          </cell>
          <cell r="P15" t="str">
            <v>ISLAM</v>
          </cell>
          <cell r="Q15" t="str">
            <v>SMK</v>
          </cell>
          <cell r="R15" t="str">
            <v>K</v>
          </cell>
        </row>
        <row r="16">
          <cell r="C16" t="str">
            <v xml:space="preserve">CAWAN KURNIAWAN </v>
          </cell>
          <cell r="D16" t="str">
            <v xml:space="preserve">DRIVER </v>
          </cell>
          <cell r="E16" t="str">
            <v xml:space="preserve">M2 EJIP </v>
          </cell>
          <cell r="F16" t="str">
            <v>085819483804</v>
          </cell>
          <cell r="G16" t="str">
            <v>5221524951</v>
          </cell>
          <cell r="H16" t="str">
            <v xml:space="preserve">BCA </v>
          </cell>
          <cell r="I16" t="str">
            <v>√</v>
          </cell>
          <cell r="J16" t="str">
            <v>081717115255</v>
          </cell>
          <cell r="K16" t="str">
            <v xml:space="preserve">SUHRO </v>
          </cell>
          <cell r="L16" t="str">
            <v xml:space="preserve">KP CIHANJUANG RT 011/004 DESA BOJONGMANGU KEC BOJONGMANGU KAB BEKASI </v>
          </cell>
          <cell r="M16" t="str">
            <v>BEKASI</v>
          </cell>
          <cell r="N16">
            <v>35256</v>
          </cell>
          <cell r="O16">
            <v>0</v>
          </cell>
          <cell r="P16" t="str">
            <v xml:space="preserve">ISLAM </v>
          </cell>
          <cell r="Q16" t="str">
            <v xml:space="preserve">SMA </v>
          </cell>
          <cell r="R16" t="str">
            <v>K</v>
          </cell>
        </row>
        <row r="17">
          <cell r="C17" t="str">
            <v>DEDE WAHYU</v>
          </cell>
          <cell r="D17" t="str">
            <v>DRIVER</v>
          </cell>
          <cell r="E17" t="str">
            <v>M2EJIP</v>
          </cell>
          <cell r="F17" t="str">
            <v>085348819725</v>
          </cell>
          <cell r="G17">
            <v>0</v>
          </cell>
          <cell r="H17">
            <v>0</v>
          </cell>
          <cell r="I17" t="str">
            <v>√</v>
          </cell>
          <cell r="J17">
            <v>0</v>
          </cell>
          <cell r="K17">
            <v>0</v>
          </cell>
          <cell r="L17" t="str">
            <v>BOK KAUM KALER RT 18/ RW 06 DESA TALAGA KEC. TALAGA KAB. MAJALENGKA</v>
          </cell>
          <cell r="M17" t="str">
            <v>TASIKMALAYA</v>
          </cell>
          <cell r="N17">
            <v>28805</v>
          </cell>
          <cell r="O17" t="str">
            <v>SARI</v>
          </cell>
          <cell r="P17" t="str">
            <v>ISLAM</v>
          </cell>
          <cell r="Q17" t="str">
            <v>SMP</v>
          </cell>
          <cell r="R17" t="str">
            <v>K2</v>
          </cell>
        </row>
        <row r="18">
          <cell r="C18" t="str">
            <v>DEDI PRIATNA</v>
          </cell>
          <cell r="D18" t="str">
            <v>DRIVER</v>
          </cell>
          <cell r="E18" t="str">
            <v>M2CBKB</v>
          </cell>
          <cell r="F18" t="str">
            <v>087738760107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Kp.  Jati rt. 001 rw. 003 desa. Burangkeng kec. Setu kab. Bekasi</v>
          </cell>
          <cell r="M18" t="str">
            <v>BEKASI</v>
          </cell>
          <cell r="N18">
            <v>29835</v>
          </cell>
          <cell r="O18">
            <v>0</v>
          </cell>
          <cell r="P18" t="str">
            <v>ISLAM</v>
          </cell>
          <cell r="Q18" t="str">
            <v>SMA</v>
          </cell>
          <cell r="R18" t="str">
            <v>K</v>
          </cell>
        </row>
        <row r="19">
          <cell r="C19" t="str">
            <v>DEDE ROSADI</v>
          </cell>
          <cell r="D19" t="str">
            <v xml:space="preserve">DRIVER </v>
          </cell>
          <cell r="E19" t="str">
            <v>FJS02</v>
          </cell>
          <cell r="F19" t="str">
            <v>081212441578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PERUM CIBARUSAH JAYA BLOK C9 RT04/08. BEKASI</v>
          </cell>
          <cell r="M19" t="str">
            <v>TASIKMALAYA</v>
          </cell>
          <cell r="N19">
            <v>31048</v>
          </cell>
          <cell r="O19">
            <v>0</v>
          </cell>
          <cell r="P19" t="str">
            <v>ISLAM</v>
          </cell>
          <cell r="Q19" t="str">
            <v>SMA</v>
          </cell>
          <cell r="R19" t="str">
            <v>K2</v>
          </cell>
        </row>
        <row r="20">
          <cell r="C20" t="str">
            <v>DIAN JUHYANDI</v>
          </cell>
          <cell r="D20" t="str">
            <v>DRIVER</v>
          </cell>
          <cell r="E20" t="str">
            <v>FJS-02</v>
          </cell>
          <cell r="F20" t="str">
            <v>081273440404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 t="str">
            <v>KP. DANGDANG RT 003/001 DS PULOSARI KEC PANGALENGAN BANDUNG</v>
          </cell>
          <cell r="M20" t="str">
            <v>BANDUNG</v>
          </cell>
          <cell r="N20">
            <v>32885</v>
          </cell>
          <cell r="O20">
            <v>0</v>
          </cell>
          <cell r="P20" t="str">
            <v xml:space="preserve">ISLAM </v>
          </cell>
          <cell r="Q20" t="str">
            <v>SMU</v>
          </cell>
          <cell r="R20" t="str">
            <v>K1</v>
          </cell>
        </row>
        <row r="21">
          <cell r="C21" t="str">
            <v>EKO DARMAWAN</v>
          </cell>
          <cell r="D21" t="str">
            <v>DRIVER</v>
          </cell>
          <cell r="E21" t="str">
            <v>MILKRUN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KP. SUNGAI BEGOG RT 010/003 KEL. SEMBER TIMUR KEC. CILINCING JAKARTA UTARA</v>
          </cell>
          <cell r="M21" t="str">
            <v>JAKARTA</v>
          </cell>
          <cell r="N21">
            <v>33745</v>
          </cell>
          <cell r="O21">
            <v>0</v>
          </cell>
          <cell r="P21" t="str">
            <v>ISLAM</v>
          </cell>
          <cell r="Q21">
            <v>0</v>
          </cell>
          <cell r="R21" t="str">
            <v>K</v>
          </cell>
        </row>
        <row r="22">
          <cell r="C22" t="str">
            <v>FAHMI MATROTIN</v>
          </cell>
          <cell r="D22" t="str">
            <v>DRIVER</v>
          </cell>
          <cell r="E22" t="str">
            <v>DRA01-5</v>
          </cell>
          <cell r="F22" t="str">
            <v>087842284680</v>
          </cell>
          <cell r="G22" t="str">
            <v>1320737962</v>
          </cell>
          <cell r="H22" t="str">
            <v xml:space="preserve">BCA </v>
          </cell>
          <cell r="I22" t="str">
            <v>√</v>
          </cell>
          <cell r="J22" t="str">
            <v>085951330820</v>
          </cell>
          <cell r="K22" t="str">
            <v>ISTRI</v>
          </cell>
          <cell r="L22" t="str">
            <v>DK KEBANDINGAN RT 002/003 DS KENDAYAKAN KEC WARUREJA KAB TEGAL</v>
          </cell>
          <cell r="M22" t="str">
            <v>TEGAL</v>
          </cell>
          <cell r="N22">
            <v>33055</v>
          </cell>
          <cell r="O22" t="str">
            <v>MURNIASIH</v>
          </cell>
          <cell r="P22" t="str">
            <v>ISLAM</v>
          </cell>
          <cell r="Q22" t="str">
            <v>SLTP</v>
          </cell>
          <cell r="R22" t="str">
            <v>K</v>
          </cell>
        </row>
        <row r="23">
          <cell r="C23" t="str">
            <v>GURUH ADI PUTRA</v>
          </cell>
          <cell r="D23" t="str">
            <v>DRIVER</v>
          </cell>
          <cell r="E23" t="str">
            <v>DRA 01-1B</v>
          </cell>
          <cell r="F23" t="str">
            <v>089664455409</v>
          </cell>
          <cell r="G23" t="str">
            <v>7045037304</v>
          </cell>
          <cell r="H23" t="str">
            <v>bca</v>
          </cell>
          <cell r="I23" t="str">
            <v>√</v>
          </cell>
          <cell r="J23" t="str">
            <v>08951354441357</v>
          </cell>
          <cell r="K23" t="str">
            <v>LIA M/ ISTRI</v>
          </cell>
          <cell r="L23" t="str">
            <v>KP. KIDANGRANGGAH RT 005/003 DS CINTAASIH KEC PANGKALAN  KAB KARAWANG</v>
          </cell>
          <cell r="M23" t="str">
            <v>KARAWANG</v>
          </cell>
          <cell r="N23">
            <v>34137</v>
          </cell>
          <cell r="O23" t="str">
            <v>ANAH</v>
          </cell>
          <cell r="P23" t="str">
            <v>ISLAM</v>
          </cell>
          <cell r="Q23" t="str">
            <v>SMA</v>
          </cell>
          <cell r="R23" t="str">
            <v>K1</v>
          </cell>
        </row>
        <row r="24">
          <cell r="C24" t="str">
            <v xml:space="preserve">HANDRI PLANI </v>
          </cell>
          <cell r="D24" t="str">
            <v>DRIVER</v>
          </cell>
          <cell r="E24" t="str">
            <v>MR-ASMO</v>
          </cell>
          <cell r="F24" t="str">
            <v>083104238706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KP CITERE HILIR RT 04/11 PANGALENGAN. KAB BANDUNG</v>
          </cell>
          <cell r="M24" t="str">
            <v>BANDUNG</v>
          </cell>
          <cell r="N24">
            <v>29666</v>
          </cell>
          <cell r="O24">
            <v>0</v>
          </cell>
          <cell r="P24" t="str">
            <v>ISLAM</v>
          </cell>
          <cell r="Q24" t="str">
            <v>SMP</v>
          </cell>
          <cell r="R24" t="str">
            <v>K</v>
          </cell>
        </row>
        <row r="25">
          <cell r="C25" t="str">
            <v xml:space="preserve">HENDRA </v>
          </cell>
          <cell r="D25" t="str">
            <v xml:space="preserve">DRIVER </v>
          </cell>
          <cell r="E25" t="str">
            <v xml:space="preserve">M2EJIP </v>
          </cell>
          <cell r="F25" t="str">
            <v>081319812287</v>
          </cell>
          <cell r="G25">
            <v>0</v>
          </cell>
          <cell r="H25">
            <v>0</v>
          </cell>
          <cell r="I25" t="str">
            <v>√</v>
          </cell>
          <cell r="J25" t="str">
            <v>081315055296</v>
          </cell>
          <cell r="K25" t="str">
            <v xml:space="preserve">IIN WULANDARI </v>
          </cell>
          <cell r="L25" t="str">
            <v xml:space="preserve">GATAK RT 014/004 DESA WADUNGGETAS KEC WONOSARI </v>
          </cell>
          <cell r="M25" t="str">
            <v xml:space="preserve">GANDO </v>
          </cell>
          <cell r="N25">
            <v>28856</v>
          </cell>
          <cell r="O25">
            <v>0</v>
          </cell>
          <cell r="P25" t="str">
            <v xml:space="preserve">ISLAM </v>
          </cell>
          <cell r="Q25" t="str">
            <v xml:space="preserve">SMK </v>
          </cell>
          <cell r="R25" t="str">
            <v>K2</v>
          </cell>
        </row>
        <row r="26">
          <cell r="C26" t="str">
            <v xml:space="preserve">HERI PRASETIO </v>
          </cell>
          <cell r="D26" t="str">
            <v>DRIVER</v>
          </cell>
          <cell r="E26" t="str">
            <v>FJS-TDLINK</v>
          </cell>
          <cell r="F26" t="str">
            <v>081326444552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 t="str">
            <v xml:space="preserve">DESOREJO RT 004/002 DESA TEPANSAI KEC LOANO </v>
          </cell>
          <cell r="M26" t="str">
            <v xml:space="preserve">PURWOREJO </v>
          </cell>
          <cell r="N26">
            <v>34135</v>
          </cell>
          <cell r="O26">
            <v>0</v>
          </cell>
          <cell r="P26" t="str">
            <v xml:space="preserve">ISLAM </v>
          </cell>
          <cell r="Q26">
            <v>0</v>
          </cell>
          <cell r="R26">
            <v>0</v>
          </cell>
        </row>
        <row r="27">
          <cell r="C27" t="str">
            <v>HERI PURNOMO</v>
          </cell>
          <cell r="D27" t="str">
            <v xml:space="preserve">DRIVER </v>
          </cell>
          <cell r="E27" t="str">
            <v>M5TA01</v>
          </cell>
          <cell r="F27" t="str">
            <v>081294752019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 t="str">
            <v>KP KANDANG RT 001/006 DS SUKARAYA KEC KARANG BAHAGIA KAB BEKASI</v>
          </cell>
          <cell r="M27" t="str">
            <v>BANYUMAS</v>
          </cell>
          <cell r="N27">
            <v>31822</v>
          </cell>
          <cell r="O27">
            <v>0</v>
          </cell>
          <cell r="P27" t="str">
            <v>ISLAM</v>
          </cell>
          <cell r="Q27" t="str">
            <v>SMP</v>
          </cell>
          <cell r="R27" t="str">
            <v>K1</v>
          </cell>
        </row>
        <row r="28">
          <cell r="C28" t="str">
            <v>HERUDIN</v>
          </cell>
          <cell r="D28" t="str">
            <v>DRIVER</v>
          </cell>
          <cell r="E28" t="str">
            <v>M2KRW</v>
          </cell>
          <cell r="F28" t="str">
            <v>081286241170/087780538556</v>
          </cell>
          <cell r="G28">
            <v>0</v>
          </cell>
          <cell r="H28">
            <v>0</v>
          </cell>
          <cell r="I28" t="str">
            <v>√</v>
          </cell>
          <cell r="J28">
            <v>0</v>
          </cell>
          <cell r="K28">
            <v>0</v>
          </cell>
          <cell r="L28" t="str">
            <v>DS PURBASARI RT 003/012 DS DAWUAN TENGAH KEC CIKAMPEK  KAB KARAWANG</v>
          </cell>
          <cell r="M28" t="str">
            <v>KARAWANG</v>
          </cell>
          <cell r="N28">
            <v>25934</v>
          </cell>
          <cell r="O28">
            <v>0</v>
          </cell>
          <cell r="P28" t="str">
            <v>ISLAM</v>
          </cell>
          <cell r="Q28" t="str">
            <v>SMP</v>
          </cell>
          <cell r="R28" t="str">
            <v>K</v>
          </cell>
        </row>
        <row r="29">
          <cell r="C29" t="str">
            <v>IMAM HARDIAN</v>
          </cell>
          <cell r="D29" t="str">
            <v xml:space="preserve">DRIVER </v>
          </cell>
          <cell r="E29" t="str">
            <v>RJE-01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 t="str">
            <v>PULO GEBANG RT 011/003 DS PULOGEBANG KEC CAKUNG JAKARTA TIMUR</v>
          </cell>
          <cell r="M29" t="str">
            <v>JAKARTA</v>
          </cell>
          <cell r="N29">
            <v>33351</v>
          </cell>
          <cell r="O29">
            <v>0</v>
          </cell>
          <cell r="P29" t="str">
            <v>ISLAM</v>
          </cell>
          <cell r="Q29">
            <v>0</v>
          </cell>
          <cell r="R29">
            <v>0</v>
          </cell>
        </row>
        <row r="30">
          <cell r="C30" t="str">
            <v>INDRAWAN</v>
          </cell>
          <cell r="D30" t="str">
            <v>DRIVER</v>
          </cell>
          <cell r="E30" t="str">
            <v>DRA-04</v>
          </cell>
          <cell r="F30" t="str">
            <v>081287940924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30493</v>
          </cell>
          <cell r="O30">
            <v>0</v>
          </cell>
          <cell r="P30" t="str">
            <v>ISLAM</v>
          </cell>
          <cell r="Q30">
            <v>0</v>
          </cell>
          <cell r="R30" t="str">
            <v>K</v>
          </cell>
        </row>
        <row r="31">
          <cell r="C31" t="str">
            <v xml:space="preserve">IRFAN SEPTIAN </v>
          </cell>
          <cell r="D31" t="str">
            <v>DRIVER</v>
          </cell>
          <cell r="E31" t="str">
            <v>DRA-04</v>
          </cell>
          <cell r="F31" t="str">
            <v>081905370242</v>
          </cell>
          <cell r="G31" t="str">
            <v>1290011642838</v>
          </cell>
          <cell r="H31" t="str">
            <v xml:space="preserve">MANDIRI </v>
          </cell>
          <cell r="I31">
            <v>0</v>
          </cell>
          <cell r="J31">
            <v>0</v>
          </cell>
          <cell r="K31">
            <v>0</v>
          </cell>
          <cell r="L31" t="str">
            <v>JL. LOGAM GG H GOJALI RT 003/003 KEL. KUJANG SARI KEC. BANDUNG KIDUL KOTA BANDUNG</v>
          </cell>
          <cell r="M31" t="str">
            <v>BANDUNG</v>
          </cell>
          <cell r="N31">
            <v>33497</v>
          </cell>
          <cell r="O31">
            <v>0</v>
          </cell>
          <cell r="P31" t="str">
            <v>ISLAM</v>
          </cell>
          <cell r="Q31">
            <v>0</v>
          </cell>
          <cell r="R31">
            <v>0</v>
          </cell>
        </row>
        <row r="32">
          <cell r="C32" t="str">
            <v>IRFANI</v>
          </cell>
          <cell r="D32" t="str">
            <v>DRIVER</v>
          </cell>
          <cell r="E32" t="str">
            <v>RYK-10</v>
          </cell>
          <cell r="F32" t="str">
            <v>085217075237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PERUM GRIYA BAGASASI BLOK E2 NO 21 RT 002/001 DS SUKARUKUN KEC SUKATANI KAB BEKASI</v>
          </cell>
          <cell r="M32" t="str">
            <v>PASURUAN</v>
          </cell>
          <cell r="N32">
            <v>29381</v>
          </cell>
          <cell r="O32">
            <v>0</v>
          </cell>
          <cell r="P32" t="str">
            <v>ISLAM</v>
          </cell>
          <cell r="Q32">
            <v>0</v>
          </cell>
          <cell r="R32" t="str">
            <v>L</v>
          </cell>
        </row>
        <row r="33">
          <cell r="C33" t="str">
            <v>IRWAN SATYANTO SIMATUPANG</v>
          </cell>
          <cell r="D33" t="str">
            <v>DRIVER</v>
          </cell>
          <cell r="E33" t="str">
            <v>FJS-05</v>
          </cell>
          <cell r="F33" t="str">
            <v>081263713126</v>
          </cell>
          <cell r="G33" t="str">
            <v>8200653875</v>
          </cell>
          <cell r="H33" t="str">
            <v>BCA</v>
          </cell>
          <cell r="I33" t="str">
            <v>√</v>
          </cell>
          <cell r="J33">
            <v>0</v>
          </cell>
          <cell r="K33">
            <v>0</v>
          </cell>
          <cell r="L33" t="str">
            <v>JL. F PASARIBU GG BELIMBING NO 17/A DS SUKAMAKMUR KEC SIANTAR MARIHATI KOTA PEMATANG SIANTAR</v>
          </cell>
          <cell r="M33" t="str">
            <v>PEMATANGSIANTAR</v>
          </cell>
          <cell r="N33">
            <v>29284</v>
          </cell>
          <cell r="O33" t="str">
            <v>TIALAM SILABAN</v>
          </cell>
          <cell r="P33" t="str">
            <v>KRISTEN</v>
          </cell>
          <cell r="Q33" t="str">
            <v>SMP</v>
          </cell>
          <cell r="R33" t="str">
            <v>L</v>
          </cell>
        </row>
        <row r="34">
          <cell r="C34" t="str">
            <v>IWAN WIJAYA</v>
          </cell>
          <cell r="D34" t="str">
            <v>DRIVER</v>
          </cell>
          <cell r="E34" t="str">
            <v>DRA-05</v>
          </cell>
          <cell r="F34" t="str">
            <v>085887615623</v>
          </cell>
          <cell r="G34">
            <v>0</v>
          </cell>
          <cell r="H34">
            <v>0</v>
          </cell>
          <cell r="I34" t="str">
            <v>√</v>
          </cell>
          <cell r="J34">
            <v>0</v>
          </cell>
          <cell r="K34">
            <v>0</v>
          </cell>
          <cell r="L34" t="str">
            <v>KP. SADANG RT 002/001 RAGEMANUNGGAL, KEC SETU KAB BEKASI</v>
          </cell>
          <cell r="M34" t="str">
            <v>BEKASI</v>
          </cell>
          <cell r="N34">
            <v>29042</v>
          </cell>
          <cell r="O34" t="str">
            <v>MARIAM</v>
          </cell>
          <cell r="P34" t="str">
            <v>ISLAM</v>
          </cell>
          <cell r="Q34" t="str">
            <v>SLTA</v>
          </cell>
          <cell r="R34" t="str">
            <v>K2</v>
          </cell>
        </row>
        <row r="35">
          <cell r="C35" t="str">
            <v>JANTO SIHOMBING</v>
          </cell>
          <cell r="D35" t="str">
            <v>DRIVER</v>
          </cell>
          <cell r="E35" t="str">
            <v>BACKUP</v>
          </cell>
          <cell r="F35" t="str">
            <v>081297720595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PERUM KARTIKA WANASARI BLOK E1/29 RT009/031KEL. WANASARI KEC. CIBITUNG KAB. BEKASI</v>
          </cell>
          <cell r="M35" t="str">
            <v>KENTARA</v>
          </cell>
          <cell r="N35">
            <v>34389</v>
          </cell>
          <cell r="O35">
            <v>0</v>
          </cell>
          <cell r="P35" t="str">
            <v>KRISTEN</v>
          </cell>
          <cell r="Q35" t="str">
            <v>SMP</v>
          </cell>
          <cell r="R35" t="str">
            <v>K2</v>
          </cell>
        </row>
        <row r="36">
          <cell r="C36" t="str">
            <v xml:space="preserve">JAYA PERMANA </v>
          </cell>
          <cell r="D36" t="str">
            <v>DRIVER</v>
          </cell>
          <cell r="E36" t="str">
            <v>M2-EJIP</v>
          </cell>
          <cell r="F36" t="str">
            <v>087870794603</v>
          </cell>
          <cell r="G36" t="str">
            <v>8715108598</v>
          </cell>
          <cell r="H36" t="str">
            <v>BCA</v>
          </cell>
          <cell r="I36">
            <v>0</v>
          </cell>
          <cell r="J36">
            <v>0</v>
          </cell>
          <cell r="K36">
            <v>0</v>
          </cell>
          <cell r="L36" t="str">
            <v xml:space="preserve">DUSUN 1 RT 002/001 DESA KERTAWANGUN KEC SEDONG </v>
          </cell>
          <cell r="M36" t="str">
            <v xml:space="preserve">CIREBON </v>
          </cell>
          <cell r="N36">
            <v>31318</v>
          </cell>
          <cell r="O36">
            <v>0</v>
          </cell>
          <cell r="P36" t="str">
            <v xml:space="preserve">ISLAM </v>
          </cell>
          <cell r="Q36" t="str">
            <v xml:space="preserve">SMK </v>
          </cell>
          <cell r="R36" t="str">
            <v>K1</v>
          </cell>
        </row>
        <row r="37">
          <cell r="C37" t="str">
            <v>KARMA</v>
          </cell>
          <cell r="D37" t="str">
            <v>DRIVER</v>
          </cell>
          <cell r="E37" t="str">
            <v>YIMM</v>
          </cell>
          <cell r="F37" t="str">
            <v>08561224083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 t="str">
            <v>PANGASINAN RT 001/001 DESA KARANGLIGAR KECA. TELUKJAMBE BARAT KAB. KARAWANG</v>
          </cell>
          <cell r="M37" t="str">
            <v>KARAWANG</v>
          </cell>
          <cell r="N37">
            <v>32621</v>
          </cell>
          <cell r="O37">
            <v>0</v>
          </cell>
          <cell r="P37" t="str">
            <v>ISLAM</v>
          </cell>
          <cell r="Q37" t="str">
            <v>SMP</v>
          </cell>
          <cell r="R37" t="str">
            <v>K2</v>
          </cell>
        </row>
        <row r="38">
          <cell r="C38" t="str">
            <v>KARYANA</v>
          </cell>
          <cell r="D38" t="str">
            <v>DRIVER</v>
          </cell>
          <cell r="E38" t="str">
            <v>FJS-02</v>
          </cell>
          <cell r="F38" t="str">
            <v>089697917525</v>
          </cell>
          <cell r="G38" t="str">
            <v>1091879765</v>
          </cell>
          <cell r="H38" t="str">
            <v>BCA</v>
          </cell>
          <cell r="I38" t="str">
            <v>√</v>
          </cell>
          <cell r="J38" t="str">
            <v>0885886567169</v>
          </cell>
          <cell r="K38" t="str">
            <v>AMI /IBU</v>
          </cell>
          <cell r="L38" t="str">
            <v>KP PANDERESAN RT 10/02 DS BANTARJAYA KEC PABAYURAN KAB BEKASI</v>
          </cell>
          <cell r="M38" t="str">
            <v>BEKASI</v>
          </cell>
          <cell r="N38">
            <v>30965</v>
          </cell>
          <cell r="O38" t="str">
            <v>AMI</v>
          </cell>
          <cell r="P38" t="str">
            <v>ISLAM</v>
          </cell>
          <cell r="Q38" t="str">
            <v>SLTP</v>
          </cell>
          <cell r="R38" t="str">
            <v>K</v>
          </cell>
        </row>
        <row r="39">
          <cell r="C39" t="str">
            <v>KUSNANTO</v>
          </cell>
          <cell r="D39" t="str">
            <v>DRIVER</v>
          </cell>
          <cell r="E39" t="str">
            <v>M5TA01</v>
          </cell>
          <cell r="F39" t="str">
            <v>085727240755</v>
          </cell>
          <cell r="G39" t="str">
            <v>0300842038</v>
          </cell>
          <cell r="H39" t="str">
            <v>BCA</v>
          </cell>
          <cell r="I39" t="str">
            <v>√</v>
          </cell>
          <cell r="J39" t="str">
            <v>085773617036</v>
          </cell>
          <cell r="K39" t="str">
            <v>SUTIMAN/ORANGTUA</v>
          </cell>
          <cell r="L39" t="str">
            <v>TANJUNGSARI RT 012/004 KARANGJOHO KARANGDOWO KLATEN</v>
          </cell>
          <cell r="M39" t="str">
            <v>KLATEN</v>
          </cell>
          <cell r="N39">
            <v>33901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C40" t="str">
            <v>LINDA NURJAMAN</v>
          </cell>
          <cell r="D40" t="str">
            <v>DRIVER</v>
          </cell>
          <cell r="E40" t="str">
            <v>BACKUP</v>
          </cell>
          <cell r="F40" t="str">
            <v>0881024735300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KOMP. CHANDRA BARU RT 009/017 KEL. JATIRAHAYU KEC. PONDOK MELATI KOTA BEKASI</v>
          </cell>
          <cell r="M40" t="str">
            <v>GARUT</v>
          </cell>
          <cell r="N40">
            <v>31316</v>
          </cell>
          <cell r="O40">
            <v>0</v>
          </cell>
          <cell r="P40" t="str">
            <v>ISLAM</v>
          </cell>
          <cell r="Q40" t="str">
            <v>SMA</v>
          </cell>
          <cell r="R40" t="str">
            <v>K2</v>
          </cell>
        </row>
        <row r="41">
          <cell r="C41" t="str">
            <v>MARTAHAN PETRUS SINAGA</v>
          </cell>
          <cell r="D41" t="str">
            <v>DRIVER</v>
          </cell>
          <cell r="E41" t="str">
            <v>MILKRUN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PERUM PURI CIJAMBE BLOK D6 NO. 19 KEL. SUKADAMI KEC. CIKARANG SELATAN KAB. BEKASI</v>
          </cell>
          <cell r="M41" t="str">
            <v>SIBATU-BATU</v>
          </cell>
          <cell r="N41">
            <v>29691</v>
          </cell>
          <cell r="O41">
            <v>0</v>
          </cell>
          <cell r="P41" t="str">
            <v>KATHOLIK</v>
          </cell>
          <cell r="Q41">
            <v>0</v>
          </cell>
          <cell r="R41" t="str">
            <v>K</v>
          </cell>
        </row>
        <row r="42">
          <cell r="C42" t="str">
            <v>MA'SHUM MUBAROK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DUSUN BAKUNGAN RT 001/001 KEL. MULYOREJO KEC. KESESI KAB. PEKALONGAN</v>
          </cell>
          <cell r="M42" t="str">
            <v>PEKALONGAN</v>
          </cell>
          <cell r="N42">
            <v>30864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C43" t="str">
            <v>MUHAMAD AMINNULLAH</v>
          </cell>
          <cell r="D43" t="str">
            <v>DRIVER</v>
          </cell>
          <cell r="E43" t="str">
            <v>DRA01-2</v>
          </cell>
          <cell r="F43" t="str">
            <v>085889350750</v>
          </cell>
          <cell r="G43" t="str">
            <v>084501039744534</v>
          </cell>
          <cell r="H43" t="str">
            <v>BRI/GOMRAWI</v>
          </cell>
          <cell r="I43">
            <v>0</v>
          </cell>
          <cell r="J43" t="str">
            <v>085211981663</v>
          </cell>
          <cell r="K43" t="str">
            <v>AYAH</v>
          </cell>
          <cell r="L43" t="str">
            <v>KP BLOKANG DESA KARANGANYAR RT 004/006 KEC KARANG BAHAGIA KAB BEKASI</v>
          </cell>
          <cell r="M43" t="str">
            <v>BEKASI</v>
          </cell>
          <cell r="N43">
            <v>35833</v>
          </cell>
          <cell r="O43" t="str">
            <v>SARIPAH</v>
          </cell>
          <cell r="P43" t="str">
            <v>ISLAM</v>
          </cell>
          <cell r="Q43" t="str">
            <v>SMA</v>
          </cell>
          <cell r="R43" t="str">
            <v>L</v>
          </cell>
        </row>
        <row r="44">
          <cell r="C44" t="str">
            <v>MUHAMAD ILYAS</v>
          </cell>
          <cell r="D44" t="str">
            <v>DRIVER</v>
          </cell>
          <cell r="E44" t="str">
            <v>JITEKT-AUTOTEK</v>
          </cell>
          <cell r="F44" t="str">
            <v>085777039476</v>
          </cell>
          <cell r="G44" t="str">
            <v>6785066824</v>
          </cell>
          <cell r="H44" t="str">
            <v>BCA</v>
          </cell>
          <cell r="I44">
            <v>0</v>
          </cell>
          <cell r="J44">
            <v>0</v>
          </cell>
          <cell r="K44">
            <v>0</v>
          </cell>
          <cell r="L44" t="str">
            <v>DSN RANGDU II RT 009/004 DS RANGDUMULYA KEC PEDES KAB KARAWANG</v>
          </cell>
          <cell r="M44" t="str">
            <v>KARAWANG</v>
          </cell>
          <cell r="N44">
            <v>34558</v>
          </cell>
          <cell r="O44" t="str">
            <v>RATNA</v>
          </cell>
          <cell r="P44" t="str">
            <v>ISLAM</v>
          </cell>
          <cell r="Q44" t="str">
            <v>SMA</v>
          </cell>
          <cell r="R44" t="str">
            <v>L</v>
          </cell>
        </row>
        <row r="45">
          <cell r="C45" t="str">
            <v>NUR ALAMSYAH</v>
          </cell>
          <cell r="D45" t="str">
            <v>DRIVER</v>
          </cell>
          <cell r="E45" t="str">
            <v>RJE-01</v>
          </cell>
          <cell r="F45" t="str">
            <v>088225631219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Villa mutiara jaya blok m.97 no1 rt001 rw011 desa wanajaya kecamatan cibitung</v>
          </cell>
          <cell r="M45" t="str">
            <v>BEKASI</v>
          </cell>
          <cell r="N45">
            <v>34448</v>
          </cell>
          <cell r="O45">
            <v>0</v>
          </cell>
          <cell r="P45" t="str">
            <v>ISLAM</v>
          </cell>
          <cell r="Q45">
            <v>0</v>
          </cell>
          <cell r="R45" t="str">
            <v>K</v>
          </cell>
        </row>
        <row r="46">
          <cell r="C46" t="str">
            <v xml:space="preserve">RAMDANI MANAON PAKPAHAN </v>
          </cell>
          <cell r="D46" t="str">
            <v xml:space="preserve">DRIVER </v>
          </cell>
          <cell r="E46" t="str">
            <v xml:space="preserve">DRA-01 B </v>
          </cell>
          <cell r="F46" t="str">
            <v>081319767331</v>
          </cell>
          <cell r="G46">
            <v>0</v>
          </cell>
          <cell r="H46">
            <v>0</v>
          </cell>
          <cell r="I46" t="str">
            <v>√</v>
          </cell>
          <cell r="J46" t="str">
            <v>082113391080</v>
          </cell>
          <cell r="K46" t="str">
            <v xml:space="preserve">ESRON PAKPAHAN </v>
          </cell>
          <cell r="L46" t="str">
            <v>KP SUKAPURA JAYA RT 007/010 DESA SUKAPURA KEC CILNGCING</v>
          </cell>
          <cell r="M46" t="str">
            <v xml:space="preserve">KENTARA </v>
          </cell>
          <cell r="N46">
            <v>34614</v>
          </cell>
          <cell r="O46" t="str">
            <v xml:space="preserve">ESNI PANE </v>
          </cell>
          <cell r="P46" t="str">
            <v xml:space="preserve">KRISTEN </v>
          </cell>
          <cell r="Q46" t="str">
            <v xml:space="preserve">SLTA </v>
          </cell>
          <cell r="R46" t="str">
            <v>L</v>
          </cell>
        </row>
        <row r="47">
          <cell r="C47" t="str">
            <v xml:space="preserve">RANO KARNO </v>
          </cell>
          <cell r="D47" t="str">
            <v xml:space="preserve">DRIVER </v>
          </cell>
          <cell r="E47" t="str">
            <v xml:space="preserve">FUJISEAT </v>
          </cell>
          <cell r="F47" t="str">
            <v>083814130292</v>
          </cell>
          <cell r="G47" t="str">
            <v>2230671179</v>
          </cell>
          <cell r="H47" t="str">
            <v>BCA</v>
          </cell>
          <cell r="I47" t="str">
            <v>√</v>
          </cell>
          <cell r="J47" t="str">
            <v>083195512697</v>
          </cell>
          <cell r="K47" t="str">
            <v xml:space="preserve">IYAH MASRIYAH </v>
          </cell>
          <cell r="L47" t="str">
            <v xml:space="preserve">DUSUN BOJONGSANGKEUN DESA BOJONG TENGAH RT 002/001 KEL BOJONG TENGAH KEC PUSAKA JAYA KAB SUBANG </v>
          </cell>
          <cell r="M47" t="str">
            <v xml:space="preserve">SUBANG </v>
          </cell>
          <cell r="N47">
            <v>29037</v>
          </cell>
          <cell r="O47" t="str">
            <v>UTIN</v>
          </cell>
          <cell r="P47" t="str">
            <v xml:space="preserve">ISLAM </v>
          </cell>
          <cell r="Q47" t="str">
            <v>SLTP</v>
          </cell>
          <cell r="R47" t="str">
            <v>K2</v>
          </cell>
        </row>
        <row r="48">
          <cell r="C48" t="str">
            <v xml:space="preserve">RASDI SUMASDI </v>
          </cell>
          <cell r="D48" t="str">
            <v xml:space="preserve">DRIVER </v>
          </cell>
          <cell r="E48" t="str">
            <v>FJS-01</v>
          </cell>
          <cell r="F48" t="str">
            <v>0812810001945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 t="str">
            <v xml:space="preserve">KP RAWA BANTENG RT 002/001 DESA MEKARWANGI KEC CIKARANG BARAT </v>
          </cell>
          <cell r="M48" t="str">
            <v xml:space="preserve">BEKASI </v>
          </cell>
          <cell r="N48">
            <v>33008</v>
          </cell>
          <cell r="O48">
            <v>0</v>
          </cell>
          <cell r="P48" t="str">
            <v xml:space="preserve">ISLAM </v>
          </cell>
          <cell r="Q48">
            <v>0</v>
          </cell>
          <cell r="R48" t="str">
            <v>K1</v>
          </cell>
        </row>
        <row r="49">
          <cell r="C49" t="str">
            <v>RHEZA RUNOVALIYANA</v>
          </cell>
          <cell r="D49" t="str">
            <v>DRIVER</v>
          </cell>
          <cell r="E49" t="str">
            <v>YIMM</v>
          </cell>
          <cell r="F49" t="str">
            <v>085781510791</v>
          </cell>
          <cell r="G49">
            <v>0</v>
          </cell>
          <cell r="H49">
            <v>0</v>
          </cell>
          <cell r="I49">
            <v>0</v>
          </cell>
          <cell r="J49" t="str">
            <v>082111049477</v>
          </cell>
          <cell r="K49">
            <v>0</v>
          </cell>
          <cell r="L49" t="str">
            <v>BANJARATMA RT 009/010 KEL. BANJARATMA KECAMATAN BULAKAMBA KAB. BREBES</v>
          </cell>
          <cell r="M49" t="str">
            <v>TEGAL</v>
          </cell>
          <cell r="N49">
            <v>33551</v>
          </cell>
          <cell r="O49">
            <v>0</v>
          </cell>
          <cell r="P49" t="str">
            <v>ISLAM</v>
          </cell>
          <cell r="Q49" t="str">
            <v>SMA</v>
          </cell>
          <cell r="R49" t="str">
            <v>K2</v>
          </cell>
        </row>
        <row r="50">
          <cell r="C50" t="str">
            <v>ROSANDI</v>
          </cell>
          <cell r="D50" t="str">
            <v xml:space="preserve">DRIVER </v>
          </cell>
          <cell r="E50" t="str">
            <v>DRA01-1</v>
          </cell>
          <cell r="F50" t="str">
            <v>085720990422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KP. CARINGIN TONGGOH RT 001/004 DS NYANGKOWEK KEC CURUG KAB SUKABUMI</v>
          </cell>
          <cell r="M50" t="str">
            <v>SUKABUMI</v>
          </cell>
          <cell r="N50">
            <v>34469</v>
          </cell>
          <cell r="O50">
            <v>0</v>
          </cell>
          <cell r="P50" t="str">
            <v>ISLAM</v>
          </cell>
          <cell r="Q50" t="str">
            <v>SMP</v>
          </cell>
          <cell r="R50" t="str">
            <v>K1</v>
          </cell>
        </row>
        <row r="51">
          <cell r="C51" t="str">
            <v>ROY</v>
          </cell>
          <cell r="D51" t="str">
            <v>DRIVER</v>
          </cell>
          <cell r="E51" t="str">
            <v>MILKRUN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KP. CIBUNTU RT 001/002 KEL. CIBUNTU KEC. CIBUNTU KAB. BEKASI</v>
          </cell>
          <cell r="M51" t="str">
            <v>JAKARTA</v>
          </cell>
          <cell r="N51">
            <v>31801</v>
          </cell>
          <cell r="O51">
            <v>0</v>
          </cell>
          <cell r="P51" t="str">
            <v>ISLAM</v>
          </cell>
          <cell r="Q51">
            <v>0</v>
          </cell>
          <cell r="R51" t="str">
            <v>K</v>
          </cell>
        </row>
        <row r="52">
          <cell r="C52" t="str">
            <v>SAEPUL HAMAMI</v>
          </cell>
          <cell r="D52" t="str">
            <v>DRIVER</v>
          </cell>
          <cell r="E52" t="str">
            <v>AAIA-KRW</v>
          </cell>
          <cell r="F52" t="str">
            <v>082112111324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 t="str">
            <v>DSN SUKAJAYA RT 010/002 DS KEMIRI KEC JAYAKERTA KAB KARAWANG</v>
          </cell>
          <cell r="M52" t="str">
            <v>KARAWANG</v>
          </cell>
          <cell r="N52">
            <v>32691</v>
          </cell>
          <cell r="O52">
            <v>0</v>
          </cell>
          <cell r="P52" t="str">
            <v>ISLAM</v>
          </cell>
          <cell r="Q52" t="str">
            <v>SMP</v>
          </cell>
          <cell r="R52" t="str">
            <v>K</v>
          </cell>
        </row>
        <row r="53">
          <cell r="C53" t="str">
            <v>SAMSUL MUARIPIN</v>
          </cell>
          <cell r="D53" t="str">
            <v>DRIVER</v>
          </cell>
          <cell r="E53" t="str">
            <v>M5TA02</v>
          </cell>
          <cell r="F53" t="str">
            <v>085939172311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 t="str">
            <v>BLOK H ISMAIL RT 004/002 TENAJAR KERTASEMAYA</v>
          </cell>
          <cell r="M53" t="str">
            <v xml:space="preserve">INDRAMAYU </v>
          </cell>
          <cell r="N53">
            <v>31984</v>
          </cell>
          <cell r="O53">
            <v>0</v>
          </cell>
          <cell r="P53" t="str">
            <v xml:space="preserve">ISLAM </v>
          </cell>
          <cell r="Q53" t="str">
            <v xml:space="preserve">SMK </v>
          </cell>
          <cell r="R53" t="str">
            <v>K</v>
          </cell>
        </row>
        <row r="54">
          <cell r="C54" t="str">
            <v>SANDI HENDRIANA</v>
          </cell>
          <cell r="D54" t="str">
            <v xml:space="preserve">DRIVER </v>
          </cell>
          <cell r="E54" t="str">
            <v>DRA01-4</v>
          </cell>
          <cell r="F54" t="str">
            <v>085814969668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 t="str">
            <v>DUSUN IV RT 036/007 DS CITENJO KEC CIBINGBIN KAB KUNINGAN</v>
          </cell>
          <cell r="M54" t="str">
            <v>BANDUNG</v>
          </cell>
          <cell r="N54">
            <v>32824</v>
          </cell>
          <cell r="O54">
            <v>0</v>
          </cell>
          <cell r="P54" t="str">
            <v>ISLAM</v>
          </cell>
          <cell r="Q54" t="str">
            <v>SMA</v>
          </cell>
          <cell r="R54" t="str">
            <v>K2</v>
          </cell>
        </row>
        <row r="55">
          <cell r="C55" t="str">
            <v>SE SURYADI</v>
          </cell>
          <cell r="D55" t="str">
            <v>DRIVER</v>
          </cell>
          <cell r="E55" t="str">
            <v>FJS-KBU</v>
          </cell>
          <cell r="F55" t="str">
            <v>087879567134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>PERUM KOTA SERABF BARU BLOK A8 NO 12A RT 026/019 DS SUKARAGAM KEC SERANGBARU KAB BEKASI</v>
          </cell>
          <cell r="M55" t="str">
            <v>SUMEDANG</v>
          </cell>
          <cell r="N55">
            <v>29441</v>
          </cell>
          <cell r="O55">
            <v>0</v>
          </cell>
          <cell r="P55" t="str">
            <v>ISLAM</v>
          </cell>
          <cell r="Q55" t="str">
            <v>SMP</v>
          </cell>
          <cell r="R55" t="str">
            <v>K2</v>
          </cell>
        </row>
        <row r="56">
          <cell r="C56" t="str">
            <v>SUGIYARTO</v>
          </cell>
          <cell r="D56" t="str">
            <v>DRIVER</v>
          </cell>
          <cell r="E56" t="str">
            <v>DRA01-6</v>
          </cell>
          <cell r="F56" t="str">
            <v>081218951406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 t="str">
            <v>CITRA INDAH BUKIT AKASIA, JONGGOL</v>
          </cell>
          <cell r="M56" t="str">
            <v>JAKARTA</v>
          </cell>
          <cell r="N56">
            <v>27882</v>
          </cell>
          <cell r="O56">
            <v>0</v>
          </cell>
          <cell r="P56" t="str">
            <v>ISLAM</v>
          </cell>
          <cell r="Q56">
            <v>0</v>
          </cell>
          <cell r="R56">
            <v>0</v>
          </cell>
        </row>
        <row r="57">
          <cell r="C57" t="str">
            <v>SUKIYAT</v>
          </cell>
          <cell r="D57" t="str">
            <v>DRIVER</v>
          </cell>
          <cell r="E57" t="str">
            <v>M5BO</v>
          </cell>
          <cell r="F57" t="str">
            <v>081280600437</v>
          </cell>
          <cell r="G57" t="str">
            <v>5221464037</v>
          </cell>
          <cell r="H57" t="str">
            <v>BCA</v>
          </cell>
          <cell r="I57" t="str">
            <v>√</v>
          </cell>
          <cell r="J57" t="str">
            <v>082122795547</v>
          </cell>
          <cell r="K57" t="str">
            <v>SUNINGSIH / ISTRI</v>
          </cell>
          <cell r="L57" t="str">
            <v>SUMBER MULYA RT 002/001 KEL SUMBERMULYA KEC SALE</v>
          </cell>
          <cell r="M57" t="str">
            <v>REMBANG</v>
          </cell>
          <cell r="N57">
            <v>30848</v>
          </cell>
          <cell r="O57" t="str">
            <v>SITI HANDAYANI</v>
          </cell>
          <cell r="P57" t="str">
            <v>ISLAM</v>
          </cell>
          <cell r="Q57" t="str">
            <v>SMA</v>
          </cell>
          <cell r="R57" t="str">
            <v>K2</v>
          </cell>
        </row>
        <row r="58">
          <cell r="C58" t="str">
            <v>SUPRIYANTO</v>
          </cell>
          <cell r="D58" t="str">
            <v>DRIVER</v>
          </cell>
          <cell r="E58" t="str">
            <v>DIRECK ICH</v>
          </cell>
          <cell r="F58" t="str">
            <v>085210278666/085778348666</v>
          </cell>
          <cell r="G58" t="str">
            <v>4860211764</v>
          </cell>
          <cell r="H58" t="str">
            <v>BCA</v>
          </cell>
          <cell r="I58" t="str">
            <v>√</v>
          </cell>
          <cell r="J58" t="str">
            <v>081311313123</v>
          </cell>
          <cell r="K58" t="str">
            <v>ISTRI</v>
          </cell>
          <cell r="L58" t="str">
            <v>KP. RAWA JULANG RT 002/001 DS GANDA MEKAR CIKARANG BARAT</v>
          </cell>
          <cell r="M58" t="str">
            <v>CIREBON</v>
          </cell>
          <cell r="N58">
            <v>29771</v>
          </cell>
          <cell r="O58" t="str">
            <v>ASMI</v>
          </cell>
          <cell r="P58" t="str">
            <v>ISLAM</v>
          </cell>
          <cell r="Q58" t="str">
            <v>SMK</v>
          </cell>
          <cell r="R58" t="str">
            <v>K</v>
          </cell>
        </row>
        <row r="59">
          <cell r="C59" t="str">
            <v>SURYANA</v>
          </cell>
          <cell r="D59" t="str">
            <v>DRIVER</v>
          </cell>
          <cell r="E59" t="str">
            <v>FJS-TDLINK</v>
          </cell>
          <cell r="F59" t="str">
            <v>081932601189</v>
          </cell>
          <cell r="G59" t="str">
            <v>8730443600</v>
          </cell>
          <cell r="H59" t="str">
            <v>BCA</v>
          </cell>
          <cell r="I59">
            <v>0</v>
          </cell>
          <cell r="J59">
            <v>0</v>
          </cell>
          <cell r="K59">
            <v>0</v>
          </cell>
          <cell r="L59" t="str">
            <v>KP CIBUBUR RT 02/05 SIMPANGAN KEC CIKARANG UTARA BEKASI</v>
          </cell>
          <cell r="M59" t="str">
            <v>BANDUNG</v>
          </cell>
          <cell r="N59">
            <v>29176</v>
          </cell>
          <cell r="O59">
            <v>0</v>
          </cell>
          <cell r="P59" t="str">
            <v>ISLAM</v>
          </cell>
          <cell r="Q59" t="str">
            <v>STM</v>
          </cell>
          <cell r="R59" t="str">
            <v>K2</v>
          </cell>
        </row>
        <row r="60">
          <cell r="C60" t="str">
            <v xml:space="preserve">SUWANDI </v>
          </cell>
          <cell r="D60" t="str">
            <v xml:space="preserve">DRIVER </v>
          </cell>
          <cell r="E60" t="str">
            <v>M2KRW</v>
          </cell>
          <cell r="F60" t="str">
            <v>085782686099</v>
          </cell>
          <cell r="G60">
            <v>0</v>
          </cell>
          <cell r="H60">
            <v>0</v>
          </cell>
          <cell r="I60" t="str">
            <v>√</v>
          </cell>
          <cell r="J60" t="str">
            <v>085778151836</v>
          </cell>
          <cell r="K60" t="str">
            <v xml:space="preserve">SURYANI </v>
          </cell>
          <cell r="L60" t="str">
            <v xml:space="preserve">KP KEDUNG LOTONG RT 003/006 DESA BANTARJAYA KEC PEBAYURAN </v>
          </cell>
          <cell r="M60" t="str">
            <v xml:space="preserve">BEKASI </v>
          </cell>
          <cell r="N60">
            <v>30977</v>
          </cell>
          <cell r="O60">
            <v>0</v>
          </cell>
          <cell r="P60" t="str">
            <v xml:space="preserve">ISLAM </v>
          </cell>
          <cell r="Q60" t="str">
            <v xml:space="preserve">SLTP </v>
          </cell>
          <cell r="R60" t="str">
            <v>K3</v>
          </cell>
        </row>
        <row r="61">
          <cell r="C61" t="str">
            <v xml:space="preserve">TANTOSO </v>
          </cell>
          <cell r="D61" t="str">
            <v xml:space="preserve">DRIVER </v>
          </cell>
          <cell r="E61" t="str">
            <v>DRA-1B</v>
          </cell>
          <cell r="F61" t="str">
            <v>081294929503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29387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C62" t="str">
            <v>VICKY ARMEDO PRASETYO</v>
          </cell>
          <cell r="D62" t="str">
            <v>DRIVER</v>
          </cell>
          <cell r="E62" t="str">
            <v>DRA-01</v>
          </cell>
          <cell r="F62" t="str">
            <v>081273606192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 t="str">
            <v>JL NAKULO NO134 RT 05/01 MAKASAR HALIM</v>
          </cell>
          <cell r="M62" t="str">
            <v xml:space="preserve">MAGETAN </v>
          </cell>
          <cell r="N62">
            <v>33314</v>
          </cell>
          <cell r="O62">
            <v>0</v>
          </cell>
          <cell r="P62" t="str">
            <v xml:space="preserve">ISLAM </v>
          </cell>
          <cell r="Q62" t="str">
            <v>SMK</v>
          </cell>
          <cell r="R62" t="str">
            <v>L</v>
          </cell>
        </row>
        <row r="63">
          <cell r="C63" t="str">
            <v>YAKUB</v>
          </cell>
          <cell r="D63" t="str">
            <v>DRIVER</v>
          </cell>
          <cell r="E63" t="str">
            <v>M2-EJIP</v>
          </cell>
          <cell r="F63" t="str">
            <v>085775744378</v>
          </cell>
          <cell r="G63">
            <v>0</v>
          </cell>
          <cell r="H63">
            <v>0</v>
          </cell>
          <cell r="I63" t="str">
            <v>√</v>
          </cell>
          <cell r="J63" t="str">
            <v>085715982443</v>
          </cell>
          <cell r="K63" t="str">
            <v>SUMIAH/IBU</v>
          </cell>
          <cell r="L63" t="str">
            <v>KP. TAMBUN RT 012/004KARANGHARJA PABAYURAN BEKASI</v>
          </cell>
          <cell r="M63" t="str">
            <v>BEKASI</v>
          </cell>
          <cell r="N63">
            <v>29716</v>
          </cell>
          <cell r="O63">
            <v>0</v>
          </cell>
          <cell r="P63" t="str">
            <v xml:space="preserve">ISLAM </v>
          </cell>
          <cell r="Q63" t="str">
            <v xml:space="preserve">SMA </v>
          </cell>
          <cell r="R63" t="str">
            <v>K</v>
          </cell>
        </row>
        <row r="64">
          <cell r="C64" t="str">
            <v>YOGI</v>
          </cell>
          <cell r="D64" t="str">
            <v>DRIVER</v>
          </cell>
          <cell r="E64" t="str">
            <v>YIMM</v>
          </cell>
          <cell r="F64" t="str">
            <v>089529202547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 t="str">
            <v>KP SUKAMANTRI RT 006/003 KEL. SUKARAYA KEC. KARANG BAHAGIA KAB. BEKASI</v>
          </cell>
          <cell r="M64" t="str">
            <v>BEKASI</v>
          </cell>
          <cell r="N64">
            <v>33958</v>
          </cell>
          <cell r="O64">
            <v>0</v>
          </cell>
          <cell r="P64" t="str">
            <v>ISLAM</v>
          </cell>
          <cell r="Q64" t="str">
            <v>SMA</v>
          </cell>
          <cell r="R64" t="str">
            <v>K1</v>
          </cell>
        </row>
        <row r="65">
          <cell r="C65" t="str">
            <v>YUSUF AKHAMDI</v>
          </cell>
          <cell r="D65" t="str">
            <v xml:space="preserve">DRIVER </v>
          </cell>
          <cell r="E65" t="str">
            <v>MR-ASMO</v>
          </cell>
          <cell r="F65" t="str">
            <v>081902510002</v>
          </cell>
          <cell r="G65">
            <v>0</v>
          </cell>
          <cell r="H65">
            <v>0</v>
          </cell>
          <cell r="I65">
            <v>0</v>
          </cell>
          <cell r="J65" t="str">
            <v>087724210003</v>
          </cell>
          <cell r="K65" t="str">
            <v>YUNIATI SHOLIKAH</v>
          </cell>
          <cell r="L65" t="str">
            <v>BANJARTURI RT 001/005 DESA BANJARTURI KEC WARUREJA</v>
          </cell>
          <cell r="M65" t="str">
            <v xml:space="preserve">TEGAL </v>
          </cell>
          <cell r="N65">
            <v>32126</v>
          </cell>
          <cell r="O65">
            <v>0</v>
          </cell>
          <cell r="P65" t="str">
            <v xml:space="preserve">ISLAM </v>
          </cell>
          <cell r="Q65" t="str">
            <v xml:space="preserve">SMU </v>
          </cell>
          <cell r="R65" t="str">
            <v>K1</v>
          </cell>
        </row>
        <row r="66">
          <cell r="C66" t="str">
            <v>YUSUP MUSTOPA</v>
          </cell>
          <cell r="D66" t="str">
            <v>DRIVER</v>
          </cell>
          <cell r="E66" t="str">
            <v>MILKRUN</v>
          </cell>
          <cell r="F66" t="str">
            <v>088299589259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 t="str">
            <v>DUSUN SUMEDANGAN RT 003/002 DS. PURWADANA KEC. TELUKJAMBE TIMUR KAB. KARAWANG</v>
          </cell>
          <cell r="M66" t="str">
            <v>TANGERANG</v>
          </cell>
          <cell r="N66">
            <v>34581</v>
          </cell>
          <cell r="O66">
            <v>0</v>
          </cell>
          <cell r="P66" t="str">
            <v>ISLAM</v>
          </cell>
          <cell r="Q66" t="str">
            <v>SMP</v>
          </cell>
          <cell r="R66" t="str">
            <v>L</v>
          </cell>
        </row>
        <row r="67">
          <cell r="C67" t="str">
            <v>JAMIL ISMAIL</v>
          </cell>
          <cell r="D67" t="str">
            <v>DRIVER</v>
          </cell>
          <cell r="E67" t="str">
            <v>MILKRUN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 t="str">
            <v>DUSUN TEGAL BUAH RT 003/001 KEL. CIPTAMARGI KEC. CILEBAR KAB. KARAWANG</v>
          </cell>
          <cell r="M67" t="str">
            <v>KARAWANG</v>
          </cell>
          <cell r="N67">
            <v>29037</v>
          </cell>
          <cell r="O67">
            <v>0</v>
          </cell>
          <cell r="P67" t="str">
            <v>ISLAM</v>
          </cell>
          <cell r="Q67">
            <v>0</v>
          </cell>
          <cell r="R67" t="str">
            <v>L</v>
          </cell>
        </row>
        <row r="68">
          <cell r="C68" t="str">
            <v>NURHASAN</v>
          </cell>
          <cell r="D68" t="str">
            <v>DRIVER</v>
          </cell>
          <cell r="E68" t="str">
            <v>MILKRUN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 t="str">
            <v>KP. RAWAJULANG RT 005/002 KEL. MEKARWANGI KEC. CIKARANG BARAT KAB. BEKASI</v>
          </cell>
          <cell r="M68" t="str">
            <v>BEKASI</v>
          </cell>
          <cell r="N68">
            <v>28620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C69" t="str">
            <v>MHD YAKUB</v>
          </cell>
          <cell r="D69" t="str">
            <v>DRIVER</v>
          </cell>
          <cell r="E69" t="str">
            <v>MILKRUN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GEDUNG BATIN RT 001/002 KEL. GEDUNG BATIN KEC. SUNGKAI UTARA KAB. LAMPUNG UTARA</v>
          </cell>
          <cell r="M69" t="str">
            <v>PIDOLI DOLOK</v>
          </cell>
          <cell r="N69">
            <v>35587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C70" t="str">
            <v>MUH SHODIQ</v>
          </cell>
          <cell r="D70" t="str">
            <v>DRIVER</v>
          </cell>
          <cell r="E70" t="str">
            <v>MILKRUN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 t="str">
            <v>KP. SUKAMANTRI RT 004/002 KEL. SUKARAYA KEC. KARANG BAHAGIA KAB. BEKASI</v>
          </cell>
          <cell r="M70" t="str">
            <v>BOYOLALI</v>
          </cell>
          <cell r="N70">
            <v>31326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</sheetData>
      <sheetData sheetId="2">
        <row r="5">
          <cell r="C5" t="str">
            <v>ADE HIDAYAT</v>
          </cell>
          <cell r="D5" t="str">
            <v>DRIVER</v>
          </cell>
          <cell r="E5" t="str">
            <v>REGULER</v>
          </cell>
          <cell r="F5" t="str">
            <v>TTNT - CIBITUNG</v>
          </cell>
          <cell r="G5" t="str">
            <v>085891488954</v>
          </cell>
          <cell r="H5" t="str">
            <v>3431652607</v>
          </cell>
          <cell r="I5" t="str">
            <v>BCA</v>
          </cell>
          <cell r="J5" t="str">
            <v>√</v>
          </cell>
          <cell r="K5">
            <v>0</v>
          </cell>
          <cell r="L5">
            <v>0</v>
          </cell>
          <cell r="M5" t="str">
            <v xml:space="preserve">KP PULOTAPIS RT 006/002 DESA SINDANGSARI KEC CABANGBUNGIN </v>
          </cell>
          <cell r="N5" t="str">
            <v xml:space="preserve">BEKASI </v>
          </cell>
          <cell r="O5">
            <v>30201</v>
          </cell>
          <cell r="P5" t="str">
            <v>SIROD</v>
          </cell>
          <cell r="Q5" t="str">
            <v>ISLAM</v>
          </cell>
          <cell r="R5" t="str">
            <v xml:space="preserve">SLTP </v>
          </cell>
          <cell r="S5" t="str">
            <v>K1</v>
          </cell>
          <cell r="T5" t="str">
            <v xml:space="preserve">PBI APBN </v>
          </cell>
          <cell r="U5" t="str">
            <v>19050882232</v>
          </cell>
          <cell r="V5" t="str">
            <v>3216160709820001</v>
          </cell>
          <cell r="W5" t="str">
            <v>3216160607110003</v>
          </cell>
          <cell r="X5" t="str">
            <v>BII UMUM JABAR</v>
          </cell>
          <cell r="Y5" t="str">
            <v>820913281835</v>
          </cell>
          <cell r="Z5">
            <v>0</v>
          </cell>
          <cell r="AA5" t="str">
            <v>22-12-2020</v>
          </cell>
          <cell r="AB5">
            <v>0</v>
          </cell>
          <cell r="AC5">
            <v>45542</v>
          </cell>
          <cell r="AD5">
            <v>43597</v>
          </cell>
          <cell r="AE5">
            <v>44256</v>
          </cell>
          <cell r="AF5">
            <v>44347</v>
          </cell>
          <cell r="AG5">
            <v>0</v>
          </cell>
          <cell r="AH5">
            <v>0</v>
          </cell>
          <cell r="AI5">
            <v>44043</v>
          </cell>
          <cell r="AJ5">
            <v>0</v>
          </cell>
          <cell r="AK5">
            <v>0</v>
          </cell>
        </row>
        <row r="6">
          <cell r="C6" t="str">
            <v>AGUS SUPRIYADI</v>
          </cell>
          <cell r="D6" t="str">
            <v>DRIVER</v>
          </cell>
          <cell r="E6" t="str">
            <v>ASMO DENSO</v>
          </cell>
          <cell r="F6" t="str">
            <v>TTNT - CIBITUNG</v>
          </cell>
          <cell r="G6" t="str">
            <v>082359528037</v>
          </cell>
          <cell r="H6" t="str">
            <v>2340312506</v>
          </cell>
          <cell r="I6" t="str">
            <v>BCA</v>
          </cell>
          <cell r="J6" t="str">
            <v>√</v>
          </cell>
          <cell r="K6">
            <v>0</v>
          </cell>
          <cell r="L6">
            <v>0</v>
          </cell>
          <cell r="M6" t="str">
            <v>DSN WRINGIN LOR  RT 015/005 DS NGAMPEL KEC PITURUH KAB PURWOREJO</v>
          </cell>
          <cell r="N6" t="str">
            <v>PURWOREJO</v>
          </cell>
          <cell r="O6">
            <v>31239</v>
          </cell>
          <cell r="P6" t="str">
            <v>SUMARNI</v>
          </cell>
          <cell r="Q6" t="str">
            <v>ISLAM</v>
          </cell>
          <cell r="R6" t="str">
            <v>SMP</v>
          </cell>
          <cell r="S6" t="str">
            <v>L</v>
          </cell>
          <cell r="T6" t="str">
            <v>0002393005623</v>
          </cell>
          <cell r="U6" t="str">
            <v>18086989839</v>
          </cell>
          <cell r="V6" t="str">
            <v>3306111107850003</v>
          </cell>
          <cell r="W6" t="str">
            <v>3306111308088069</v>
          </cell>
          <cell r="X6" t="str">
            <v>BI JATENG</v>
          </cell>
          <cell r="Y6" t="str">
            <v>850714550740</v>
          </cell>
          <cell r="Z6">
            <v>0</v>
          </cell>
          <cell r="AA6">
            <v>0</v>
          </cell>
          <cell r="AB6">
            <v>0</v>
          </cell>
          <cell r="AC6">
            <v>44753</v>
          </cell>
          <cell r="AD6">
            <v>43340</v>
          </cell>
          <cell r="AE6">
            <v>44256</v>
          </cell>
          <cell r="AF6">
            <v>44347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C7" t="str">
            <v>AHMAD TATA</v>
          </cell>
          <cell r="D7" t="str">
            <v>DRIVER</v>
          </cell>
          <cell r="E7" t="str">
            <v>REGULER</v>
          </cell>
          <cell r="F7" t="str">
            <v>TTNT - CIBITUNG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>PERUM TRIDAYA INDAH IV ESTATE JL. MENTENG 2 BLO RT 001/011 KEL. TRIDAYA SAKTI KEC. TAMBUN SELATAN KAB. BEKASI</v>
          </cell>
          <cell r="N7" t="str">
            <v>KARAWANG</v>
          </cell>
          <cell r="O7">
            <v>28598</v>
          </cell>
          <cell r="P7">
            <v>0</v>
          </cell>
          <cell r="Q7" t="str">
            <v>ISLAM</v>
          </cell>
          <cell r="R7" t="str">
            <v>SMP</v>
          </cell>
          <cell r="S7">
            <v>0</v>
          </cell>
          <cell r="T7" t="str">
            <v>0001166369837</v>
          </cell>
          <cell r="U7" t="str">
            <v>21025507498</v>
          </cell>
          <cell r="V7" t="str">
            <v>3172041804780018</v>
          </cell>
          <cell r="W7">
            <v>0</v>
          </cell>
          <cell r="X7" t="str">
            <v>BI UMUM</v>
          </cell>
          <cell r="Y7" t="str">
            <v>12207804000290</v>
          </cell>
          <cell r="Z7">
            <v>0</v>
          </cell>
          <cell r="AA7">
            <v>0</v>
          </cell>
          <cell r="AB7">
            <v>44583</v>
          </cell>
          <cell r="AC7">
            <v>45880</v>
          </cell>
          <cell r="AD7">
            <v>44256</v>
          </cell>
          <cell r="AE7">
            <v>44256</v>
          </cell>
          <cell r="AF7">
            <v>44347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</row>
        <row r="8">
          <cell r="C8" t="str">
            <v>ANDI WARDANI</v>
          </cell>
          <cell r="D8" t="str">
            <v>DRIVER</v>
          </cell>
          <cell r="E8" t="str">
            <v>IGP, AGI PULOGADUNG</v>
          </cell>
          <cell r="F8" t="str">
            <v>TTNT - CIBITUNG</v>
          </cell>
          <cell r="G8" t="str">
            <v>083840963425</v>
          </cell>
          <cell r="H8" t="str">
            <v>2340317737</v>
          </cell>
          <cell r="I8" t="str">
            <v>BCA</v>
          </cell>
          <cell r="J8" t="str">
            <v>√</v>
          </cell>
          <cell r="K8">
            <v>0</v>
          </cell>
          <cell r="L8">
            <v>0</v>
          </cell>
          <cell r="M8" t="str">
            <v>DSN WRINGIN LOR  RT 015/005 DS NGAMPEL KEC PITURUH KAB PURWOREJO</v>
          </cell>
          <cell r="N8" t="str">
            <v>KEBUMEN</v>
          </cell>
          <cell r="O8">
            <v>33525</v>
          </cell>
          <cell r="P8" t="str">
            <v>WARTINI</v>
          </cell>
          <cell r="Q8" t="str">
            <v>ISLAM</v>
          </cell>
          <cell r="R8" t="str">
            <v>SMP</v>
          </cell>
          <cell r="S8" t="str">
            <v>L</v>
          </cell>
          <cell r="T8" t="str">
            <v>0002393005645</v>
          </cell>
          <cell r="U8" t="str">
            <v>18086989813</v>
          </cell>
          <cell r="V8" t="str">
            <v>3306111410910002</v>
          </cell>
          <cell r="W8" t="str">
            <v>3306111308088082</v>
          </cell>
          <cell r="X8" t="str">
            <v>BI UMUM JATENG</v>
          </cell>
          <cell r="Y8" t="str">
            <v>911014550449</v>
          </cell>
          <cell r="Z8" t="str">
            <v>23-11-2019</v>
          </cell>
          <cell r="AA8">
            <v>0</v>
          </cell>
          <cell r="AB8">
            <v>0</v>
          </cell>
          <cell r="AC8">
            <v>44118</v>
          </cell>
          <cell r="AD8">
            <v>43340</v>
          </cell>
          <cell r="AE8">
            <v>44287</v>
          </cell>
          <cell r="AF8">
            <v>44469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</row>
        <row r="9">
          <cell r="C9" t="str">
            <v>BUDI YANTO</v>
          </cell>
          <cell r="D9" t="str">
            <v>DRIVER</v>
          </cell>
          <cell r="E9" t="str">
            <v>REGULER</v>
          </cell>
          <cell r="F9" t="str">
            <v>TTNT - CIBITUNG</v>
          </cell>
          <cell r="G9" t="str">
            <v>085887217767</v>
          </cell>
          <cell r="H9" t="str">
            <v>5745329885</v>
          </cell>
          <cell r="I9" t="str">
            <v>BCA</v>
          </cell>
          <cell r="J9" t="str">
            <v>√</v>
          </cell>
          <cell r="K9">
            <v>0</v>
          </cell>
          <cell r="L9">
            <v>0</v>
          </cell>
          <cell r="M9" t="str">
            <v>DSN KRAJAN RT 001/001 DS CIBADAK KEC RAWAMERTA KAB KARAWANG</v>
          </cell>
          <cell r="N9" t="str">
            <v>KARAWANG</v>
          </cell>
          <cell r="O9">
            <v>30307</v>
          </cell>
          <cell r="P9">
            <v>0</v>
          </cell>
          <cell r="Q9" t="str">
            <v>ISLAM</v>
          </cell>
          <cell r="R9" t="str">
            <v>STM</v>
          </cell>
          <cell r="S9" t="str">
            <v>K</v>
          </cell>
          <cell r="T9" t="str">
            <v>0002763271708</v>
          </cell>
          <cell r="U9" t="str">
            <v>19045085636</v>
          </cell>
          <cell r="V9" t="str">
            <v>3215012212820006</v>
          </cell>
          <cell r="W9">
            <v>0</v>
          </cell>
          <cell r="X9" t="str">
            <v>BII UMUM LAMPUNG</v>
          </cell>
          <cell r="Y9" t="str">
            <v>75102570691</v>
          </cell>
          <cell r="Z9">
            <v>0</v>
          </cell>
          <cell r="AA9">
            <v>0</v>
          </cell>
          <cell r="AB9">
            <v>0</v>
          </cell>
          <cell r="AC9">
            <v>45574</v>
          </cell>
          <cell r="AD9">
            <v>44075</v>
          </cell>
          <cell r="AE9">
            <v>44256</v>
          </cell>
          <cell r="AF9">
            <v>44347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C10" t="str">
            <v>DANI SAMBAS</v>
          </cell>
          <cell r="D10" t="str">
            <v>DRIVER</v>
          </cell>
          <cell r="E10" t="str">
            <v>FUJI SEAT</v>
          </cell>
          <cell r="F10" t="str">
            <v>TTNT - CIBITUNG</v>
          </cell>
          <cell r="G10" t="str">
            <v>081321384002</v>
          </cell>
          <cell r="H10" t="str">
            <v>5221462352</v>
          </cell>
          <cell r="I10" t="str">
            <v>BCA</v>
          </cell>
          <cell r="J10" t="str">
            <v>√</v>
          </cell>
          <cell r="K10" t="str">
            <v>082116822202</v>
          </cell>
          <cell r="L10" t="str">
            <v>DEWI / ISTRI</v>
          </cell>
          <cell r="M10" t="str">
            <v>KP IRIGASI RT 002/021 DS LEBAKMUNCANG KEC CIWIDEY KAB ANDUNG</v>
          </cell>
          <cell r="N10" t="str">
            <v>BANDUNG</v>
          </cell>
          <cell r="O10">
            <v>32637</v>
          </cell>
          <cell r="P10" t="str">
            <v>ANI</v>
          </cell>
          <cell r="Q10" t="str">
            <v>ISLAM</v>
          </cell>
          <cell r="R10" t="str">
            <v>SLTP</v>
          </cell>
          <cell r="S10" t="str">
            <v>K/2</v>
          </cell>
          <cell r="T10" t="str">
            <v>0002318172118</v>
          </cell>
          <cell r="U10" t="str">
            <v>19011752805</v>
          </cell>
          <cell r="V10" t="str">
            <v>3204390905890002</v>
          </cell>
          <cell r="W10" t="str">
            <v>3204390610120082</v>
          </cell>
          <cell r="X10" t="str">
            <v>BII UMUM</v>
          </cell>
          <cell r="Y10" t="str">
            <v>890513281493</v>
          </cell>
          <cell r="Z10">
            <v>0</v>
          </cell>
          <cell r="AA10">
            <v>0</v>
          </cell>
          <cell r="AB10">
            <v>0</v>
          </cell>
          <cell r="AC10">
            <v>45055</v>
          </cell>
          <cell r="AD10">
            <v>43440</v>
          </cell>
          <cell r="AE10">
            <v>44287</v>
          </cell>
          <cell r="AF10">
            <v>44469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C11" t="str">
            <v>DEDI MAULANA</v>
          </cell>
          <cell r="D11" t="str">
            <v>DRIVER</v>
          </cell>
          <cell r="E11" t="str">
            <v>REGULER</v>
          </cell>
          <cell r="F11" t="str">
            <v>TTNT - CIBITUNG</v>
          </cell>
          <cell r="G11" t="str">
            <v>089678667356</v>
          </cell>
          <cell r="H11" t="str">
            <v>1091946781</v>
          </cell>
          <cell r="I11" t="str">
            <v>bca</v>
          </cell>
          <cell r="J11" t="str">
            <v>√</v>
          </cell>
          <cell r="K11" t="str">
            <v>08986206968</v>
          </cell>
          <cell r="L11" t="str">
            <v>KAKA IPAR</v>
          </cell>
          <cell r="M11" t="str">
            <v>KP. KARAMAT RT 019/008 DS KEDUNGWARINGIN KEC KEDUNGWARINGIN</v>
          </cell>
          <cell r="N11" t="str">
            <v>BEKASI</v>
          </cell>
          <cell r="O11">
            <v>33502</v>
          </cell>
          <cell r="P11" t="str">
            <v>WARSIH</v>
          </cell>
          <cell r="Q11" t="str">
            <v>ISLAM</v>
          </cell>
          <cell r="R11" t="str">
            <v>SMA</v>
          </cell>
          <cell r="S11" t="str">
            <v>K1</v>
          </cell>
          <cell r="T11" t="str">
            <v>0001448457052</v>
          </cell>
          <cell r="U11" t="str">
            <v>19041353293</v>
          </cell>
          <cell r="V11" t="str">
            <v>3216122109910001</v>
          </cell>
          <cell r="W11">
            <v>0</v>
          </cell>
          <cell r="X11" t="str">
            <v>BI UMUM METROJAYA</v>
          </cell>
          <cell r="Y11" t="str">
            <v>91091205974475</v>
          </cell>
          <cell r="Z11">
            <v>0</v>
          </cell>
          <cell r="AA11">
            <v>0</v>
          </cell>
          <cell r="AB11">
            <v>0</v>
          </cell>
          <cell r="AC11">
            <v>45190</v>
          </cell>
          <cell r="AD11">
            <v>43481</v>
          </cell>
          <cell r="AE11">
            <v>44287</v>
          </cell>
          <cell r="AF11">
            <v>44469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C12" t="str">
            <v>DWI HARYANTO</v>
          </cell>
          <cell r="D12" t="str">
            <v>DRIVER</v>
          </cell>
          <cell r="E12" t="str">
            <v>NISSEN - SUZUKI</v>
          </cell>
          <cell r="F12" t="str">
            <v>TPIN - KRW</v>
          </cell>
          <cell r="G12" t="str">
            <v>087841136750</v>
          </cell>
          <cell r="H12">
            <v>0</v>
          </cell>
          <cell r="I12">
            <v>0</v>
          </cell>
          <cell r="J12" t="str">
            <v>√</v>
          </cell>
          <cell r="K12" t="str">
            <v>089654724006</v>
          </cell>
          <cell r="L12" t="str">
            <v>FARIS/SDR</v>
          </cell>
          <cell r="M12" t="str">
            <v>TIGA RAKSA TAMAN KIRANA SURYA BLOK H20/12 RT 001/02 PASANGGRAHAN TANGERANG BANTEN/ JABABEKA II</v>
          </cell>
          <cell r="N12" t="str">
            <v>BREBES</v>
          </cell>
          <cell r="O12">
            <v>33643</v>
          </cell>
          <cell r="P12" t="str">
            <v>MASIAH</v>
          </cell>
          <cell r="Q12" t="str">
            <v>ISLAM</v>
          </cell>
          <cell r="R12" t="str">
            <v>SMK</v>
          </cell>
          <cell r="S12" t="str">
            <v>L</v>
          </cell>
          <cell r="T12" t="str">
            <v>0002078185792</v>
          </cell>
          <cell r="U12" t="str">
            <v>19045085644</v>
          </cell>
          <cell r="V12" t="str">
            <v>3603310902920003</v>
          </cell>
          <cell r="W12">
            <v>0</v>
          </cell>
          <cell r="X12" t="str">
            <v>BII UMUM BANTEN</v>
          </cell>
          <cell r="Y12" t="str">
            <v>920213480989</v>
          </cell>
          <cell r="Z12">
            <v>0</v>
          </cell>
          <cell r="AA12">
            <v>0</v>
          </cell>
          <cell r="AB12">
            <v>0</v>
          </cell>
          <cell r="AC12">
            <v>44601</v>
          </cell>
          <cell r="AD12">
            <v>44013</v>
          </cell>
          <cell r="AE12">
            <v>44287</v>
          </cell>
          <cell r="AF12">
            <v>44469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</row>
        <row r="13">
          <cell r="C13" t="str">
            <v>FATHUROHMAN</v>
          </cell>
          <cell r="D13" t="str">
            <v>DRIVER</v>
          </cell>
          <cell r="E13" t="str">
            <v>JTEKT -SUZUKI TBN</v>
          </cell>
          <cell r="F13" t="str">
            <v>TPIN - KRW</v>
          </cell>
          <cell r="G13" t="str">
            <v>085781326605</v>
          </cell>
          <cell r="H13">
            <v>0</v>
          </cell>
          <cell r="I13">
            <v>0</v>
          </cell>
          <cell r="J13" t="str">
            <v>√</v>
          </cell>
          <cell r="K13">
            <v>0</v>
          </cell>
          <cell r="L13">
            <v>0</v>
          </cell>
          <cell r="M13" t="str">
            <v>DESA ARGOPENI RT 03/01  KECAMATAN KEBUMEN</v>
          </cell>
          <cell r="N13" t="str">
            <v>KEBUMEN</v>
          </cell>
          <cell r="O13">
            <v>31984</v>
          </cell>
          <cell r="P13">
            <v>0</v>
          </cell>
          <cell r="Q13" t="str">
            <v>ISLAM</v>
          </cell>
          <cell r="R13" t="str">
            <v>SMA</v>
          </cell>
          <cell r="S13">
            <v>0</v>
          </cell>
          <cell r="T13" t="str">
            <v>0001700487696 PBI</v>
          </cell>
          <cell r="U13" t="str">
            <v>21004399925</v>
          </cell>
          <cell r="V13" t="str">
            <v>3305122607870004</v>
          </cell>
          <cell r="W13">
            <v>0</v>
          </cell>
          <cell r="X13" t="str">
            <v>BII UMUM</v>
          </cell>
          <cell r="Y13" t="str">
            <v>13288707000109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44147</v>
          </cell>
          <cell r="AE13">
            <v>44317</v>
          </cell>
          <cell r="AF13">
            <v>44408</v>
          </cell>
          <cell r="AG13">
            <v>44409</v>
          </cell>
          <cell r="AH13">
            <v>44500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C14" t="str">
            <v>HENDRIK PURNAMA</v>
          </cell>
          <cell r="D14" t="str">
            <v>DRIVER</v>
          </cell>
          <cell r="E14" t="str">
            <v>JTEKT -SUZUKI TBN</v>
          </cell>
          <cell r="F14" t="str">
            <v>TPIN - KRW</v>
          </cell>
          <cell r="G14" t="str">
            <v>081213982116</v>
          </cell>
          <cell r="H14">
            <v>0</v>
          </cell>
          <cell r="I14">
            <v>0</v>
          </cell>
          <cell r="J14" t="str">
            <v>√</v>
          </cell>
          <cell r="K14">
            <v>0</v>
          </cell>
          <cell r="L14">
            <v>0</v>
          </cell>
          <cell r="M14" t="str">
            <v xml:space="preserve">DUSUN NEGLASARI RT 016/005 DESA LEMAH DUHUR KEC TEMPURAN KAB KARAWANG </v>
          </cell>
          <cell r="N14" t="str">
            <v xml:space="preserve">KARAWANG </v>
          </cell>
          <cell r="O14">
            <v>31471</v>
          </cell>
          <cell r="P14">
            <v>0</v>
          </cell>
          <cell r="Q14" t="str">
            <v>ISLAM</v>
          </cell>
          <cell r="R14" t="str">
            <v>SMP</v>
          </cell>
          <cell r="S14" t="str">
            <v>K2</v>
          </cell>
          <cell r="T14" t="str">
            <v>0001323830057</v>
          </cell>
          <cell r="U14" t="str">
            <v>20082215482</v>
          </cell>
          <cell r="V14" t="str">
            <v>3215202806860002</v>
          </cell>
          <cell r="W14">
            <v>0</v>
          </cell>
          <cell r="X14" t="str">
            <v>BII UMUM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44105</v>
          </cell>
          <cell r="AE14">
            <v>44287</v>
          </cell>
          <cell r="AF14">
            <v>44469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C15" t="str">
            <v>MUHAMMAD FIKRI ALFIANSYAH</v>
          </cell>
          <cell r="D15" t="str">
            <v>DRIVER</v>
          </cell>
          <cell r="E15" t="str">
            <v>ADM KAP</v>
          </cell>
          <cell r="F15" t="str">
            <v>TTNT - CIBITUNG</v>
          </cell>
          <cell r="G15" t="str">
            <v>082211086409/089651795496</v>
          </cell>
          <cell r="H15">
            <v>0</v>
          </cell>
          <cell r="I15">
            <v>0</v>
          </cell>
          <cell r="J15">
            <v>0</v>
          </cell>
          <cell r="K15" t="str">
            <v>08119205829</v>
          </cell>
          <cell r="L15" t="str">
            <v xml:space="preserve">ORG TUA </v>
          </cell>
          <cell r="M15" t="str">
            <v>PONDOK UNGU PERMAI BLOK HH 7/9 RT 003/023 KALIABANG TENGAH BEKASI UTARA</v>
          </cell>
          <cell r="N15" t="str">
            <v>BEKASI</v>
          </cell>
          <cell r="O15">
            <v>34337</v>
          </cell>
          <cell r="P15" t="str">
            <v>FANANI INDRAYATI</v>
          </cell>
          <cell r="Q15" t="str">
            <v>ISLAM</v>
          </cell>
          <cell r="R15" t="str">
            <v>SMK</v>
          </cell>
          <cell r="S15" t="str">
            <v>L</v>
          </cell>
          <cell r="T15" t="str">
            <v>0002306898448</v>
          </cell>
          <cell r="U15" t="str">
            <v>19050882240</v>
          </cell>
          <cell r="V15" t="str">
            <v>3275030301940027</v>
          </cell>
          <cell r="W15">
            <v>0</v>
          </cell>
          <cell r="X15" t="str">
            <v>BI UMUM METROJAYA</v>
          </cell>
          <cell r="Y15" t="str">
            <v>9501122001619</v>
          </cell>
          <cell r="Z15">
            <v>0</v>
          </cell>
          <cell r="AA15">
            <v>0</v>
          </cell>
          <cell r="AB15">
            <v>0</v>
          </cell>
          <cell r="AC15">
            <v>45322</v>
          </cell>
          <cell r="AD15">
            <v>44075</v>
          </cell>
          <cell r="AE15">
            <v>44256</v>
          </cell>
          <cell r="AF15">
            <v>44347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C16" t="str">
            <v xml:space="preserve">MUHAMMAD MUHTADI </v>
          </cell>
          <cell r="D16" t="str">
            <v>DRIVER</v>
          </cell>
          <cell r="E16" t="str">
            <v>TPIN-ADM SUNTER</v>
          </cell>
          <cell r="F16" t="str">
            <v>TPIN - KRW</v>
          </cell>
          <cell r="G16" t="str">
            <v>087730005866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 xml:space="preserve">DS DEMANGHARJO RT 004/002 KEC WARUREJA KEAB TEGAL </v>
          </cell>
          <cell r="N16" t="str">
            <v xml:space="preserve">BREBES </v>
          </cell>
          <cell r="O16">
            <v>34028</v>
          </cell>
          <cell r="P16">
            <v>0</v>
          </cell>
          <cell r="Q16" t="str">
            <v>ISLAM</v>
          </cell>
          <cell r="R16">
            <v>0</v>
          </cell>
          <cell r="S16" t="str">
            <v>K</v>
          </cell>
          <cell r="T16" t="str">
            <v xml:space="preserve">PBI APBN </v>
          </cell>
          <cell r="U16" t="str">
            <v>20071957151</v>
          </cell>
          <cell r="V16" t="str">
            <v>3329062802930002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44075</v>
          </cell>
          <cell r="AE16">
            <v>44256</v>
          </cell>
          <cell r="AF16">
            <v>44347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C17" t="str">
            <v>SUHENDRA</v>
          </cell>
          <cell r="D17" t="str">
            <v>DRIVER</v>
          </cell>
          <cell r="E17" t="str">
            <v>DCCI-STEP</v>
          </cell>
          <cell r="F17" t="str">
            <v>TTNT - CIBITUNG</v>
          </cell>
          <cell r="G17" t="str">
            <v>085775457881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KP. CEGER RT 002/003 SUKAJAYA BEKASI</v>
          </cell>
          <cell r="N17" t="str">
            <v>BEKASI</v>
          </cell>
          <cell r="O17">
            <v>30060</v>
          </cell>
          <cell r="P17">
            <v>0</v>
          </cell>
          <cell r="Q17" t="str">
            <v xml:space="preserve">ISLAM </v>
          </cell>
          <cell r="R17" t="str">
            <v xml:space="preserve">SMP </v>
          </cell>
          <cell r="S17" t="str">
            <v>K2</v>
          </cell>
          <cell r="T17" t="str">
            <v>0001742497413</v>
          </cell>
          <cell r="U17" t="str">
            <v>20062338411</v>
          </cell>
          <cell r="V17" t="str">
            <v>3216071904820006</v>
          </cell>
          <cell r="W17">
            <v>0</v>
          </cell>
          <cell r="X17" t="str">
            <v>BI UMUM METROJAYA</v>
          </cell>
          <cell r="Y17" t="str">
            <v>82041205970237</v>
          </cell>
          <cell r="Z17">
            <v>0</v>
          </cell>
          <cell r="AA17">
            <v>0</v>
          </cell>
          <cell r="AB17">
            <v>0</v>
          </cell>
          <cell r="AC17">
            <v>45035</v>
          </cell>
          <cell r="AD17">
            <v>44046</v>
          </cell>
          <cell r="AE17">
            <v>44287</v>
          </cell>
          <cell r="AF17">
            <v>44469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C18" t="str">
            <v xml:space="preserve">SUPIYARTO </v>
          </cell>
          <cell r="D18" t="str">
            <v>DRIVER</v>
          </cell>
          <cell r="E18" t="str">
            <v>REGULER</v>
          </cell>
          <cell r="F18" t="str">
            <v>TTNT - CIBITUNG</v>
          </cell>
          <cell r="G18" t="str">
            <v>081212954813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>MEKARSARI BARAT RT 002/017 DS MEKARSARI KEC TAMBUN SELATAN BEKASI</v>
          </cell>
          <cell r="N18" t="str">
            <v>BEKASI</v>
          </cell>
          <cell r="O18">
            <v>29215</v>
          </cell>
          <cell r="P18">
            <v>0</v>
          </cell>
          <cell r="Q18" t="str">
            <v>ISLAM</v>
          </cell>
          <cell r="R18">
            <v>0</v>
          </cell>
          <cell r="S18" t="str">
            <v>K</v>
          </cell>
          <cell r="T18" t="str">
            <v>0001637934221</v>
          </cell>
          <cell r="U18" t="str">
            <v>20062338445</v>
          </cell>
          <cell r="V18" t="str">
            <v>3216062612790016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44053</v>
          </cell>
          <cell r="AE18">
            <v>44317</v>
          </cell>
          <cell r="AF18">
            <v>44408</v>
          </cell>
          <cell r="AG18">
            <v>44409</v>
          </cell>
          <cell r="AH18">
            <v>44500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</row>
        <row r="19">
          <cell r="C19" t="str">
            <v>SYAMSUL MUHARAM</v>
          </cell>
          <cell r="D19" t="str">
            <v>DRIVER</v>
          </cell>
          <cell r="E19" t="str">
            <v>REGULER</v>
          </cell>
          <cell r="F19" t="str">
            <v>TTNT - CIBITUNG</v>
          </cell>
          <cell r="G19" t="str">
            <v>081528656975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>JL. YON ARMED 07 BANTARGEBANG RT 003/006 DS. CIKIWUL KEC. BANTARGEBANG KOTA BEKASI</v>
          </cell>
          <cell r="N19" t="str">
            <v>BANDUNG</v>
          </cell>
          <cell r="O19">
            <v>33451</v>
          </cell>
          <cell r="P19">
            <v>0</v>
          </cell>
          <cell r="Q19" t="str">
            <v>ISLAM</v>
          </cell>
          <cell r="R19" t="str">
            <v>SMA</v>
          </cell>
          <cell r="S19" t="str">
            <v>K1</v>
          </cell>
          <cell r="T19" t="str">
            <v>0002427052127</v>
          </cell>
          <cell r="U19" t="str">
            <v>21017941119</v>
          </cell>
          <cell r="V19" t="str">
            <v>3273030108910001</v>
          </cell>
          <cell r="W19" t="str">
            <v>3275072112170010</v>
          </cell>
          <cell r="X19" t="str">
            <v>BII UMUM</v>
          </cell>
          <cell r="Y19" t="str">
            <v>900813058709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44228</v>
          </cell>
          <cell r="AE19">
            <v>44317</v>
          </cell>
          <cell r="AF19">
            <v>44408</v>
          </cell>
          <cell r="AG19">
            <v>44409</v>
          </cell>
          <cell r="AH19">
            <v>44500</v>
          </cell>
          <cell r="AI19">
            <v>0</v>
          </cell>
          <cell r="AJ19">
            <v>0</v>
          </cell>
          <cell r="AK19">
            <v>0</v>
          </cell>
        </row>
        <row r="20">
          <cell r="C20" t="str">
            <v>WAKHIDIN</v>
          </cell>
          <cell r="D20" t="str">
            <v>DRIVER</v>
          </cell>
          <cell r="E20" t="str">
            <v>REGULER</v>
          </cell>
          <cell r="F20" t="str">
            <v>TTNT - CIBITUNG</v>
          </cell>
          <cell r="G20" t="str">
            <v>081212820162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NGAMPEL RT 005/002 DS NGAMPEL KEC PITURUH KAB PURWOREJO</v>
          </cell>
          <cell r="N20" t="str">
            <v>PURWOREJO</v>
          </cell>
          <cell r="O20">
            <v>33957</v>
          </cell>
          <cell r="P20">
            <v>0</v>
          </cell>
          <cell r="Q20" t="str">
            <v>ISLAM</v>
          </cell>
          <cell r="R20">
            <v>0</v>
          </cell>
          <cell r="S20">
            <v>0</v>
          </cell>
          <cell r="T20" t="str">
            <v>0000544523894</v>
          </cell>
          <cell r="U20" t="str">
            <v>21004399982</v>
          </cell>
          <cell r="V20" t="str">
            <v>3306111912920001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44172</v>
          </cell>
          <cell r="AE20">
            <v>44256</v>
          </cell>
          <cell r="AF20">
            <v>44347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</row>
        <row r="21">
          <cell r="C21" t="str">
            <v>WAWAN GUNAWAN</v>
          </cell>
          <cell r="D21" t="str">
            <v>DRIVER</v>
          </cell>
          <cell r="E21" t="str">
            <v>TPIN-SUGITY</v>
          </cell>
          <cell r="F21" t="str">
            <v>TPIN - KRW</v>
          </cell>
          <cell r="G21" t="str">
            <v>085887694850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>RAWAGABUS POST RT 001/008 KEL ADIARSA TIMUR KEC KARAWANG TIMUR KAB KARAWANG</v>
          </cell>
          <cell r="N21" t="str">
            <v>KARAWANG</v>
          </cell>
          <cell r="O21">
            <v>31567</v>
          </cell>
          <cell r="P21">
            <v>0</v>
          </cell>
          <cell r="Q21" t="str">
            <v xml:space="preserve">ISLAM </v>
          </cell>
          <cell r="R21" t="str">
            <v xml:space="preserve">SLTA </v>
          </cell>
          <cell r="S21" t="str">
            <v>K</v>
          </cell>
          <cell r="T21" t="str">
            <v>PBI APBD AKTIF</v>
          </cell>
          <cell r="U21" t="str">
            <v>19097926810</v>
          </cell>
          <cell r="V21" t="str">
            <v>3215260406860001</v>
          </cell>
          <cell r="W21">
            <v>0</v>
          </cell>
          <cell r="X21" t="str">
            <v>BI UMUM JABAR</v>
          </cell>
          <cell r="Y21" t="str">
            <v>860613281894</v>
          </cell>
          <cell r="Z21">
            <v>0</v>
          </cell>
          <cell r="AA21">
            <v>0</v>
          </cell>
          <cell r="AB21">
            <v>0</v>
          </cell>
          <cell r="AC21">
            <v>45447</v>
          </cell>
          <cell r="AD21">
            <v>44053</v>
          </cell>
          <cell r="AE21">
            <v>44287</v>
          </cell>
          <cell r="AF21">
            <v>44469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C22" t="str">
            <v>AHMAD KUSAERI</v>
          </cell>
          <cell r="D22" t="str">
            <v>DRIVER</v>
          </cell>
          <cell r="E22" t="str">
            <v>NISSEN - SUZUKI</v>
          </cell>
          <cell r="F22" t="str">
            <v>TPIN - KRW</v>
          </cell>
          <cell r="G22" t="str">
            <v>085691795200</v>
          </cell>
          <cell r="H22" t="str">
            <v>5765108885</v>
          </cell>
          <cell r="I22" t="str">
            <v>BCA</v>
          </cell>
          <cell r="J22">
            <v>0</v>
          </cell>
          <cell r="K22">
            <v>0</v>
          </cell>
          <cell r="L22">
            <v>0</v>
          </cell>
          <cell r="M22" t="str">
            <v>DUSUN RAWAMACAN RT 006/002 KEL. KUTARAJA KEC. KUTAWALUYA KAB. KARAWNG</v>
          </cell>
          <cell r="N22" t="str">
            <v>KARAWANG</v>
          </cell>
          <cell r="O22">
            <v>32279</v>
          </cell>
          <cell r="P22" t="str">
            <v>YUNAENI</v>
          </cell>
          <cell r="Q22" t="str">
            <v>ISLAM</v>
          </cell>
          <cell r="R22" t="str">
            <v>SMA</v>
          </cell>
          <cell r="S22" t="str">
            <v>K</v>
          </cell>
          <cell r="T22" t="str">
            <v>0002104100267 PBI</v>
          </cell>
          <cell r="U22" t="str">
            <v>21025507449</v>
          </cell>
          <cell r="V22" t="str">
            <v>3215101605980001</v>
          </cell>
          <cell r="W22" t="str">
            <v>3215070706200004</v>
          </cell>
          <cell r="X22" t="str">
            <v>BI UMUM</v>
          </cell>
          <cell r="Y22" t="str">
            <v>980513280395</v>
          </cell>
          <cell r="Z22">
            <v>0</v>
          </cell>
          <cell r="AA22">
            <v>0</v>
          </cell>
          <cell r="AB22" t="str">
            <v>82466-OPK3-LT/PAA/I/2017</v>
          </cell>
          <cell r="AC22">
            <v>45428</v>
          </cell>
          <cell r="AD22">
            <v>44305</v>
          </cell>
          <cell r="AE22">
            <v>44305</v>
          </cell>
          <cell r="AF22">
            <v>44408</v>
          </cell>
          <cell r="AG22">
            <v>44409</v>
          </cell>
          <cell r="AH22">
            <v>44500</v>
          </cell>
          <cell r="AI22">
            <v>0</v>
          </cell>
          <cell r="AJ22">
            <v>0</v>
          </cell>
          <cell r="AK22">
            <v>0</v>
          </cell>
        </row>
        <row r="23">
          <cell r="C23" t="str">
            <v>ADE KURNIADI</v>
          </cell>
          <cell r="D23" t="str">
            <v>DRIVER</v>
          </cell>
          <cell r="E23" t="str">
            <v>IGP, AGI PULOGADUNG</v>
          </cell>
          <cell r="F23" t="str">
            <v>IGP, AGI PULOGADUNG</v>
          </cell>
          <cell r="G23" t="str">
            <v>082316553655</v>
          </cell>
          <cell r="H23">
            <v>0</v>
          </cell>
          <cell r="I23">
            <v>0</v>
          </cell>
          <cell r="J23" t="str">
            <v>√</v>
          </cell>
          <cell r="K23">
            <v>0</v>
          </cell>
          <cell r="L23">
            <v>0</v>
          </cell>
          <cell r="M23" t="str">
            <v>DSN SUKAJAYA RT 003/005 DS PAMANUKAN KEC PAMANUKAN KAB SUBANG</v>
          </cell>
          <cell r="N23" t="str">
            <v>JAKARTA</v>
          </cell>
          <cell r="O23">
            <v>30438</v>
          </cell>
          <cell r="P23" t="str">
            <v>FATIMAH</v>
          </cell>
          <cell r="Q23" t="str">
            <v>ISLAM</v>
          </cell>
          <cell r="R23" t="str">
            <v>SMA</v>
          </cell>
          <cell r="S23" t="str">
            <v>K1</v>
          </cell>
          <cell r="T23" t="str">
            <v>0002393005691</v>
          </cell>
          <cell r="U23" t="str">
            <v>18086989797</v>
          </cell>
          <cell r="V23" t="str">
            <v>3213110205830002</v>
          </cell>
          <cell r="W23" t="str">
            <v>3213110106120022</v>
          </cell>
          <cell r="X23" t="str">
            <v>BII UMUM JABAR</v>
          </cell>
          <cell r="Y23" t="str">
            <v>830513300928</v>
          </cell>
          <cell r="Z23">
            <v>0</v>
          </cell>
          <cell r="AA23">
            <v>0</v>
          </cell>
          <cell r="AB23">
            <v>0</v>
          </cell>
          <cell r="AC23">
            <v>44683</v>
          </cell>
          <cell r="AD23">
            <v>44375</v>
          </cell>
          <cell r="AE23">
            <v>44375</v>
          </cell>
          <cell r="AF23">
            <v>44469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</row>
        <row r="26">
          <cell r="C26" t="str">
            <v>MUHAMAD ILYAS</v>
          </cell>
          <cell r="D26" t="str">
            <v>DRIVER</v>
          </cell>
          <cell r="E26" t="str">
            <v>JITEKT-AUTOTEK</v>
          </cell>
          <cell r="F26" t="str">
            <v>TTNT - KRW</v>
          </cell>
          <cell r="G26" t="str">
            <v>085777039476</v>
          </cell>
          <cell r="H26" t="str">
            <v>6785066824</v>
          </cell>
          <cell r="I26" t="str">
            <v>BCA</v>
          </cell>
          <cell r="J26">
            <v>0</v>
          </cell>
          <cell r="K26">
            <v>0</v>
          </cell>
          <cell r="L26">
            <v>0</v>
          </cell>
          <cell r="M26" t="str">
            <v>DSN RANGDU II RT 009/004 DS RANGDUMULYA KEC PEDES KAB KARAWANG</v>
          </cell>
          <cell r="N26" t="str">
            <v>KARAWANG</v>
          </cell>
          <cell r="O26">
            <v>34558</v>
          </cell>
          <cell r="P26" t="str">
            <v>RATNA</v>
          </cell>
          <cell r="Q26" t="str">
            <v>ISLAM</v>
          </cell>
          <cell r="R26" t="str">
            <v>SMA</v>
          </cell>
          <cell r="S26" t="str">
            <v>L</v>
          </cell>
          <cell r="T26" t="str">
            <v>0001905029897</v>
          </cell>
          <cell r="U26" t="str">
            <v xml:space="preserve">18086989896 </v>
          </cell>
          <cell r="V26" t="str">
            <v>3215101208940003</v>
          </cell>
          <cell r="W26">
            <v>0</v>
          </cell>
          <cell r="X26" t="str">
            <v>BII UMUM JABAR</v>
          </cell>
          <cell r="Y26" t="str">
            <v>940813280841</v>
          </cell>
          <cell r="Z26">
            <v>0</v>
          </cell>
          <cell r="AA26">
            <v>0</v>
          </cell>
          <cell r="AB26">
            <v>0</v>
          </cell>
          <cell r="AC26">
            <v>44785</v>
          </cell>
          <cell r="AD26">
            <v>43340</v>
          </cell>
          <cell r="AE26">
            <v>44256</v>
          </cell>
          <cell r="AF26">
            <v>44347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</row>
        <row r="27">
          <cell r="C27" t="str">
            <v>ANDRI YANTO</v>
          </cell>
          <cell r="D27" t="str">
            <v>DRIVER</v>
          </cell>
          <cell r="E27" t="str">
            <v>FJS-04</v>
          </cell>
          <cell r="F27" t="str">
            <v>TTNT - KRW</v>
          </cell>
          <cell r="G27" t="str">
            <v>0895400508580</v>
          </cell>
          <cell r="H27" t="str">
            <v>2310305271</v>
          </cell>
          <cell r="I27" t="str">
            <v>BCA</v>
          </cell>
          <cell r="J27" t="str">
            <v>√</v>
          </cell>
          <cell r="K27" t="str">
            <v>08996264332</v>
          </cell>
          <cell r="L27" t="str">
            <v>APRILIAN SAEFUDIN</v>
          </cell>
          <cell r="M27" t="str">
            <v>KP. PANGUPAKAN RT 07/02 KEL MUNJUL JAYA KEC PURWAKARTA</v>
          </cell>
          <cell r="N27" t="str">
            <v>PURWAKARTA</v>
          </cell>
          <cell r="O27">
            <v>32738</v>
          </cell>
          <cell r="P27">
            <v>0</v>
          </cell>
          <cell r="Q27" t="str">
            <v xml:space="preserve">ISLAM </v>
          </cell>
          <cell r="R27" t="str">
            <v xml:space="preserve">SMK </v>
          </cell>
          <cell r="S27" t="str">
            <v>K</v>
          </cell>
          <cell r="T27" t="str">
            <v>0002398339596</v>
          </cell>
          <cell r="U27" t="str">
            <v>19028495539</v>
          </cell>
          <cell r="V27" t="str">
            <v>3214011808890010</v>
          </cell>
          <cell r="W27" t="str">
            <v/>
          </cell>
          <cell r="X27" t="str">
            <v>BI UMUM JABAR</v>
          </cell>
          <cell r="Y27" t="str">
            <v>890813160827</v>
          </cell>
          <cell r="Z27" t="str">
            <v>08-02-2020</v>
          </cell>
          <cell r="AA27">
            <v>0</v>
          </cell>
          <cell r="AB27">
            <v>0</v>
          </cell>
          <cell r="AC27">
            <v>45156</v>
          </cell>
          <cell r="AD27">
            <v>43419</v>
          </cell>
          <cell r="AE27">
            <v>44256</v>
          </cell>
          <cell r="AF27">
            <v>44347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</row>
        <row r="28">
          <cell r="C28" t="str">
            <v>KARYANA</v>
          </cell>
          <cell r="D28" t="str">
            <v>DRIVER</v>
          </cell>
          <cell r="E28" t="str">
            <v>FJS-02</v>
          </cell>
          <cell r="F28" t="str">
            <v>TTNT - KRW</v>
          </cell>
          <cell r="G28" t="str">
            <v>089697917525</v>
          </cell>
          <cell r="H28" t="str">
            <v>1091879765</v>
          </cell>
          <cell r="I28" t="str">
            <v>BCA</v>
          </cell>
          <cell r="J28" t="str">
            <v>√</v>
          </cell>
          <cell r="K28" t="str">
            <v>0885886567169</v>
          </cell>
          <cell r="L28" t="str">
            <v>AMI /IBU</v>
          </cell>
          <cell r="M28" t="str">
            <v>KP PANDERESAN RT 10/02 DS BANTARJAYA KEC PABAYURAN KAB BEKASI</v>
          </cell>
          <cell r="N28" t="str">
            <v>BEKASI</v>
          </cell>
          <cell r="O28">
            <v>30965</v>
          </cell>
          <cell r="P28" t="str">
            <v>AMI</v>
          </cell>
          <cell r="Q28" t="str">
            <v>ISLAM</v>
          </cell>
          <cell r="R28" t="str">
            <v>SLTP</v>
          </cell>
          <cell r="S28" t="str">
            <v>K</v>
          </cell>
          <cell r="T28" t="str">
            <v>PBI APBN</v>
          </cell>
          <cell r="U28" t="str">
            <v>19028495562</v>
          </cell>
          <cell r="V28" t="str">
            <v>3216131010840019</v>
          </cell>
          <cell r="W28">
            <v>0</v>
          </cell>
          <cell r="X28" t="str">
            <v>BI UMUM</v>
          </cell>
          <cell r="Y28" t="str">
            <v>84101205974117</v>
          </cell>
          <cell r="Z28" t="str">
            <v>25-02-2020</v>
          </cell>
          <cell r="AA28">
            <v>0</v>
          </cell>
          <cell r="AB28">
            <v>0</v>
          </cell>
          <cell r="AC28">
            <v>44844</v>
          </cell>
          <cell r="AD28">
            <v>43431</v>
          </cell>
          <cell r="AE28">
            <v>44256</v>
          </cell>
          <cell r="AF28">
            <v>44347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</row>
        <row r="29">
          <cell r="C29" t="str">
            <v>GURUH ADI PUTRA</v>
          </cell>
          <cell r="D29" t="str">
            <v>DRIVER</v>
          </cell>
          <cell r="E29" t="str">
            <v>DRA 01-1B</v>
          </cell>
          <cell r="F29" t="str">
            <v>TTNT - KRW</v>
          </cell>
          <cell r="G29" t="str">
            <v>089664455409</v>
          </cell>
          <cell r="H29" t="str">
            <v>7045037304</v>
          </cell>
          <cell r="I29" t="str">
            <v>bca</v>
          </cell>
          <cell r="J29" t="str">
            <v>√</v>
          </cell>
          <cell r="K29" t="str">
            <v>08951354441357</v>
          </cell>
          <cell r="L29" t="str">
            <v>LIA M/ ISTRI</v>
          </cell>
          <cell r="M29" t="str">
            <v>KP. KIDANGRANGGAH RT 005/003 DS CINTAASIH KEC PANGKALAN  KAB KARAWANG</v>
          </cell>
          <cell r="N29" t="str">
            <v>KARAWANG</v>
          </cell>
          <cell r="O29">
            <v>34137</v>
          </cell>
          <cell r="P29" t="str">
            <v>ANAH</v>
          </cell>
          <cell r="Q29" t="str">
            <v>ISLAM</v>
          </cell>
          <cell r="R29" t="str">
            <v>SMA</v>
          </cell>
          <cell r="S29" t="str">
            <v>K1</v>
          </cell>
          <cell r="T29" t="str">
            <v>0001670343322</v>
          </cell>
          <cell r="U29" t="str">
            <v>19060604550</v>
          </cell>
          <cell r="V29" t="str">
            <v>3215281706930001</v>
          </cell>
          <cell r="W29">
            <v>0</v>
          </cell>
          <cell r="X29" t="str">
            <v>BI UMUM JABAR</v>
          </cell>
          <cell r="Y29" t="str">
            <v>930713280556</v>
          </cell>
          <cell r="Z29">
            <v>0</v>
          </cell>
          <cell r="AA29" t="str">
            <v>14-07-2021</v>
          </cell>
          <cell r="AB29">
            <v>0</v>
          </cell>
          <cell r="AC29">
            <v>43663</v>
          </cell>
          <cell r="AD29">
            <v>43557</v>
          </cell>
          <cell r="AE29">
            <v>44287</v>
          </cell>
          <cell r="AF29">
            <v>44469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C30" t="str">
            <v>SUKIYAT</v>
          </cell>
          <cell r="D30" t="str">
            <v>DRIVER</v>
          </cell>
          <cell r="E30" t="str">
            <v>M5BO</v>
          </cell>
          <cell r="F30" t="str">
            <v>TTNT - CIBITUNG</v>
          </cell>
          <cell r="G30" t="str">
            <v>081280600437</v>
          </cell>
          <cell r="H30" t="str">
            <v>5221464037</v>
          </cell>
          <cell r="I30" t="str">
            <v>BCA</v>
          </cell>
          <cell r="J30" t="str">
            <v>√</v>
          </cell>
          <cell r="K30" t="str">
            <v>082122795547</v>
          </cell>
          <cell r="L30" t="str">
            <v>SUNINGSIH / ISTRI</v>
          </cell>
          <cell r="M30" t="str">
            <v>SUMBER MULYA RT 002/001 KEL SUMBERMULYA KEC SALE</v>
          </cell>
          <cell r="N30" t="str">
            <v>REMBANG</v>
          </cell>
          <cell r="O30">
            <v>30848</v>
          </cell>
          <cell r="P30" t="str">
            <v>SITI HANDAYANI</v>
          </cell>
          <cell r="Q30" t="str">
            <v>ISLAM</v>
          </cell>
          <cell r="R30" t="str">
            <v>SMA</v>
          </cell>
          <cell r="S30" t="str">
            <v>K2</v>
          </cell>
          <cell r="T30" t="str">
            <v>0002398887742</v>
          </cell>
          <cell r="U30" t="str">
            <v>19060604519</v>
          </cell>
          <cell r="V30" t="str">
            <v>3317041506840003</v>
          </cell>
          <cell r="W30">
            <v>0</v>
          </cell>
          <cell r="X30" t="str">
            <v>BII UMUM JATENG</v>
          </cell>
          <cell r="Y30" t="str">
            <v>840614390447</v>
          </cell>
          <cell r="Z30">
            <v>0</v>
          </cell>
          <cell r="AA30">
            <v>0</v>
          </cell>
          <cell r="AB30">
            <v>0</v>
          </cell>
          <cell r="AC30">
            <v>44727</v>
          </cell>
          <cell r="AD30">
            <v>43557</v>
          </cell>
          <cell r="AE30">
            <v>44287</v>
          </cell>
          <cell r="AF30">
            <v>44469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1">
          <cell r="C31" t="str">
            <v>HERUDIN</v>
          </cell>
          <cell r="D31" t="str">
            <v>DRIVER</v>
          </cell>
          <cell r="E31" t="str">
            <v>M2KRW</v>
          </cell>
          <cell r="F31" t="str">
            <v>TTNT - KRW</v>
          </cell>
          <cell r="G31" t="str">
            <v>081286241170/087780538556</v>
          </cell>
          <cell r="H31">
            <v>0</v>
          </cell>
          <cell r="I31">
            <v>0</v>
          </cell>
          <cell r="J31" t="str">
            <v>√</v>
          </cell>
          <cell r="K31">
            <v>0</v>
          </cell>
          <cell r="L31">
            <v>0</v>
          </cell>
          <cell r="M31" t="str">
            <v>DS PURBASARI RT 003/012 DS DAWUAN TENGAH KEC CIKAMPEK  KAB KARAWANG</v>
          </cell>
          <cell r="N31" t="str">
            <v>KARAWANG</v>
          </cell>
          <cell r="O31">
            <v>25934</v>
          </cell>
          <cell r="P31">
            <v>0</v>
          </cell>
          <cell r="Q31" t="str">
            <v>ISLAM</v>
          </cell>
          <cell r="R31" t="str">
            <v>SMP</v>
          </cell>
          <cell r="S31" t="str">
            <v>K</v>
          </cell>
          <cell r="T31" t="str">
            <v>0001451692078</v>
          </cell>
          <cell r="U31" t="str">
            <v>19060604568</v>
          </cell>
          <cell r="V31" t="str">
            <v>3215130101710008</v>
          </cell>
          <cell r="W31">
            <v>0</v>
          </cell>
          <cell r="X31" t="str">
            <v>BII UMUM JABAR</v>
          </cell>
          <cell r="Y31" t="str">
            <v>710113280337</v>
          </cell>
          <cell r="Z31" t="str">
            <v>01-07-2020</v>
          </cell>
          <cell r="AA31">
            <v>0</v>
          </cell>
          <cell r="AB31">
            <v>0</v>
          </cell>
          <cell r="AC31">
            <v>44197</v>
          </cell>
          <cell r="AD31">
            <v>43636</v>
          </cell>
          <cell r="AE31">
            <v>44256</v>
          </cell>
          <cell r="AF31">
            <v>44347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C32" t="str">
            <v>DEDE WAHYU</v>
          </cell>
          <cell r="D32" t="str">
            <v>DRIVER</v>
          </cell>
          <cell r="E32" t="str">
            <v>M2EJIP</v>
          </cell>
          <cell r="F32" t="str">
            <v>TTNT - KRW</v>
          </cell>
          <cell r="G32" t="str">
            <v>085348819725</v>
          </cell>
          <cell r="H32">
            <v>0</v>
          </cell>
          <cell r="I32">
            <v>0</v>
          </cell>
          <cell r="J32" t="str">
            <v>√</v>
          </cell>
          <cell r="K32">
            <v>0</v>
          </cell>
          <cell r="L32">
            <v>0</v>
          </cell>
          <cell r="M32" t="str">
            <v>BOK KAUM KALER RT 18/ RW 06 DESA TALAGA KEC. TALAGA KAB. MAJALENGKA</v>
          </cell>
          <cell r="N32" t="str">
            <v>TASIKMALAYA</v>
          </cell>
          <cell r="O32">
            <v>28805</v>
          </cell>
          <cell r="P32" t="str">
            <v>SARI</v>
          </cell>
          <cell r="Q32" t="str">
            <v>ISLAM</v>
          </cell>
          <cell r="R32" t="str">
            <v>SMP</v>
          </cell>
          <cell r="S32" t="str">
            <v>K2</v>
          </cell>
          <cell r="T32" t="str">
            <v>0002891094041</v>
          </cell>
          <cell r="U32" t="str">
            <v>0002891094041</v>
          </cell>
          <cell r="V32" t="str">
            <v>3206011111780001</v>
          </cell>
          <cell r="W32">
            <v>0</v>
          </cell>
          <cell r="X32" t="str">
            <v>BII UMUM JABAR</v>
          </cell>
          <cell r="Y32" t="str">
            <v>781113450831</v>
          </cell>
          <cell r="Z32">
            <v>0</v>
          </cell>
          <cell r="AA32">
            <v>0</v>
          </cell>
          <cell r="AB32">
            <v>0</v>
          </cell>
          <cell r="AC32">
            <v>45607</v>
          </cell>
          <cell r="AD32">
            <v>43642</v>
          </cell>
          <cell r="AE32">
            <v>44287</v>
          </cell>
          <cell r="AF32">
            <v>44469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C33" t="str">
            <v>IWAN WIJAYA</v>
          </cell>
          <cell r="D33" t="str">
            <v>DRIVER</v>
          </cell>
          <cell r="E33" t="str">
            <v>DRA-05</v>
          </cell>
          <cell r="F33" t="str">
            <v>TTNT - CIBITUNG</v>
          </cell>
          <cell r="G33" t="str">
            <v>085887615623</v>
          </cell>
          <cell r="H33">
            <v>0</v>
          </cell>
          <cell r="I33">
            <v>0</v>
          </cell>
          <cell r="J33" t="str">
            <v>√</v>
          </cell>
          <cell r="K33">
            <v>0</v>
          </cell>
          <cell r="L33">
            <v>0</v>
          </cell>
          <cell r="M33" t="str">
            <v>KP. SADANG RT 002/001 RAGEMANUNGGAL, KEC SETU KAB BEKASI</v>
          </cell>
          <cell r="N33" t="str">
            <v>BEKASI</v>
          </cell>
          <cell r="O33">
            <v>29042</v>
          </cell>
          <cell r="P33" t="str">
            <v>MARIAM</v>
          </cell>
          <cell r="Q33" t="str">
            <v>ISLAM</v>
          </cell>
          <cell r="R33" t="str">
            <v>SLTA</v>
          </cell>
          <cell r="S33" t="str">
            <v>K2</v>
          </cell>
          <cell r="T33" t="str">
            <v>0002900596037</v>
          </cell>
          <cell r="U33" t="str">
            <v>19089237952</v>
          </cell>
          <cell r="V33" t="str">
            <v>3216180607790006</v>
          </cell>
          <cell r="W33">
            <v>0</v>
          </cell>
          <cell r="X33" t="str">
            <v>BI UMUM METROJAYA</v>
          </cell>
          <cell r="Y33" t="str">
            <v>79071205970235</v>
          </cell>
          <cell r="Z33">
            <v>0</v>
          </cell>
          <cell r="AA33">
            <v>0</v>
          </cell>
          <cell r="AB33">
            <v>0</v>
          </cell>
          <cell r="AC33">
            <v>45113</v>
          </cell>
          <cell r="AD33">
            <v>43642</v>
          </cell>
          <cell r="AE33">
            <v>44287</v>
          </cell>
          <cell r="AF33">
            <v>44469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</row>
        <row r="34">
          <cell r="C34" t="str">
            <v>SAEPUL HAMAMI</v>
          </cell>
          <cell r="D34" t="str">
            <v>DRIVER</v>
          </cell>
          <cell r="E34" t="str">
            <v>AAIA-KRW</v>
          </cell>
          <cell r="F34" t="str">
            <v>TTNT - KRW</v>
          </cell>
          <cell r="G34" t="str">
            <v>082112111324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DSN SUKAJAYA RT 010/002 DS KEMIRI KEC JAYAKERTA KAB KARAWANG</v>
          </cell>
          <cell r="N34" t="str">
            <v>KARAWANG</v>
          </cell>
          <cell r="O34">
            <v>32691</v>
          </cell>
          <cell r="P34">
            <v>0</v>
          </cell>
          <cell r="Q34" t="str">
            <v>ISLAM</v>
          </cell>
          <cell r="R34" t="str">
            <v>SMP</v>
          </cell>
          <cell r="S34" t="str">
            <v>K</v>
          </cell>
          <cell r="T34" t="str">
            <v>0001298149648</v>
          </cell>
          <cell r="U34" t="str">
            <v>20013717887</v>
          </cell>
          <cell r="V34" t="str">
            <v>3215220207890004</v>
          </cell>
          <cell r="W34">
            <v>0</v>
          </cell>
          <cell r="X34" t="str">
            <v>BI UMUM JABAR</v>
          </cell>
          <cell r="Y34" t="str">
            <v>890713281680</v>
          </cell>
          <cell r="Z34">
            <v>0</v>
          </cell>
          <cell r="AA34">
            <v>0</v>
          </cell>
          <cell r="AB34">
            <v>0</v>
          </cell>
          <cell r="AC34">
            <v>45475</v>
          </cell>
          <cell r="AD34">
            <v>43682</v>
          </cell>
          <cell r="AE34">
            <v>44287</v>
          </cell>
          <cell r="AF34">
            <v>44469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</row>
        <row r="35">
          <cell r="C35" t="str">
            <v xml:space="preserve">HENDRA </v>
          </cell>
          <cell r="D35" t="str">
            <v xml:space="preserve">DRIVER </v>
          </cell>
          <cell r="E35" t="str">
            <v xml:space="preserve">M2EJIP </v>
          </cell>
          <cell r="F35" t="str">
            <v>TTNT - KRW</v>
          </cell>
          <cell r="G35" t="str">
            <v>081319812287</v>
          </cell>
          <cell r="H35">
            <v>0</v>
          </cell>
          <cell r="I35">
            <v>0</v>
          </cell>
          <cell r="J35" t="str">
            <v>√</v>
          </cell>
          <cell r="K35" t="str">
            <v>081315055296</v>
          </cell>
          <cell r="L35" t="str">
            <v xml:space="preserve">IIN WULANDARI </v>
          </cell>
          <cell r="M35" t="str">
            <v xml:space="preserve">GATAK RT 014/004 DESA WADUNGGETAS KEC WONOSARI </v>
          </cell>
          <cell r="N35" t="str">
            <v xml:space="preserve">GANDO </v>
          </cell>
          <cell r="O35">
            <v>28856</v>
          </cell>
          <cell r="P35">
            <v>0</v>
          </cell>
          <cell r="Q35" t="str">
            <v xml:space="preserve">ISLAM </v>
          </cell>
          <cell r="R35" t="str">
            <v xml:space="preserve">SMK </v>
          </cell>
          <cell r="S35" t="str">
            <v>K2</v>
          </cell>
          <cell r="T35" t="str">
            <v>0001736497809</v>
          </cell>
          <cell r="U35" t="str">
            <v>20004433817</v>
          </cell>
          <cell r="V35" t="str">
            <v>3310150101790003</v>
          </cell>
          <cell r="W35">
            <v>0</v>
          </cell>
          <cell r="X35" t="str">
            <v xml:space="preserve">BII UMUM </v>
          </cell>
          <cell r="Y35" t="str">
            <v>13287901000001</v>
          </cell>
          <cell r="Z35">
            <v>0</v>
          </cell>
          <cell r="AA35">
            <v>0</v>
          </cell>
          <cell r="AB35">
            <v>0</v>
          </cell>
          <cell r="AC35">
            <v>45580</v>
          </cell>
          <cell r="AD35">
            <v>43766</v>
          </cell>
          <cell r="AE35">
            <v>44287</v>
          </cell>
          <cell r="AF35">
            <v>44469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</row>
        <row r="36">
          <cell r="C36" t="str">
            <v xml:space="preserve">ACEP TARUNA </v>
          </cell>
          <cell r="D36" t="str">
            <v xml:space="preserve">DRIVER </v>
          </cell>
          <cell r="E36" t="str">
            <v>M2KRW</v>
          </cell>
          <cell r="F36" t="str">
            <v>TTNT - KRW</v>
          </cell>
          <cell r="G36" t="str">
            <v>087786913405</v>
          </cell>
          <cell r="H36">
            <v>0</v>
          </cell>
          <cell r="I36">
            <v>0</v>
          </cell>
          <cell r="J36" t="str">
            <v>√</v>
          </cell>
          <cell r="K36" t="str">
            <v>087786913415</v>
          </cell>
          <cell r="L36" t="str">
            <v xml:space="preserve">SRI MARYATI </v>
          </cell>
          <cell r="M36" t="str">
            <v xml:space="preserve">KP CIBITUNG KAUM RT 012/003 DESA CIBITUNG TENGAH KEC TENJOLAYA </v>
          </cell>
          <cell r="N36" t="str">
            <v xml:space="preserve">KARAWANG </v>
          </cell>
          <cell r="O36">
            <v>32321</v>
          </cell>
          <cell r="P36">
            <v>0</v>
          </cell>
          <cell r="Q36" t="str">
            <v xml:space="preserve">ISLAM </v>
          </cell>
          <cell r="R36" t="str">
            <v xml:space="preserve">SMA </v>
          </cell>
          <cell r="S36" t="str">
            <v>K1</v>
          </cell>
          <cell r="T36" t="str">
            <v xml:space="preserve">0001897422816 </v>
          </cell>
          <cell r="U36" t="str">
            <v>19097926828</v>
          </cell>
          <cell r="V36" t="str">
            <v>3215032706880001</v>
          </cell>
          <cell r="W36">
            <v>0</v>
          </cell>
          <cell r="X36" t="str">
            <v xml:space="preserve">BII UMUM JABAR </v>
          </cell>
          <cell r="Y36" t="str">
            <v>880613281015</v>
          </cell>
          <cell r="Z36">
            <v>0</v>
          </cell>
          <cell r="AA36" t="str">
            <v>254-KAP/S/FLX/2015</v>
          </cell>
          <cell r="AB36">
            <v>0</v>
          </cell>
          <cell r="AC36">
            <v>44009</v>
          </cell>
          <cell r="AD36">
            <v>43766</v>
          </cell>
          <cell r="AE36">
            <v>44287</v>
          </cell>
          <cell r="AF36">
            <v>44469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</row>
        <row r="37">
          <cell r="C37" t="str">
            <v xml:space="preserve">SUWANDI </v>
          </cell>
          <cell r="D37" t="str">
            <v xml:space="preserve">DRIVER </v>
          </cell>
          <cell r="E37" t="str">
            <v>M2KRW</v>
          </cell>
          <cell r="F37" t="str">
            <v>TTNT - KRW</v>
          </cell>
          <cell r="G37" t="str">
            <v>085782686099</v>
          </cell>
          <cell r="H37">
            <v>0</v>
          </cell>
          <cell r="I37">
            <v>0</v>
          </cell>
          <cell r="J37" t="str">
            <v>√</v>
          </cell>
          <cell r="K37" t="str">
            <v>085778151836</v>
          </cell>
          <cell r="L37" t="str">
            <v xml:space="preserve">SURYANI </v>
          </cell>
          <cell r="M37" t="str">
            <v xml:space="preserve">KP KEDUNG LOTONG RT 003/006 DESA BANTARJAYA KEC PEBAYURAN </v>
          </cell>
          <cell r="N37" t="str">
            <v xml:space="preserve">BEKASI </v>
          </cell>
          <cell r="O37">
            <v>30977</v>
          </cell>
          <cell r="P37">
            <v>0</v>
          </cell>
          <cell r="Q37" t="str">
            <v xml:space="preserve">ISLAM </v>
          </cell>
          <cell r="R37" t="str">
            <v xml:space="preserve">SLTP </v>
          </cell>
          <cell r="S37" t="str">
            <v>K3</v>
          </cell>
          <cell r="T37" t="str">
            <v>0001339317865</v>
          </cell>
          <cell r="U37" t="str">
            <v>19097926851</v>
          </cell>
          <cell r="V37" t="str">
            <v>3216132210840001</v>
          </cell>
          <cell r="W37">
            <v>0</v>
          </cell>
          <cell r="X37" t="str">
            <v xml:space="preserve">BII UMUM METROJAYA </v>
          </cell>
          <cell r="Y37" t="str">
            <v>8310120514998</v>
          </cell>
          <cell r="Z37">
            <v>0</v>
          </cell>
          <cell r="AA37" t="str">
            <v>167/KAP/S/FL/XI/2014</v>
          </cell>
          <cell r="AB37">
            <v>0</v>
          </cell>
          <cell r="AC37">
            <v>42299</v>
          </cell>
          <cell r="AD37">
            <v>43766</v>
          </cell>
          <cell r="AE37">
            <v>44287</v>
          </cell>
          <cell r="AF37">
            <v>44469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</row>
        <row r="38">
          <cell r="C38" t="str">
            <v xml:space="preserve">CAWAN KURNIAWAN </v>
          </cell>
          <cell r="D38" t="str">
            <v xml:space="preserve">DRIVER </v>
          </cell>
          <cell r="E38" t="str">
            <v xml:space="preserve">M2 EJIP </v>
          </cell>
          <cell r="F38" t="str">
            <v>TTNT - KRW</v>
          </cell>
          <cell r="G38" t="str">
            <v>085819483804</v>
          </cell>
          <cell r="H38" t="str">
            <v>5221524951</v>
          </cell>
          <cell r="I38" t="str">
            <v xml:space="preserve">BCA </v>
          </cell>
          <cell r="J38" t="str">
            <v>√</v>
          </cell>
          <cell r="K38" t="str">
            <v>081717115255</v>
          </cell>
          <cell r="L38" t="str">
            <v xml:space="preserve">SUHRO </v>
          </cell>
          <cell r="M38" t="str">
            <v xml:space="preserve">KP CIHANJUANG RT 011/004 DESA BOJONGMANGU KEC BOJONGMANGU KAB BEKASI </v>
          </cell>
          <cell r="N38" t="str">
            <v>BEKASI</v>
          </cell>
          <cell r="O38">
            <v>35256</v>
          </cell>
          <cell r="P38">
            <v>0</v>
          </cell>
          <cell r="Q38" t="str">
            <v xml:space="preserve">ISLAM </v>
          </cell>
          <cell r="R38" t="str">
            <v xml:space="preserve">SMA </v>
          </cell>
          <cell r="S38" t="str">
            <v>K</v>
          </cell>
          <cell r="T38" t="str">
            <v>0002204646243</v>
          </cell>
          <cell r="U38" t="str">
            <v>20004433866</v>
          </cell>
          <cell r="V38" t="str">
            <v>3216231007960004</v>
          </cell>
          <cell r="W38">
            <v>0</v>
          </cell>
          <cell r="X38" t="str">
            <v xml:space="preserve">BI UMUM METROJAYA </v>
          </cell>
          <cell r="Y38" t="str">
            <v>1205180711639</v>
          </cell>
          <cell r="Z38">
            <v>0</v>
          </cell>
          <cell r="AA38">
            <v>0</v>
          </cell>
          <cell r="AB38" t="str">
            <v>89398-OPK3-LT/PAA/X/2018</v>
          </cell>
          <cell r="AC38">
            <v>45145</v>
          </cell>
          <cell r="AD38">
            <v>43783</v>
          </cell>
          <cell r="AE38">
            <v>44256</v>
          </cell>
          <cell r="AF38">
            <v>44347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C39" t="str">
            <v xml:space="preserve">AHDI </v>
          </cell>
          <cell r="D39" t="str">
            <v xml:space="preserve">DRIVER </v>
          </cell>
          <cell r="E39" t="str">
            <v xml:space="preserve">M-2KRW </v>
          </cell>
          <cell r="F39" t="str">
            <v>TTNT - KRW</v>
          </cell>
          <cell r="G39" t="str">
            <v>087812509586</v>
          </cell>
          <cell r="H39">
            <v>0</v>
          </cell>
          <cell r="I39">
            <v>0</v>
          </cell>
          <cell r="J39" t="str">
            <v>√</v>
          </cell>
          <cell r="K39" t="str">
            <v>087776174481</v>
          </cell>
          <cell r="L39" t="str">
            <v>SITI KHODIJAH</v>
          </cell>
          <cell r="M39" t="str">
            <v xml:space="preserve">KP CIPATARUMAN RT 002/002 DESA SINDANG KERTA KEC SINDANG KARTA </v>
          </cell>
          <cell r="N39" t="str">
            <v xml:space="preserve">BANDUNG </v>
          </cell>
          <cell r="O39">
            <v>27585</v>
          </cell>
          <cell r="P39" t="str">
            <v xml:space="preserve">ITOH </v>
          </cell>
          <cell r="Q39" t="str">
            <v xml:space="preserve">ISLAM </v>
          </cell>
          <cell r="R39" t="str">
            <v xml:space="preserve">SMA </v>
          </cell>
          <cell r="S39" t="str">
            <v>K3</v>
          </cell>
          <cell r="T39" t="str">
            <v>0001888284971</v>
          </cell>
          <cell r="U39" t="str">
            <v>20004433874</v>
          </cell>
          <cell r="V39" t="str">
            <v>3175091007750011</v>
          </cell>
          <cell r="W39">
            <v>0</v>
          </cell>
          <cell r="X39" t="str">
            <v xml:space="preserve">BII UMU METRO JAYA </v>
          </cell>
          <cell r="Y39" t="str">
            <v>750712051001372</v>
          </cell>
          <cell r="Z39">
            <v>0</v>
          </cell>
          <cell r="AA39" t="str">
            <v>199/DOJO/SI/III/2015</v>
          </cell>
          <cell r="AB39">
            <v>0</v>
          </cell>
          <cell r="AC39">
            <v>44022</v>
          </cell>
          <cell r="AD39">
            <v>43783</v>
          </cell>
          <cell r="AE39">
            <v>44287</v>
          </cell>
          <cell r="AF39">
            <v>44469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C40" t="str">
            <v xml:space="preserve">RAMDANI MANAON PAKPAHAN </v>
          </cell>
          <cell r="D40" t="str">
            <v xml:space="preserve">DRIVER </v>
          </cell>
          <cell r="E40" t="str">
            <v xml:space="preserve">DRA-01 B </v>
          </cell>
          <cell r="F40" t="str">
            <v>TTNT - CIBITUNG</v>
          </cell>
          <cell r="G40" t="str">
            <v>081319767331</v>
          </cell>
          <cell r="H40">
            <v>0</v>
          </cell>
          <cell r="I40">
            <v>0</v>
          </cell>
          <cell r="J40" t="str">
            <v>√</v>
          </cell>
          <cell r="K40" t="str">
            <v>082113391080</v>
          </cell>
          <cell r="L40" t="str">
            <v xml:space="preserve">ESRON PAKPAHAN </v>
          </cell>
          <cell r="M40" t="str">
            <v>KP SUKAPURA JAYA RT 007/010 DESA SUKAPURA KEC CILNGCING</v>
          </cell>
          <cell r="N40" t="str">
            <v xml:space="preserve">KENTARA </v>
          </cell>
          <cell r="O40">
            <v>34614</v>
          </cell>
          <cell r="P40" t="str">
            <v xml:space="preserve">ESNI PANE </v>
          </cell>
          <cell r="Q40" t="str">
            <v xml:space="preserve">KRISTEN </v>
          </cell>
          <cell r="R40" t="str">
            <v xml:space="preserve">SLTA </v>
          </cell>
          <cell r="S40" t="str">
            <v>L</v>
          </cell>
          <cell r="T40" t="str">
            <v>0002096926288</v>
          </cell>
          <cell r="U40" t="str">
            <v>20004433908</v>
          </cell>
          <cell r="V40" t="str">
            <v>121111171094001</v>
          </cell>
          <cell r="W40">
            <v>0</v>
          </cell>
          <cell r="X40" t="str">
            <v xml:space="preserve">BII UMUM LAMPUNG </v>
          </cell>
          <cell r="Y40" t="str">
            <v>941025263100</v>
          </cell>
          <cell r="Z40">
            <v>0</v>
          </cell>
          <cell r="AA40">
            <v>0</v>
          </cell>
          <cell r="AB40">
            <v>0</v>
          </cell>
          <cell r="AC40">
            <v>45572</v>
          </cell>
          <cell r="AD40">
            <v>43783</v>
          </cell>
          <cell r="AE40">
            <v>44256</v>
          </cell>
          <cell r="AF40">
            <v>44347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C41" t="str">
            <v>YUSUP AKHMADI</v>
          </cell>
          <cell r="D41" t="str">
            <v xml:space="preserve">DRIVER </v>
          </cell>
          <cell r="E41" t="str">
            <v>MR-ASMO</v>
          </cell>
          <cell r="F41" t="str">
            <v>TTNT - CIBITUNG</v>
          </cell>
          <cell r="G41" t="str">
            <v>081902510002</v>
          </cell>
          <cell r="H41">
            <v>0</v>
          </cell>
          <cell r="I41">
            <v>0</v>
          </cell>
          <cell r="J41">
            <v>0</v>
          </cell>
          <cell r="K41" t="str">
            <v>087724210003</v>
          </cell>
          <cell r="L41" t="str">
            <v>YUNIATI SHOLIKAH</v>
          </cell>
          <cell r="M41" t="str">
            <v>BANJARTURI RT 001/005 DESA BANJARTURI KEC WARUREJA</v>
          </cell>
          <cell r="N41" t="str">
            <v xml:space="preserve">TEGAL </v>
          </cell>
          <cell r="O41">
            <v>32126</v>
          </cell>
          <cell r="P41">
            <v>0</v>
          </cell>
          <cell r="Q41" t="str">
            <v xml:space="preserve">ISLAM </v>
          </cell>
          <cell r="R41" t="str">
            <v xml:space="preserve">SMU </v>
          </cell>
          <cell r="S41" t="str">
            <v>K1</v>
          </cell>
          <cell r="T41" t="str">
            <v>0001645739561</v>
          </cell>
          <cell r="U41" t="str">
            <v>20044859146</v>
          </cell>
          <cell r="V41" t="str">
            <v>3328171512780002</v>
          </cell>
          <cell r="W41">
            <v>0</v>
          </cell>
          <cell r="X41" t="str">
            <v xml:space="preserve">BII UMUM JATENG </v>
          </cell>
          <cell r="Y41" t="str">
            <v>781214301193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43860</v>
          </cell>
          <cell r="AE41">
            <v>44287</v>
          </cell>
          <cell r="AF41">
            <v>44469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C42" t="str">
            <v xml:space="preserve">JAYA PERMANA </v>
          </cell>
          <cell r="D42" t="str">
            <v xml:space="preserve">DRIVER </v>
          </cell>
          <cell r="E42" t="str">
            <v>M2-EJIP</v>
          </cell>
          <cell r="F42" t="str">
            <v>TTNT - KRW</v>
          </cell>
          <cell r="G42" t="str">
            <v>087870794603</v>
          </cell>
          <cell r="H42" t="str">
            <v>8715108598</v>
          </cell>
          <cell r="I42" t="str">
            <v>BCA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DUSUN 1 RT 002/001 DESA KERTAWANGUN KEC SEDONG </v>
          </cell>
          <cell r="N42" t="str">
            <v xml:space="preserve">CIREBON </v>
          </cell>
          <cell r="O42">
            <v>31318</v>
          </cell>
          <cell r="P42">
            <v>0</v>
          </cell>
          <cell r="Q42" t="str">
            <v xml:space="preserve">ISLAM </v>
          </cell>
          <cell r="R42" t="str">
            <v xml:space="preserve">SMK </v>
          </cell>
          <cell r="S42" t="str">
            <v>K1</v>
          </cell>
          <cell r="T42" t="str">
            <v xml:space="preserve">PBI APBN </v>
          </cell>
          <cell r="U42" t="str">
            <v>20027918042</v>
          </cell>
          <cell r="V42" t="str">
            <v>3209092809850004</v>
          </cell>
          <cell r="W42">
            <v>0</v>
          </cell>
          <cell r="X42" t="str">
            <v xml:space="preserve">BII UMUM JABAR </v>
          </cell>
          <cell r="Y42" t="str">
            <v>850913370587</v>
          </cell>
          <cell r="Z42">
            <v>0</v>
          </cell>
          <cell r="AA42" t="str">
            <v>862/KAP/FL/XI/2018</v>
          </cell>
          <cell r="AB42" t="str">
            <v>126963-OPK3-LT/PAA/X/2018</v>
          </cell>
          <cell r="AC42">
            <v>44832</v>
          </cell>
          <cell r="AD42">
            <v>43913</v>
          </cell>
          <cell r="AE42">
            <v>44287</v>
          </cell>
          <cell r="AF42">
            <v>44469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C43" t="str">
            <v xml:space="preserve">ABDUL RAHMAN </v>
          </cell>
          <cell r="D43" t="str">
            <v xml:space="preserve">DRIVER </v>
          </cell>
          <cell r="E43" t="str">
            <v>M5TA02</v>
          </cell>
          <cell r="F43" t="str">
            <v>TTNT - CIBITUNG</v>
          </cell>
          <cell r="G43" t="str">
            <v>081282070385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>KP. GUDANG HU'UT RT 003/003 KEL. SINDANG MULYA KEC. CIBARUSAH KAB. BEKASI</v>
          </cell>
          <cell r="N43" t="str">
            <v>BEKASI</v>
          </cell>
          <cell r="O43">
            <v>33636</v>
          </cell>
          <cell r="P43">
            <v>0</v>
          </cell>
          <cell r="Q43" t="str">
            <v>ISLAM</v>
          </cell>
          <cell r="R43">
            <v>0</v>
          </cell>
          <cell r="S43">
            <v>0</v>
          </cell>
          <cell r="T43" t="str">
            <v>0001149301473</v>
          </cell>
          <cell r="U43" t="str">
            <v>20062338452</v>
          </cell>
          <cell r="V43" t="str">
            <v>3216090202920008</v>
          </cell>
          <cell r="W43">
            <v>0</v>
          </cell>
          <cell r="X43" t="str">
            <v>BI UMUM METROJAYA</v>
          </cell>
          <cell r="Y43" t="str">
            <v>92021205972827</v>
          </cell>
          <cell r="Z43">
            <v>0</v>
          </cell>
          <cell r="AA43">
            <v>0</v>
          </cell>
          <cell r="AB43">
            <v>0</v>
          </cell>
          <cell r="AC43">
            <v>44959</v>
          </cell>
          <cell r="AD43">
            <v>43920</v>
          </cell>
          <cell r="AE43">
            <v>44287</v>
          </cell>
          <cell r="AF43">
            <v>44469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</row>
        <row r="44">
          <cell r="C44" t="str">
            <v>S.E SURYADI</v>
          </cell>
          <cell r="D44" t="str">
            <v xml:space="preserve">DRIVER </v>
          </cell>
          <cell r="E44" t="str">
            <v>FJS-KBU</v>
          </cell>
          <cell r="F44" t="str">
            <v>TTNT - CIBITUNG</v>
          </cell>
          <cell r="G44" t="str">
            <v>087879567134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>PERUM KOTA SERABF BARU BLOK A8 NO 12A RT 026/019 DS SUKARAGAM KEC SERANGBARU KAB BEKASI</v>
          </cell>
          <cell r="N44" t="str">
            <v>SUMEDANG</v>
          </cell>
          <cell r="O44">
            <v>29441</v>
          </cell>
          <cell r="P44">
            <v>0</v>
          </cell>
          <cell r="Q44" t="str">
            <v>ISLAM</v>
          </cell>
          <cell r="R44" t="str">
            <v>SMP</v>
          </cell>
          <cell r="S44" t="str">
            <v>K2</v>
          </cell>
          <cell r="T44" t="str">
            <v>0001317961877</v>
          </cell>
          <cell r="U44" t="str">
            <v>19078340676</v>
          </cell>
          <cell r="V44" t="str">
            <v>3216210808800008</v>
          </cell>
          <cell r="W44">
            <v>0</v>
          </cell>
          <cell r="X44" t="str">
            <v>BI UMUM METROJAYA</v>
          </cell>
          <cell r="Y44" t="str">
            <v>80081205972965</v>
          </cell>
          <cell r="Z44">
            <v>0</v>
          </cell>
          <cell r="AA44">
            <v>0</v>
          </cell>
          <cell r="AB44">
            <v>0</v>
          </cell>
          <cell r="AC44">
            <v>44416</v>
          </cell>
          <cell r="AD44">
            <v>43969</v>
          </cell>
          <cell r="AE44">
            <v>44287</v>
          </cell>
          <cell r="AF44">
            <v>44469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C45" t="str">
            <v>DIAN JUHYANDI</v>
          </cell>
          <cell r="D45" t="str">
            <v xml:space="preserve">DRIVER </v>
          </cell>
          <cell r="E45" t="str">
            <v>FJS-02</v>
          </cell>
          <cell r="F45" t="str">
            <v>TTNT - CIBITUNG</v>
          </cell>
          <cell r="G45" t="str">
            <v>081273440404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KP. DANGDANG RT 003/001 DS PULOSARI KEC PANGALENGAN BANDUNG</v>
          </cell>
          <cell r="N45" t="str">
            <v>BANDUNG</v>
          </cell>
          <cell r="O45">
            <v>32885</v>
          </cell>
          <cell r="P45">
            <v>0</v>
          </cell>
          <cell r="Q45" t="str">
            <v xml:space="preserve">ISLAM </v>
          </cell>
          <cell r="R45" t="str">
            <v>SMU</v>
          </cell>
          <cell r="S45" t="str">
            <v>K1</v>
          </cell>
          <cell r="T45" t="str">
            <v>0002912981455</v>
          </cell>
          <cell r="U45" t="str">
            <v>19097926802</v>
          </cell>
          <cell r="V45" t="str">
            <v>3204151201900006</v>
          </cell>
          <cell r="W45">
            <v>0</v>
          </cell>
          <cell r="X45" t="str">
            <v xml:space="preserve">BI UMUM JABAR </v>
          </cell>
          <cell r="Y45" t="str">
            <v>900113433294</v>
          </cell>
          <cell r="Z45">
            <v>0</v>
          </cell>
          <cell r="AA45">
            <v>0</v>
          </cell>
          <cell r="AB45">
            <v>0</v>
          </cell>
          <cell r="AC45">
            <v>45303</v>
          </cell>
          <cell r="AD45">
            <v>43969</v>
          </cell>
          <cell r="AE45">
            <v>44287</v>
          </cell>
          <cell r="AF45">
            <v>44469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C46" t="str">
            <v>SAMSUL MUARIPIN</v>
          </cell>
          <cell r="D46" t="str">
            <v xml:space="preserve">DRIVER </v>
          </cell>
          <cell r="E46" t="str">
            <v>M5TA02</v>
          </cell>
          <cell r="F46" t="str">
            <v>TTNT - CIBITUNG</v>
          </cell>
          <cell r="G46" t="str">
            <v>085939172311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str">
            <v>BLOK H ISMAIL RT 004/002 TENAJAR KERTASEMAYA</v>
          </cell>
          <cell r="N46" t="str">
            <v xml:space="preserve">INDRAMAYU </v>
          </cell>
          <cell r="O46">
            <v>31984</v>
          </cell>
          <cell r="P46">
            <v>0</v>
          </cell>
          <cell r="Q46" t="str">
            <v xml:space="preserve">ISLAM </v>
          </cell>
          <cell r="R46" t="str">
            <v xml:space="preserve">SMK </v>
          </cell>
          <cell r="S46" t="str">
            <v>K</v>
          </cell>
          <cell r="T46" t="str">
            <v>0002142756696</v>
          </cell>
          <cell r="U46" t="str">
            <v>20051951505</v>
          </cell>
          <cell r="V46" t="str">
            <v>3212082607870003</v>
          </cell>
          <cell r="W46">
            <v>0</v>
          </cell>
          <cell r="X46" t="str">
            <v xml:space="preserve">BI JABAR </v>
          </cell>
          <cell r="Y46" t="str">
            <v>870913380115</v>
          </cell>
          <cell r="Z46">
            <v>0</v>
          </cell>
          <cell r="AA46">
            <v>0</v>
          </cell>
          <cell r="AB46">
            <v>0</v>
          </cell>
          <cell r="AC46">
            <v>44441</v>
          </cell>
          <cell r="AD46">
            <v>43969</v>
          </cell>
          <cell r="AE46">
            <v>44256</v>
          </cell>
          <cell r="AF46">
            <v>44347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C47" t="str">
            <v>YAKUB</v>
          </cell>
          <cell r="D47" t="str">
            <v xml:space="preserve">DRIVER </v>
          </cell>
          <cell r="E47" t="str">
            <v>M2-EJIP</v>
          </cell>
          <cell r="F47" t="str">
            <v>TTNT - KRW</v>
          </cell>
          <cell r="G47" t="str">
            <v>085775744378</v>
          </cell>
          <cell r="H47">
            <v>0</v>
          </cell>
          <cell r="I47">
            <v>0</v>
          </cell>
          <cell r="J47" t="str">
            <v>√</v>
          </cell>
          <cell r="K47" t="str">
            <v>085715982443</v>
          </cell>
          <cell r="L47" t="str">
            <v>SUMIAH/IBU</v>
          </cell>
          <cell r="M47" t="str">
            <v>KP. TAMBUN RT 012/004KARANGHARJA PABAYURAN BEKASI</v>
          </cell>
          <cell r="N47" t="str">
            <v>BEKASI</v>
          </cell>
          <cell r="O47">
            <v>29716</v>
          </cell>
          <cell r="P47">
            <v>0</v>
          </cell>
          <cell r="Q47" t="str">
            <v xml:space="preserve">ISLAM </v>
          </cell>
          <cell r="R47" t="str">
            <v xml:space="preserve">SMA </v>
          </cell>
          <cell r="S47" t="str">
            <v>K</v>
          </cell>
          <cell r="T47" t="str">
            <v>0002045476258</v>
          </cell>
          <cell r="U47" t="str">
            <v>19028495596</v>
          </cell>
          <cell r="V47" t="str">
            <v>3216131005810010</v>
          </cell>
          <cell r="W47">
            <v>0</v>
          </cell>
          <cell r="X47" t="str">
            <v>BI UMUMJ METROJAYA</v>
          </cell>
          <cell r="Y47" t="str">
            <v>81051205101096</v>
          </cell>
          <cell r="Z47">
            <v>0</v>
          </cell>
          <cell r="AA47">
            <v>0</v>
          </cell>
          <cell r="AB47">
            <v>0</v>
          </cell>
          <cell r="AC47">
            <v>45056</v>
          </cell>
          <cell r="AD47">
            <v>43969</v>
          </cell>
          <cell r="AE47">
            <v>44287</v>
          </cell>
          <cell r="AF47">
            <v>44469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C48" t="str">
            <v>MUHAMAD AMIN NULLAH</v>
          </cell>
          <cell r="D48" t="str">
            <v xml:space="preserve">DRIVER </v>
          </cell>
          <cell r="E48" t="str">
            <v>DRA01-2</v>
          </cell>
          <cell r="F48" t="str">
            <v>TTNT - CIBITUNG</v>
          </cell>
          <cell r="G48" t="str">
            <v>085889350750</v>
          </cell>
          <cell r="H48" t="str">
            <v>084501039744534</v>
          </cell>
          <cell r="I48" t="str">
            <v>BRI/GOMRAWI</v>
          </cell>
          <cell r="J48">
            <v>0</v>
          </cell>
          <cell r="K48" t="str">
            <v>085211981663</v>
          </cell>
          <cell r="L48" t="str">
            <v>AYAH</v>
          </cell>
          <cell r="M48" t="str">
            <v>KP BLOKANG DESA KARANGANYAR RT 004/006 KEC KARANG BAHAGIA KAB BEKASI</v>
          </cell>
          <cell r="N48" t="str">
            <v>BEKASI</v>
          </cell>
          <cell r="O48">
            <v>35833</v>
          </cell>
          <cell r="P48" t="str">
            <v>SARIPAH</v>
          </cell>
          <cell r="Q48" t="str">
            <v>ISLAM</v>
          </cell>
          <cell r="R48" t="str">
            <v>SMA</v>
          </cell>
          <cell r="S48" t="str">
            <v>L</v>
          </cell>
          <cell r="T48" t="str">
            <v xml:space="preserve">PBI APBN </v>
          </cell>
          <cell r="U48" t="str">
            <v>19028495604</v>
          </cell>
          <cell r="V48" t="str">
            <v>3216100702980005</v>
          </cell>
          <cell r="W48" t="str">
            <v>3216100504070782</v>
          </cell>
          <cell r="X48" t="str">
            <v>BII UMUM METROJAYA</v>
          </cell>
          <cell r="Y48" t="str">
            <v>970212230254</v>
          </cell>
          <cell r="Z48">
            <v>0</v>
          </cell>
          <cell r="AA48">
            <v>0</v>
          </cell>
          <cell r="AB48">
            <v>0</v>
          </cell>
          <cell r="AC48">
            <v>44599</v>
          </cell>
          <cell r="AD48">
            <v>43969</v>
          </cell>
          <cell r="AE48">
            <v>44256</v>
          </cell>
          <cell r="AF48">
            <v>44347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C49" t="str">
            <v>ATDI YUSHADI</v>
          </cell>
          <cell r="D49" t="str">
            <v xml:space="preserve">DRIVER </v>
          </cell>
          <cell r="E49" t="str">
            <v>M5TA01</v>
          </cell>
          <cell r="F49" t="str">
            <v>TTNT - CIBITUNG</v>
          </cell>
          <cell r="G49" t="str">
            <v>089524428676</v>
          </cell>
          <cell r="H49" t="str">
            <v>5775344145</v>
          </cell>
          <cell r="I49" t="str">
            <v>bca</v>
          </cell>
          <cell r="J49" t="str">
            <v>√</v>
          </cell>
          <cell r="K49" t="str">
            <v>089694086373</v>
          </cell>
          <cell r="L49" t="str">
            <v>PAMAN</v>
          </cell>
          <cell r="M49" t="str">
            <v>KP CIKEDOKAN RTT 005/012 DS SUKADAMU KEC CIKARANG BARAT KAB BEKASI</v>
          </cell>
          <cell r="N49" t="str">
            <v>JAKARTA</v>
          </cell>
          <cell r="O49">
            <v>28951</v>
          </cell>
          <cell r="P49" t="str">
            <v>SITI SUHARIAH</v>
          </cell>
          <cell r="Q49" t="str">
            <v>ISLAM</v>
          </cell>
          <cell r="R49" t="str">
            <v>SMK</v>
          </cell>
          <cell r="S49" t="str">
            <v>K</v>
          </cell>
          <cell r="T49" t="str">
            <v>0002053500737</v>
          </cell>
          <cell r="U49" t="str">
            <v>19003700630</v>
          </cell>
          <cell r="V49" t="str">
            <v>3603270604790005</v>
          </cell>
          <cell r="W49">
            <v>0</v>
          </cell>
          <cell r="X49" t="str">
            <v>BI UMUM METROJAYA</v>
          </cell>
          <cell r="Y49" t="str">
            <v>79041205970905</v>
          </cell>
          <cell r="Z49">
            <v>0</v>
          </cell>
          <cell r="AA49">
            <v>0</v>
          </cell>
          <cell r="AB49">
            <v>0</v>
          </cell>
          <cell r="AC49">
            <v>43561</v>
          </cell>
          <cell r="AD49">
            <v>43969</v>
          </cell>
          <cell r="AE49">
            <v>44287</v>
          </cell>
          <cell r="AF49">
            <v>44469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C50" t="str">
            <v xml:space="preserve">RASDI SUMASDI </v>
          </cell>
          <cell r="D50" t="str">
            <v xml:space="preserve">DRIVER </v>
          </cell>
          <cell r="E50" t="str">
            <v>FJS-01</v>
          </cell>
          <cell r="F50" t="str">
            <v>TTNT - CIBITUNG</v>
          </cell>
          <cell r="G50" t="str">
            <v>0812810001945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 xml:space="preserve">KP RAWA BANTENG RT 002/001 DESA MEKARWANGI KEC CIKARANG BARAT </v>
          </cell>
          <cell r="N50" t="str">
            <v xml:space="preserve">BEKASI </v>
          </cell>
          <cell r="O50">
            <v>33008</v>
          </cell>
          <cell r="P50">
            <v>0</v>
          </cell>
          <cell r="Q50" t="str">
            <v xml:space="preserve">ISLAM </v>
          </cell>
          <cell r="R50">
            <v>0</v>
          </cell>
          <cell r="S50" t="str">
            <v>K1</v>
          </cell>
          <cell r="T50" t="str">
            <v>0001123649684</v>
          </cell>
          <cell r="U50" t="str">
            <v>20027917978</v>
          </cell>
          <cell r="V50" t="str">
            <v>3216081505900001</v>
          </cell>
          <cell r="W50">
            <v>0</v>
          </cell>
          <cell r="X50" t="str">
            <v xml:space="preserve">BII UMUM JABAR </v>
          </cell>
          <cell r="Y50" t="str">
            <v>900513340772</v>
          </cell>
          <cell r="Z50">
            <v>0</v>
          </cell>
          <cell r="AA50">
            <v>0</v>
          </cell>
          <cell r="AB50">
            <v>0</v>
          </cell>
          <cell r="AC50">
            <v>44331</v>
          </cell>
          <cell r="AD50">
            <v>43969</v>
          </cell>
          <cell r="AE50">
            <v>44256</v>
          </cell>
          <cell r="AF50">
            <v>44347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C51" t="str">
            <v>KUSNANTO</v>
          </cell>
          <cell r="D51" t="str">
            <v xml:space="preserve">DRIVER </v>
          </cell>
          <cell r="E51" t="str">
            <v>M5TA01</v>
          </cell>
          <cell r="F51" t="str">
            <v>TTNT - CIBITUNG</v>
          </cell>
          <cell r="G51" t="str">
            <v>085727240755</v>
          </cell>
          <cell r="H51" t="str">
            <v>0300842038</v>
          </cell>
          <cell r="I51" t="str">
            <v>BCA</v>
          </cell>
          <cell r="J51" t="str">
            <v>√</v>
          </cell>
          <cell r="K51" t="str">
            <v>085773617036</v>
          </cell>
          <cell r="L51" t="str">
            <v>SUTIMAN/ORANGTUA</v>
          </cell>
          <cell r="M51" t="str">
            <v>TANJUNGSARI RT 012/004 KARANGJOHO KARANGDOWO KLATEN</v>
          </cell>
          <cell r="N51" t="str">
            <v>KLATEN</v>
          </cell>
          <cell r="O51">
            <v>33901</v>
          </cell>
          <cell r="P51">
            <v>0</v>
          </cell>
          <cell r="Q51" t="str">
            <v xml:space="preserve">ISLAM </v>
          </cell>
          <cell r="R51">
            <v>0</v>
          </cell>
          <cell r="S51">
            <v>0</v>
          </cell>
          <cell r="T51" t="str">
            <v>0001531263857</v>
          </cell>
          <cell r="U51" t="str">
            <v>19019042720</v>
          </cell>
          <cell r="V51" t="str">
            <v>3310132410920002</v>
          </cell>
          <cell r="W51">
            <v>0</v>
          </cell>
          <cell r="X51" t="str">
            <v>BII UMUM JATENG</v>
          </cell>
          <cell r="Y51" t="str">
            <v>921014430860</v>
          </cell>
          <cell r="Z51">
            <v>0</v>
          </cell>
          <cell r="AA51">
            <v>0</v>
          </cell>
          <cell r="AB51">
            <v>0</v>
          </cell>
          <cell r="AC51">
            <v>45223</v>
          </cell>
          <cell r="AD51">
            <v>43969</v>
          </cell>
          <cell r="AE51">
            <v>44256</v>
          </cell>
          <cell r="AF51">
            <v>44347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C52" t="str">
            <v xml:space="preserve">RANO KARNO </v>
          </cell>
          <cell r="D52" t="str">
            <v xml:space="preserve">DRIVER </v>
          </cell>
          <cell r="E52" t="str">
            <v xml:space="preserve">FUJISEAT </v>
          </cell>
          <cell r="F52" t="str">
            <v>TTNT - KRW</v>
          </cell>
          <cell r="G52" t="str">
            <v>083814130292</v>
          </cell>
          <cell r="H52" t="str">
            <v>2230671179</v>
          </cell>
          <cell r="I52" t="str">
            <v>BCA</v>
          </cell>
          <cell r="J52" t="str">
            <v>√</v>
          </cell>
          <cell r="K52" t="str">
            <v>083195512697</v>
          </cell>
          <cell r="L52" t="str">
            <v xml:space="preserve">IYAH MASRIYAH </v>
          </cell>
          <cell r="M52" t="str">
            <v xml:space="preserve">DUSUN BOJONGSANGKEUN DESA BOJONG TENGAH RT 002/001 KEL BOJONG TENGAH KEC PUSAKA JAYA KAB SUBANG </v>
          </cell>
          <cell r="N52" t="str">
            <v xml:space="preserve">SUBANG </v>
          </cell>
          <cell r="O52">
            <v>29037</v>
          </cell>
          <cell r="P52" t="str">
            <v>UTIN</v>
          </cell>
          <cell r="Q52" t="str">
            <v xml:space="preserve">ISLAM </v>
          </cell>
          <cell r="R52" t="str">
            <v>SLTP</v>
          </cell>
          <cell r="S52" t="str">
            <v>K2</v>
          </cell>
          <cell r="T52" t="str">
            <v xml:space="preserve">0001318204269 </v>
          </cell>
          <cell r="U52" t="str">
            <v>20004433841</v>
          </cell>
          <cell r="V52" t="str">
            <v>3213300107790084</v>
          </cell>
          <cell r="W52">
            <v>0</v>
          </cell>
          <cell r="X52" t="str">
            <v xml:space="preserve">BII UMUM JABAR </v>
          </cell>
          <cell r="Y52" t="str">
            <v>790713300981</v>
          </cell>
          <cell r="Z52">
            <v>0</v>
          </cell>
          <cell r="AA52">
            <v>0</v>
          </cell>
          <cell r="AB52">
            <v>0</v>
          </cell>
          <cell r="AC52">
            <v>44013</v>
          </cell>
          <cell r="AD52">
            <v>44047</v>
          </cell>
          <cell r="AE52">
            <v>44287</v>
          </cell>
          <cell r="AF52">
            <v>44469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C53" t="str">
            <v>FAHMI MATROTIN</v>
          </cell>
          <cell r="D53" t="str">
            <v xml:space="preserve">DRIVER </v>
          </cell>
          <cell r="E53" t="str">
            <v>DRA01-5</v>
          </cell>
          <cell r="F53" t="str">
            <v>TTNT - CIBITUNG</v>
          </cell>
          <cell r="G53" t="str">
            <v>087842284680</v>
          </cell>
          <cell r="H53" t="str">
            <v>1320737962</v>
          </cell>
          <cell r="I53" t="str">
            <v xml:space="preserve">BCA </v>
          </cell>
          <cell r="J53" t="str">
            <v>√</v>
          </cell>
          <cell r="K53" t="str">
            <v>085951330820</v>
          </cell>
          <cell r="L53" t="str">
            <v>ISTRI</v>
          </cell>
          <cell r="M53" t="str">
            <v>DK KEBANDINGAN RT 002/003 DS KENDAYAKAN KEC WARUREJA KAB TEGAL</v>
          </cell>
          <cell r="N53" t="str">
            <v>TEGAL</v>
          </cell>
          <cell r="O53">
            <v>33055</v>
          </cell>
          <cell r="P53" t="str">
            <v>MURNIASIH</v>
          </cell>
          <cell r="Q53" t="str">
            <v>ISLAM</v>
          </cell>
          <cell r="R53" t="str">
            <v>SLTP</v>
          </cell>
          <cell r="S53" t="str">
            <v>K</v>
          </cell>
          <cell r="T53" t="str">
            <v>0001968454901</v>
          </cell>
          <cell r="U53" t="str">
            <v>19041353269</v>
          </cell>
          <cell r="V53" t="str">
            <v>3328170107900043</v>
          </cell>
          <cell r="W53">
            <v>0</v>
          </cell>
          <cell r="X53" t="str">
            <v>BII UMUM</v>
          </cell>
          <cell r="Y53" t="str">
            <v>900614301421</v>
          </cell>
          <cell r="Z53">
            <v>0</v>
          </cell>
          <cell r="AA53">
            <v>0</v>
          </cell>
          <cell r="AB53">
            <v>0</v>
          </cell>
          <cell r="AC53">
            <v>45078</v>
          </cell>
          <cell r="AD53">
            <v>44075</v>
          </cell>
          <cell r="AE53">
            <v>44256</v>
          </cell>
          <cell r="AF53">
            <v>44347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43952</v>
          </cell>
        </row>
        <row r="54">
          <cell r="C54" t="str">
            <v xml:space="preserve">HERI PRASETIO </v>
          </cell>
          <cell r="D54" t="str">
            <v xml:space="preserve">DRIVER </v>
          </cell>
          <cell r="E54" t="str">
            <v>FJS-TDLINK</v>
          </cell>
          <cell r="F54" t="str">
            <v>TTNT - CIBITUNG</v>
          </cell>
          <cell r="G54" t="str">
            <v>081326444552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DESOREJO RT 004/002 DESA TEPANSAI KEC LOANO </v>
          </cell>
          <cell r="N54" t="str">
            <v xml:space="preserve">PURWOREJO </v>
          </cell>
          <cell r="O54">
            <v>34135</v>
          </cell>
          <cell r="P54">
            <v>0</v>
          </cell>
          <cell r="Q54" t="str">
            <v xml:space="preserve">ISLAM </v>
          </cell>
          <cell r="R54">
            <v>0</v>
          </cell>
          <cell r="S54">
            <v>0</v>
          </cell>
          <cell r="T54" t="str">
            <v>0001770256967</v>
          </cell>
          <cell r="U54" t="str">
            <v>20027917937</v>
          </cell>
          <cell r="V54" t="str">
            <v>3306151506930002</v>
          </cell>
          <cell r="W54">
            <v>0</v>
          </cell>
          <cell r="X54" t="str">
            <v xml:space="preserve">BII UMUM </v>
          </cell>
          <cell r="Y54" t="str">
            <v>25269306000061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44075</v>
          </cell>
          <cell r="AE54">
            <v>44256</v>
          </cell>
          <cell r="AF54">
            <v>44347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C55" t="str">
            <v>SURYANA</v>
          </cell>
          <cell r="D55" t="str">
            <v xml:space="preserve">DRIVER </v>
          </cell>
          <cell r="E55" t="str">
            <v>FJS-TDLINK</v>
          </cell>
          <cell r="F55" t="str">
            <v>TTNT - CIBITUNG</v>
          </cell>
          <cell r="G55" t="str">
            <v>081932601189</v>
          </cell>
          <cell r="H55" t="str">
            <v>8730443600</v>
          </cell>
          <cell r="I55" t="str">
            <v>BCA</v>
          </cell>
          <cell r="J55">
            <v>0</v>
          </cell>
          <cell r="K55">
            <v>0</v>
          </cell>
          <cell r="L55">
            <v>0</v>
          </cell>
          <cell r="M55" t="str">
            <v>KP CIBUBUR RT 02/05 SIMPANGAN KEC CIKARANG UTARA BEKASI</v>
          </cell>
          <cell r="N55" t="str">
            <v>BANDUNG</v>
          </cell>
          <cell r="O55">
            <v>29176</v>
          </cell>
          <cell r="P55">
            <v>0</v>
          </cell>
          <cell r="Q55" t="str">
            <v>ISLAM</v>
          </cell>
          <cell r="R55" t="str">
            <v>STM</v>
          </cell>
          <cell r="S55" t="str">
            <v>K2</v>
          </cell>
          <cell r="T55" t="str">
            <v>0001798844343</v>
          </cell>
          <cell r="U55" t="str">
            <v>20071957102</v>
          </cell>
          <cell r="V55" t="str">
            <v>3204161711790008</v>
          </cell>
          <cell r="W55">
            <v>0</v>
          </cell>
          <cell r="X55" t="str">
            <v>BI UMUM METROJAYA</v>
          </cell>
          <cell r="Y55" t="str">
            <v>79111205974142</v>
          </cell>
          <cell r="Z55">
            <v>0</v>
          </cell>
          <cell r="AA55">
            <v>0</v>
          </cell>
          <cell r="AB55" t="str">
            <v>14-12-2020</v>
          </cell>
          <cell r="AC55">
            <v>45613</v>
          </cell>
          <cell r="AD55">
            <v>44075</v>
          </cell>
          <cell r="AE55">
            <v>44256</v>
          </cell>
          <cell r="AF55">
            <v>44347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C56" t="str">
            <v xml:space="preserve">TANTOSO </v>
          </cell>
          <cell r="D56" t="str">
            <v xml:space="preserve">DRIVER </v>
          </cell>
          <cell r="E56" t="str">
            <v>DRA-1B</v>
          </cell>
          <cell r="F56" t="str">
            <v>TTNT - CIBITUNG</v>
          </cell>
          <cell r="G56" t="str">
            <v>081294929503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 t="str">
            <v>KP CIBEBER RT 02/05  KELURAHAN SIMPANGAN KEC. CIKARANG UTARA</v>
          </cell>
          <cell r="N56" t="str">
            <v>BREBES</v>
          </cell>
          <cell r="O56">
            <v>29387</v>
          </cell>
          <cell r="P56">
            <v>0</v>
          </cell>
          <cell r="Q56" t="str">
            <v>ISLAM</v>
          </cell>
          <cell r="R56">
            <v>0</v>
          </cell>
          <cell r="S56">
            <v>0</v>
          </cell>
          <cell r="T56" t="str">
            <v>0001258823081</v>
          </cell>
          <cell r="U56" t="str">
            <v>20071957128</v>
          </cell>
          <cell r="V56" t="str">
            <v>3216081506800052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44085</v>
          </cell>
          <cell r="AE56">
            <v>44256</v>
          </cell>
          <cell r="AF56">
            <v>44347</v>
          </cell>
          <cell r="AG56">
            <v>0</v>
          </cell>
          <cell r="AH56">
            <v>0</v>
          </cell>
          <cell r="AI56">
            <v>44043</v>
          </cell>
          <cell r="AJ56">
            <v>0</v>
          </cell>
          <cell r="AK56">
            <v>0</v>
          </cell>
        </row>
        <row r="57">
          <cell r="C57" t="str">
            <v xml:space="preserve">IRFAN SEPTIAN </v>
          </cell>
          <cell r="D57" t="str">
            <v xml:space="preserve">DRIVER </v>
          </cell>
          <cell r="E57" t="str">
            <v>DRA-04</v>
          </cell>
          <cell r="F57" t="str">
            <v>TTNT - CIBITUNG</v>
          </cell>
          <cell r="G57" t="str">
            <v>081905370242</v>
          </cell>
          <cell r="H57" t="str">
            <v>1290011642838</v>
          </cell>
          <cell r="I57" t="str">
            <v xml:space="preserve">MANDIRI </v>
          </cell>
          <cell r="J57">
            <v>0</v>
          </cell>
          <cell r="K57">
            <v>0</v>
          </cell>
          <cell r="L57">
            <v>0</v>
          </cell>
          <cell r="M57" t="str">
            <v>JL. LOGAM GG H GOJALI RT 003/003 KEL. KUJANG SARI KEC. BANDUNG KIDUL KOTA BANDUNG</v>
          </cell>
          <cell r="N57" t="str">
            <v>BANDUNG</v>
          </cell>
          <cell r="O57">
            <v>33497</v>
          </cell>
          <cell r="P57">
            <v>0</v>
          </cell>
          <cell r="Q57" t="str">
            <v>ISLAM</v>
          </cell>
          <cell r="R57">
            <v>0</v>
          </cell>
          <cell r="S57">
            <v>0</v>
          </cell>
          <cell r="T57" t="str">
            <v>0002309179768</v>
          </cell>
          <cell r="U57" t="str">
            <v>20071957110</v>
          </cell>
          <cell r="V57" t="str">
            <v>3273091609910001</v>
          </cell>
          <cell r="W57">
            <v>0</v>
          </cell>
          <cell r="X57" t="str">
            <v>BII UMUM</v>
          </cell>
          <cell r="Y57" t="str">
            <v>13289109000067</v>
          </cell>
          <cell r="Z57">
            <v>0</v>
          </cell>
          <cell r="AA57">
            <v>0</v>
          </cell>
          <cell r="AB57">
            <v>0</v>
          </cell>
          <cell r="AC57">
            <v>45818</v>
          </cell>
          <cell r="AD57">
            <v>44085</v>
          </cell>
          <cell r="AE57">
            <v>44256</v>
          </cell>
          <cell r="AF57">
            <v>44469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C58" t="str">
            <v>IRFANI</v>
          </cell>
          <cell r="D58" t="str">
            <v xml:space="preserve">DRIVER </v>
          </cell>
          <cell r="E58" t="str">
            <v>RYK-10</v>
          </cell>
          <cell r="F58" t="str">
            <v>TTNT - KRW</v>
          </cell>
          <cell r="G58" t="str">
            <v>085217075237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str">
            <v>PERUM GRIYA BAGASASI BLOK E2 NO 21 RT 002/001 DS SUKARUKUN KEC SUKATANI KAB BEKASI</v>
          </cell>
          <cell r="N58" t="str">
            <v>PASURUAN</v>
          </cell>
          <cell r="O58">
            <v>29381</v>
          </cell>
          <cell r="P58">
            <v>0</v>
          </cell>
          <cell r="Q58" t="str">
            <v>ISLAM</v>
          </cell>
          <cell r="R58">
            <v>0</v>
          </cell>
          <cell r="S58" t="str">
            <v>L</v>
          </cell>
          <cell r="T58" t="str">
            <v>0001767697896</v>
          </cell>
          <cell r="U58" t="str">
            <v>18098483508</v>
          </cell>
          <cell r="V58" t="str">
            <v>3216150906800005</v>
          </cell>
          <cell r="W58">
            <v>0</v>
          </cell>
          <cell r="X58" t="str">
            <v>BII UMUM METRO JAYA</v>
          </cell>
          <cell r="Y58" t="str">
            <v>8006120515195</v>
          </cell>
          <cell r="Z58">
            <v>0</v>
          </cell>
          <cell r="AA58">
            <v>0</v>
          </cell>
          <cell r="AB58">
            <v>0</v>
          </cell>
          <cell r="AC58">
            <v>45086</v>
          </cell>
          <cell r="AD58">
            <v>44085</v>
          </cell>
          <cell r="AE58">
            <v>44256</v>
          </cell>
          <cell r="AF58">
            <v>44347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C59" t="str">
            <v>VICKY ARMEDO PRASETYO</v>
          </cell>
          <cell r="D59" t="str">
            <v xml:space="preserve">DRIVER </v>
          </cell>
          <cell r="E59" t="str">
            <v>DRA-01</v>
          </cell>
          <cell r="F59" t="str">
            <v>TTNT - KRW</v>
          </cell>
          <cell r="G59" t="str">
            <v>081273606192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JL NAKULO NO134 RT 05/01 MAKASAR HALIM</v>
          </cell>
          <cell r="N59" t="str">
            <v xml:space="preserve">MAGETAN </v>
          </cell>
          <cell r="O59">
            <v>33314</v>
          </cell>
          <cell r="P59">
            <v>0</v>
          </cell>
          <cell r="Q59" t="str">
            <v xml:space="preserve">ISLAM </v>
          </cell>
          <cell r="R59" t="str">
            <v>SMK</v>
          </cell>
          <cell r="S59" t="str">
            <v>L</v>
          </cell>
          <cell r="T59" t="str">
            <v>0002280882791</v>
          </cell>
          <cell r="U59" t="str">
            <v>20071957144</v>
          </cell>
          <cell r="V59" t="str">
            <v>3175081703910006</v>
          </cell>
          <cell r="W59">
            <v>0</v>
          </cell>
          <cell r="X59" t="str">
            <v xml:space="preserve">BII UMUM METRO JAYA </v>
          </cell>
          <cell r="Y59" t="str">
            <v>91031205971960</v>
          </cell>
          <cell r="Z59">
            <v>0</v>
          </cell>
          <cell r="AA59">
            <v>0</v>
          </cell>
          <cell r="AB59">
            <v>0</v>
          </cell>
          <cell r="AC59">
            <v>45419</v>
          </cell>
          <cell r="AD59">
            <v>44085</v>
          </cell>
          <cell r="AE59">
            <v>44256</v>
          </cell>
          <cell r="AF59">
            <v>44347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C60" t="str">
            <v xml:space="preserve">AJI IRAWAN </v>
          </cell>
          <cell r="D60" t="str">
            <v xml:space="preserve">DRIVER </v>
          </cell>
          <cell r="E60" t="str">
            <v xml:space="preserve">DRA-01 </v>
          </cell>
          <cell r="F60" t="str">
            <v>TTNT - CIBITUNG</v>
          </cell>
          <cell r="G60" t="str">
            <v>085945415859</v>
          </cell>
          <cell r="H60">
            <v>0</v>
          </cell>
          <cell r="I60">
            <v>0</v>
          </cell>
          <cell r="J60">
            <v>0</v>
          </cell>
          <cell r="K60" t="str">
            <v>087887904465</v>
          </cell>
          <cell r="L60" t="str">
            <v xml:space="preserve">SRIMULYANI </v>
          </cell>
          <cell r="M60" t="str">
            <v xml:space="preserve">JLN BINA ASIH RT 002/009 KEL JATIASIH KEL JATIASIH BEKASI </v>
          </cell>
          <cell r="N60" t="str">
            <v xml:space="preserve">GROBOGAN </v>
          </cell>
          <cell r="O60">
            <v>33034</v>
          </cell>
          <cell r="P60" t="str">
            <v xml:space="preserve">SUGIYANTI </v>
          </cell>
          <cell r="Q60" t="str">
            <v xml:space="preserve">ISLAM </v>
          </cell>
          <cell r="R60" t="str">
            <v xml:space="preserve">SMA </v>
          </cell>
          <cell r="S60" t="str">
            <v>K</v>
          </cell>
          <cell r="T60" t="str">
            <v>0001861551718</v>
          </cell>
          <cell r="U60" t="str">
            <v>20013717879</v>
          </cell>
          <cell r="V60" t="str">
            <v>3172031006900012</v>
          </cell>
          <cell r="W60">
            <v>0</v>
          </cell>
          <cell r="X60" t="str">
            <v xml:space="preserve">BI UMUM </v>
          </cell>
          <cell r="Y60" t="str">
            <v>90061205982127</v>
          </cell>
          <cell r="Z60">
            <v>0</v>
          </cell>
          <cell r="AA60">
            <v>0</v>
          </cell>
          <cell r="AB60">
            <v>0</v>
          </cell>
          <cell r="AC60">
            <v>44722</v>
          </cell>
          <cell r="AD60">
            <v>44085</v>
          </cell>
          <cell r="AE60">
            <v>44256</v>
          </cell>
          <cell r="AF60">
            <v>44347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C61" t="str">
            <v>SUPRIYANTO</v>
          </cell>
          <cell r="D61" t="str">
            <v xml:space="preserve">DRIVER </v>
          </cell>
          <cell r="E61" t="str">
            <v>DIRECK ICH</v>
          </cell>
          <cell r="F61" t="str">
            <v>TTNT - CIBITUNG</v>
          </cell>
          <cell r="G61" t="str">
            <v>085210278666/085778348666</v>
          </cell>
          <cell r="H61" t="str">
            <v>4860211764</v>
          </cell>
          <cell r="I61" t="str">
            <v>BCA</v>
          </cell>
          <cell r="J61" t="str">
            <v>√</v>
          </cell>
          <cell r="K61" t="str">
            <v>081311313123</v>
          </cell>
          <cell r="L61" t="str">
            <v>ISTRI</v>
          </cell>
          <cell r="M61" t="str">
            <v>KP. RAWA JULANG RT 002/001 DS GANDA MEKAR CIKARANG BARAT</v>
          </cell>
          <cell r="N61" t="str">
            <v>CIREBON</v>
          </cell>
          <cell r="O61">
            <v>29771</v>
          </cell>
          <cell r="P61" t="str">
            <v>ASMI</v>
          </cell>
          <cell r="Q61" t="str">
            <v>ISLAM</v>
          </cell>
          <cell r="R61" t="str">
            <v>SMK</v>
          </cell>
          <cell r="S61" t="str">
            <v>K</v>
          </cell>
          <cell r="T61" t="str">
            <v>0002738965871</v>
          </cell>
          <cell r="U61" t="str">
            <v>19041353277</v>
          </cell>
          <cell r="V61" t="str">
            <v>3216080407810007</v>
          </cell>
          <cell r="W61">
            <v>0</v>
          </cell>
          <cell r="X61" t="str">
            <v xml:space="preserve">BII  </v>
          </cell>
          <cell r="Y61" t="str">
            <v>1205180722466</v>
          </cell>
          <cell r="Z61">
            <v>0</v>
          </cell>
          <cell r="AA61">
            <v>0</v>
          </cell>
          <cell r="AB61">
            <v>0</v>
          </cell>
          <cell r="AC61">
            <v>45111</v>
          </cell>
          <cell r="AD61">
            <v>44085</v>
          </cell>
          <cell r="AE61">
            <v>44256</v>
          </cell>
          <cell r="AF61">
            <v>44347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C62" t="str">
            <v>ARMAN</v>
          </cell>
          <cell r="D62" t="str">
            <v xml:space="preserve">DRIVER </v>
          </cell>
          <cell r="E62" t="str">
            <v>DRA-06</v>
          </cell>
          <cell r="F62" t="str">
            <v>TTNT - CIBITUNG</v>
          </cell>
          <cell r="G62" t="str">
            <v>085218704180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>KP. JATI RT 008/004 DS SEJATI KEC CIKARANG SELATAN KAB BEKASI</v>
          </cell>
          <cell r="N62" t="str">
            <v>BEKASI</v>
          </cell>
          <cell r="O62">
            <v>30043</v>
          </cell>
          <cell r="P62">
            <v>0</v>
          </cell>
          <cell r="Q62" t="str">
            <v>ISLAM</v>
          </cell>
          <cell r="R62" t="str">
            <v>SMK</v>
          </cell>
          <cell r="S62" t="str">
            <v>K2</v>
          </cell>
          <cell r="T62" t="str">
            <v>0001457407078</v>
          </cell>
          <cell r="U62" t="str">
            <v>19078340775</v>
          </cell>
          <cell r="V62" t="str">
            <v>3216190204820007</v>
          </cell>
          <cell r="W62">
            <v>0</v>
          </cell>
          <cell r="X62" t="str">
            <v>BI UMUM METROJAYA</v>
          </cell>
          <cell r="Y62" t="str">
            <v>820412055181</v>
          </cell>
          <cell r="Z62">
            <v>0</v>
          </cell>
          <cell r="AA62">
            <v>0</v>
          </cell>
          <cell r="AB62" t="str">
            <v>2-09-2021</v>
          </cell>
          <cell r="AC62">
            <v>45384</v>
          </cell>
          <cell r="AD62">
            <v>44085</v>
          </cell>
          <cell r="AE62">
            <v>44256</v>
          </cell>
          <cell r="AF62">
            <v>44347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C63" t="str">
            <v xml:space="preserve">HANDRI PLANI </v>
          </cell>
          <cell r="D63" t="str">
            <v xml:space="preserve">DRIVER </v>
          </cell>
          <cell r="E63" t="str">
            <v>MR-ASMO</v>
          </cell>
          <cell r="F63" t="str">
            <v>TTNT - CIBITUNG</v>
          </cell>
          <cell r="G63" t="str">
            <v>083104238706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>KP CITEREP HILIR RT 04/01 KEC. PANGALENGAN KAB. BANDUNG</v>
          </cell>
          <cell r="N63" t="str">
            <v>BANDUNG</v>
          </cell>
          <cell r="O63">
            <v>29666</v>
          </cell>
          <cell r="P63">
            <v>0</v>
          </cell>
          <cell r="Q63" t="str">
            <v>ISLAM</v>
          </cell>
          <cell r="R63">
            <v>0</v>
          </cell>
          <cell r="S63" t="str">
            <v>K</v>
          </cell>
          <cell r="T63" t="str">
            <v>PBI</v>
          </cell>
          <cell r="U63" t="str">
            <v>20071957136</v>
          </cell>
          <cell r="V63" t="str">
            <v>3204152103810002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44085</v>
          </cell>
          <cell r="AE63">
            <v>44256</v>
          </cell>
          <cell r="AF63">
            <v>44347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43952</v>
          </cell>
        </row>
        <row r="64">
          <cell r="C64" t="str">
            <v>NUR ALAMSYAH</v>
          </cell>
          <cell r="D64" t="str">
            <v xml:space="preserve">DRIVER </v>
          </cell>
          <cell r="E64" t="str">
            <v>RJE-01</v>
          </cell>
          <cell r="F64" t="str">
            <v>TTNT - CIBITUNG</v>
          </cell>
          <cell r="G64" t="str">
            <v>088225631219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Villa mutiara jaya blok m.97 no1 rt001 rw011 desa wanajaya kecamatan cibitung</v>
          </cell>
          <cell r="N64" t="str">
            <v>BEKASI</v>
          </cell>
          <cell r="O64">
            <v>34448</v>
          </cell>
          <cell r="P64">
            <v>0</v>
          </cell>
          <cell r="Q64" t="str">
            <v>ISLAM</v>
          </cell>
          <cell r="R64">
            <v>0</v>
          </cell>
          <cell r="S64" t="str">
            <v>K</v>
          </cell>
          <cell r="T64" t="str">
            <v>0003057388817</v>
          </cell>
          <cell r="U64" t="str">
            <v>20082215540</v>
          </cell>
          <cell r="V64" t="str">
            <v>3216072404940011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44107</v>
          </cell>
          <cell r="AE64">
            <v>44287</v>
          </cell>
          <cell r="AF64">
            <v>44469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C65" t="str">
            <v>ADE RAHMAT</v>
          </cell>
          <cell r="D65" t="str">
            <v xml:space="preserve">DRIVER </v>
          </cell>
          <cell r="E65" t="str">
            <v>M2CBCK</v>
          </cell>
          <cell r="F65" t="str">
            <v>TTNT - CIBITUNG</v>
          </cell>
          <cell r="G65" t="str">
            <v>083807084614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Kp.sampor Rt.07 Rw.05 Ds. Jaya mulya Kec. Serang baru Kab. Bekasi</v>
          </cell>
          <cell r="N65" t="str">
            <v>BEKAS</v>
          </cell>
          <cell r="O65">
            <v>36671</v>
          </cell>
          <cell r="P65">
            <v>0</v>
          </cell>
          <cell r="Q65" t="str">
            <v>ISLAM</v>
          </cell>
          <cell r="R65" t="str">
            <v>SMP</v>
          </cell>
          <cell r="S65">
            <v>0</v>
          </cell>
          <cell r="T65" t="str">
            <v>0001188397045</v>
          </cell>
          <cell r="U65" t="str">
            <v>20082215524</v>
          </cell>
          <cell r="V65" t="str">
            <v>3216212505000005</v>
          </cell>
          <cell r="W65">
            <v>0</v>
          </cell>
          <cell r="X65" t="str">
            <v>BI UMUM METROJAYA</v>
          </cell>
          <cell r="Y65" t="str">
            <v>25051205893463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44123</v>
          </cell>
          <cell r="AE65">
            <v>44317</v>
          </cell>
          <cell r="AF65">
            <v>44408</v>
          </cell>
          <cell r="AG65">
            <v>44409</v>
          </cell>
          <cell r="AH65">
            <v>44500</v>
          </cell>
          <cell r="AI65">
            <v>0</v>
          </cell>
          <cell r="AJ65">
            <v>0</v>
          </cell>
          <cell r="AK65">
            <v>0</v>
          </cell>
        </row>
        <row r="66">
          <cell r="C66" t="str">
            <v>INDRAWAN</v>
          </cell>
          <cell r="D66" t="str">
            <v xml:space="preserve">DRIVER </v>
          </cell>
          <cell r="E66" t="str">
            <v>DRA-04</v>
          </cell>
          <cell r="F66" t="str">
            <v>TTNT - CIBITUNG</v>
          </cell>
          <cell r="G66" t="str">
            <v>081287940924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KP KEDONGDONG RT08/06 KEC. SUNTER JAYA KAB.JAKARTA UTARA</v>
          </cell>
          <cell r="N66" t="str">
            <v>KUNINGAN</v>
          </cell>
          <cell r="O66">
            <v>30493</v>
          </cell>
          <cell r="P66">
            <v>0</v>
          </cell>
          <cell r="Q66" t="str">
            <v>ISLAM</v>
          </cell>
          <cell r="R66">
            <v>0</v>
          </cell>
          <cell r="S66" t="str">
            <v>K</v>
          </cell>
          <cell r="T66" t="str">
            <v>0001225149175</v>
          </cell>
          <cell r="U66" t="str">
            <v>20082215565</v>
          </cell>
          <cell r="V66" t="str">
            <v>3172022606830024</v>
          </cell>
          <cell r="W66">
            <v>0</v>
          </cell>
          <cell r="X66" t="str">
            <v>BII UMUM</v>
          </cell>
          <cell r="Y66" t="str">
            <v>12058306001329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44123</v>
          </cell>
          <cell r="AE66">
            <v>44317</v>
          </cell>
          <cell r="AF66">
            <v>44408</v>
          </cell>
          <cell r="AG66">
            <v>44409</v>
          </cell>
          <cell r="AH66">
            <v>44500</v>
          </cell>
          <cell r="AI66">
            <v>0</v>
          </cell>
          <cell r="AJ66">
            <v>0</v>
          </cell>
          <cell r="AK66">
            <v>0</v>
          </cell>
        </row>
        <row r="67">
          <cell r="C67" t="str">
            <v>DEDI PRIATNA</v>
          </cell>
          <cell r="D67" t="str">
            <v xml:space="preserve">DRIVER </v>
          </cell>
          <cell r="E67" t="str">
            <v>M2CBKB</v>
          </cell>
          <cell r="F67" t="str">
            <v>TTNT - CIBITUNG</v>
          </cell>
          <cell r="G67" t="str">
            <v>087738760107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Kp.  Jati rt. 001 rw. 003 desa. Burangkeng kec. Setu kab. Bekasi</v>
          </cell>
          <cell r="N67" t="str">
            <v>BEKASI</v>
          </cell>
          <cell r="O67">
            <v>29835</v>
          </cell>
          <cell r="P67">
            <v>0</v>
          </cell>
          <cell r="Q67" t="str">
            <v>ISLAM</v>
          </cell>
          <cell r="R67" t="str">
            <v>SMA</v>
          </cell>
          <cell r="S67" t="str">
            <v>K</v>
          </cell>
          <cell r="T67" t="str">
            <v>PBI ( 0000490283335)</v>
          </cell>
          <cell r="U67" t="str">
            <v>20082215508</v>
          </cell>
          <cell r="V67" t="str">
            <v>3216180609810005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44123</v>
          </cell>
          <cell r="AE67">
            <v>44317</v>
          </cell>
          <cell r="AF67">
            <v>44408</v>
          </cell>
          <cell r="AG67">
            <v>44409</v>
          </cell>
          <cell r="AH67">
            <v>44500</v>
          </cell>
          <cell r="AI67">
            <v>0</v>
          </cell>
          <cell r="AJ67">
            <v>0</v>
          </cell>
          <cell r="AK67">
            <v>43952</v>
          </cell>
        </row>
        <row r="68">
          <cell r="C68" t="str">
            <v>IMAM HARDIAN</v>
          </cell>
          <cell r="D68" t="str">
            <v xml:space="preserve">DRIVER </v>
          </cell>
          <cell r="E68" t="str">
            <v>RJE-01</v>
          </cell>
          <cell r="F68" t="str">
            <v>TTNT - CIBITUNG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PULO GEBANG RT 011/003 DS PULOGEBANG KEC CAKUNG JAKARTA TIMUR</v>
          </cell>
          <cell r="N68" t="str">
            <v>JAKARTA</v>
          </cell>
          <cell r="O68">
            <v>33351</v>
          </cell>
          <cell r="P68">
            <v>0</v>
          </cell>
          <cell r="Q68" t="str">
            <v>ISLAM</v>
          </cell>
          <cell r="R68">
            <v>0</v>
          </cell>
          <cell r="S68">
            <v>0</v>
          </cell>
          <cell r="T68" t="str">
            <v>0001216743311</v>
          </cell>
          <cell r="U68" t="str">
            <v>21004399966</v>
          </cell>
          <cell r="V68" t="str">
            <v>3175062804910002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44167</v>
          </cell>
          <cell r="AE68">
            <v>44256</v>
          </cell>
          <cell r="AF68">
            <v>44347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C69" t="str">
            <v>HERI PURNOMO</v>
          </cell>
          <cell r="D69" t="str">
            <v xml:space="preserve">DRIVER </v>
          </cell>
          <cell r="E69" t="str">
            <v>M5TA01</v>
          </cell>
          <cell r="F69" t="str">
            <v>TTNT - CIBITUNG</v>
          </cell>
          <cell r="G69" t="str">
            <v>081294752019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str">
            <v>KP KANDANG RT 001/006 DS SUKARAYA KEC KARANG BAHAGIA KAB BEKASI</v>
          </cell>
          <cell r="N69" t="str">
            <v>BANYUMAS</v>
          </cell>
          <cell r="O69">
            <v>31822</v>
          </cell>
          <cell r="P69">
            <v>0</v>
          </cell>
          <cell r="Q69" t="str">
            <v>ISLAM</v>
          </cell>
          <cell r="R69" t="str">
            <v>SMP</v>
          </cell>
          <cell r="S69" t="str">
            <v>K1</v>
          </cell>
          <cell r="T69" t="str">
            <v>0001638806815</v>
          </cell>
          <cell r="U69" t="str">
            <v>21004399933</v>
          </cell>
          <cell r="V69" t="str">
            <v>3302161402870001</v>
          </cell>
          <cell r="W69" t="str">
            <v>3216101811160008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44172</v>
          </cell>
          <cell r="AE69">
            <v>44256</v>
          </cell>
          <cell r="AF69">
            <v>44347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C70" t="str">
            <v>DEDE ROSADI</v>
          </cell>
          <cell r="D70" t="str">
            <v xml:space="preserve">DRIVER </v>
          </cell>
          <cell r="E70" t="str">
            <v>FJS02</v>
          </cell>
          <cell r="F70" t="str">
            <v>TTNT - CIBITUNG</v>
          </cell>
          <cell r="G70" t="str">
            <v>081212441578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str">
            <v>PERUM CIBARUSAH JAYA BLOK C8 NO 9 RT 004/008 KEL CIBARUSAH JAYA, CIBARUSAH, BEKASI</v>
          </cell>
          <cell r="N70" t="str">
            <v>TASIKMALAYA</v>
          </cell>
          <cell r="O70">
            <v>31048</v>
          </cell>
          <cell r="P70">
            <v>0</v>
          </cell>
          <cell r="Q70" t="str">
            <v>ISLAM</v>
          </cell>
          <cell r="R70">
            <v>0</v>
          </cell>
          <cell r="S70" t="str">
            <v>K</v>
          </cell>
          <cell r="T70" t="str">
            <v>0001804620947</v>
          </cell>
          <cell r="U70" t="str">
            <v>21004399958</v>
          </cell>
          <cell r="V70" t="str">
            <v>1611040101850016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44180</v>
          </cell>
          <cell r="AE70">
            <v>44256</v>
          </cell>
          <cell r="AF70">
            <v>44347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C71" t="str">
            <v>ARIS RACHMAT KURNIAWAN</v>
          </cell>
          <cell r="D71" t="str">
            <v xml:space="preserve">DRIVER </v>
          </cell>
          <cell r="E71" t="str">
            <v>FJS -KBU</v>
          </cell>
          <cell r="F71" t="str">
            <v>TTNT - CIBITUNG</v>
          </cell>
          <cell r="G71" t="str">
            <v>089655288666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str">
            <v>KP. CALINGCING RT 004/004 KEL. SINDANGLAYA KEC. KARANGPAWITAN KAB. GARUT</v>
          </cell>
          <cell r="N71" t="str">
            <v>GARUT</v>
          </cell>
          <cell r="O71">
            <v>34611</v>
          </cell>
          <cell r="P71">
            <v>0</v>
          </cell>
          <cell r="Q71" t="str">
            <v>ISLAM</v>
          </cell>
          <cell r="R71">
            <v>0</v>
          </cell>
          <cell r="S71">
            <v>0</v>
          </cell>
          <cell r="T71" t="str">
            <v>0000069953242</v>
          </cell>
          <cell r="U71" t="str">
            <v>21011325186</v>
          </cell>
          <cell r="V71" t="str">
            <v>3205020410940004</v>
          </cell>
          <cell r="W71">
            <v>0</v>
          </cell>
          <cell r="X71" t="str">
            <v>BI UMUM</v>
          </cell>
          <cell r="Y71" t="str">
            <v>13339410000036</v>
          </cell>
          <cell r="Z71">
            <v>0</v>
          </cell>
          <cell r="AA71">
            <v>0</v>
          </cell>
          <cell r="AB71">
            <v>0</v>
          </cell>
          <cell r="AC71">
            <v>45663</v>
          </cell>
          <cell r="AD71">
            <v>44208</v>
          </cell>
          <cell r="AE71">
            <v>44287</v>
          </cell>
          <cell r="AF71">
            <v>44469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C72" t="str">
            <v>SUGIARTO</v>
          </cell>
          <cell r="D72" t="str">
            <v xml:space="preserve">DRIVER </v>
          </cell>
          <cell r="E72" t="str">
            <v>DRA01-6</v>
          </cell>
          <cell r="F72" t="str">
            <v>TTNT - CIBITUNG</v>
          </cell>
          <cell r="G72" t="str">
            <v>081218951406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str">
            <v>CITRA INDAH BUKIT AKASIA, JONGGOL</v>
          </cell>
          <cell r="N72" t="str">
            <v>JAKARTA</v>
          </cell>
          <cell r="O72">
            <v>27882</v>
          </cell>
          <cell r="P72">
            <v>0</v>
          </cell>
          <cell r="Q72" t="str">
            <v>ISLAM</v>
          </cell>
          <cell r="R72">
            <v>0</v>
          </cell>
          <cell r="S72">
            <v>0</v>
          </cell>
          <cell r="T72" t="str">
            <v>0001386640282</v>
          </cell>
          <cell r="U72" t="str">
            <v>21017941176</v>
          </cell>
          <cell r="V72" t="str">
            <v>3175050205760007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44211</v>
          </cell>
          <cell r="AE72">
            <v>44287</v>
          </cell>
          <cell r="AF72">
            <v>44469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C73" t="str">
            <v>YOGI</v>
          </cell>
          <cell r="D73" t="str">
            <v xml:space="preserve">DRIVER </v>
          </cell>
          <cell r="E73" t="str">
            <v>YIMM</v>
          </cell>
          <cell r="F73" t="str">
            <v>TTNT - KRW</v>
          </cell>
          <cell r="G73" t="str">
            <v>089529202547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str">
            <v>KP SUKAMANTRI RT 006/003 KEL. SUKARAYA KEC. KARANG BAHAGIA KAB. BEKASI</v>
          </cell>
          <cell r="N73" t="str">
            <v>BEKASI</v>
          </cell>
          <cell r="O73">
            <v>33958</v>
          </cell>
          <cell r="P73">
            <v>0</v>
          </cell>
          <cell r="Q73" t="str">
            <v>ISLAM</v>
          </cell>
          <cell r="R73" t="str">
            <v>SMA</v>
          </cell>
          <cell r="S73" t="str">
            <v>K1</v>
          </cell>
          <cell r="T73" t="str">
            <v>0002140559177</v>
          </cell>
          <cell r="U73" t="str">
            <v>21011325194</v>
          </cell>
          <cell r="V73" t="str">
            <v>3216102012920007</v>
          </cell>
          <cell r="W73" t="str">
            <v>3216101807130015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44214</v>
          </cell>
          <cell r="AE73">
            <v>44317</v>
          </cell>
          <cell r="AF73">
            <v>44408</v>
          </cell>
          <cell r="AG73">
            <v>44409</v>
          </cell>
          <cell r="AH73">
            <v>44500</v>
          </cell>
          <cell r="AI73">
            <v>0</v>
          </cell>
          <cell r="AJ73">
            <v>0</v>
          </cell>
          <cell r="AK73">
            <v>0</v>
          </cell>
        </row>
        <row r="74">
          <cell r="C74" t="str">
            <v>KARMA</v>
          </cell>
          <cell r="D74" t="str">
            <v xml:space="preserve">DRIVER </v>
          </cell>
          <cell r="E74" t="str">
            <v>YIMM</v>
          </cell>
          <cell r="F74" t="str">
            <v>TTNT - KRW</v>
          </cell>
          <cell r="G74" t="str">
            <v>08561224083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str">
            <v>PANGASINAN RT 001/001 DESA KARANGLIGAR KECA. TELUKJAMBE BARAT KAB. KARAWANG</v>
          </cell>
          <cell r="N74" t="str">
            <v>KARAWANG</v>
          </cell>
          <cell r="O74">
            <v>32621</v>
          </cell>
          <cell r="P74">
            <v>0</v>
          </cell>
          <cell r="Q74" t="str">
            <v>ISLAM</v>
          </cell>
          <cell r="R74" t="str">
            <v>SMP</v>
          </cell>
          <cell r="S74" t="str">
            <v>K2</v>
          </cell>
          <cell r="T74" t="str">
            <v>0002483437151</v>
          </cell>
          <cell r="U74" t="str">
            <v>21017941168</v>
          </cell>
          <cell r="V74" t="str">
            <v>3215272304890001</v>
          </cell>
          <cell r="W74" t="str">
            <v>3215271212140001</v>
          </cell>
          <cell r="X74" t="str">
            <v>BII UMUM</v>
          </cell>
          <cell r="Y74" t="str">
            <v>890413281271</v>
          </cell>
          <cell r="Z74">
            <v>0</v>
          </cell>
          <cell r="AA74">
            <v>0</v>
          </cell>
          <cell r="AB74" t="str">
            <v>26-03-2023</v>
          </cell>
          <cell r="AC74">
            <v>44674</v>
          </cell>
          <cell r="AD74">
            <v>44225</v>
          </cell>
          <cell r="AE74">
            <v>44317</v>
          </cell>
          <cell r="AF74">
            <v>44408</v>
          </cell>
          <cell r="AG74">
            <v>44409</v>
          </cell>
          <cell r="AH74">
            <v>44500</v>
          </cell>
          <cell r="AI74">
            <v>0</v>
          </cell>
          <cell r="AJ74">
            <v>0</v>
          </cell>
          <cell r="AK74">
            <v>0</v>
          </cell>
        </row>
        <row r="75">
          <cell r="C75" t="str">
            <v>RHEZA RUNOVALIYANA</v>
          </cell>
          <cell r="D75" t="str">
            <v xml:space="preserve">DRIVER </v>
          </cell>
          <cell r="E75" t="str">
            <v>YIMM</v>
          </cell>
          <cell r="F75" t="str">
            <v>TTNT - KRW</v>
          </cell>
          <cell r="G75" t="str">
            <v>085781510791</v>
          </cell>
          <cell r="H75">
            <v>0</v>
          </cell>
          <cell r="I75">
            <v>0</v>
          </cell>
          <cell r="J75">
            <v>0</v>
          </cell>
          <cell r="K75" t="str">
            <v>082111049477</v>
          </cell>
          <cell r="L75">
            <v>0</v>
          </cell>
          <cell r="M75" t="str">
            <v>BANJARATMA RT 009/010 KEL. BANJARATMA KECAMATAN BULAKAMBA KAB. BREBES</v>
          </cell>
          <cell r="N75" t="str">
            <v>TEGAL</v>
          </cell>
          <cell r="O75">
            <v>33551</v>
          </cell>
          <cell r="P75">
            <v>0</v>
          </cell>
          <cell r="Q75" t="str">
            <v>ISLAM</v>
          </cell>
          <cell r="R75" t="str">
            <v>SMA</v>
          </cell>
          <cell r="S75" t="str">
            <v>K2</v>
          </cell>
          <cell r="T75" t="str">
            <v>0002194787531 HRS PAKE FORM 37, DATA GANDA</v>
          </cell>
          <cell r="U75" t="str">
            <v>21017941093</v>
          </cell>
          <cell r="V75" t="str">
            <v>3215030911910008</v>
          </cell>
          <cell r="W75" t="str">
            <v>3329140205170007</v>
          </cell>
          <cell r="X75" t="str">
            <v>BII UMUM</v>
          </cell>
          <cell r="Y75" t="str">
            <v>14319111000207</v>
          </cell>
          <cell r="Z75">
            <v>0</v>
          </cell>
          <cell r="AA75" t="str">
            <v>14-09-2021</v>
          </cell>
          <cell r="AB75">
            <v>0</v>
          </cell>
          <cell r="AC75">
            <v>46012</v>
          </cell>
          <cell r="AD75">
            <v>44225</v>
          </cell>
          <cell r="AE75">
            <v>44317</v>
          </cell>
          <cell r="AF75">
            <v>44408</v>
          </cell>
          <cell r="AG75">
            <v>44409</v>
          </cell>
          <cell r="AH75">
            <v>44500</v>
          </cell>
          <cell r="AI75">
            <v>0</v>
          </cell>
          <cell r="AJ75">
            <v>0</v>
          </cell>
          <cell r="AK75">
            <v>0</v>
          </cell>
        </row>
        <row r="76">
          <cell r="C76" t="str">
            <v>KOMAR</v>
          </cell>
          <cell r="D76" t="str">
            <v xml:space="preserve">DRIVER </v>
          </cell>
          <cell r="E76" t="str">
            <v>DRA01-6</v>
          </cell>
          <cell r="F76" t="str">
            <v>TTNT - CIBITUNG</v>
          </cell>
          <cell r="G76" t="str">
            <v>085887776031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 t="str">
            <v>KP. RAWAKASO RT 019/009 DESA JATISARI KEC CILEUNGSI KAB BOGOR</v>
          </cell>
          <cell r="N76" t="str">
            <v>BEKASI</v>
          </cell>
          <cell r="O76">
            <v>32102</v>
          </cell>
          <cell r="P76">
            <v>0</v>
          </cell>
          <cell r="Q76" t="str">
            <v>ISLAM</v>
          </cell>
          <cell r="R76">
            <v>0</v>
          </cell>
          <cell r="S76">
            <v>0</v>
          </cell>
          <cell r="T76" t="str">
            <v>0003065047121</v>
          </cell>
          <cell r="U76" t="str">
            <v>21004399941</v>
          </cell>
          <cell r="V76" t="str">
            <v>3216192111870001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44228</v>
          </cell>
          <cell r="AE76">
            <v>44317</v>
          </cell>
          <cell r="AF76">
            <v>44408</v>
          </cell>
          <cell r="AG76">
            <v>0</v>
          </cell>
          <cell r="AH76">
            <v>0</v>
          </cell>
          <cell r="AI76">
            <v>44408</v>
          </cell>
          <cell r="AJ76" t="str">
            <v>KONTRAK TIDAK DIPERPANJANG</v>
          </cell>
          <cell r="AK76">
            <v>0</v>
          </cell>
        </row>
        <row r="77">
          <cell r="C77" t="str">
            <v>SANDI HENDRIANA</v>
          </cell>
          <cell r="D77" t="str">
            <v xml:space="preserve">DRIVER </v>
          </cell>
          <cell r="E77" t="str">
            <v>DRA01-4</v>
          </cell>
          <cell r="F77" t="str">
            <v>TTNT - CIBITUNG</v>
          </cell>
          <cell r="G77" t="str">
            <v>085814969668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str">
            <v>DUSUN IV RT 036/007 DS CITENJO KEC CIBINGBIN KAB KUNINGAN</v>
          </cell>
          <cell r="N77" t="str">
            <v>BANDUNG</v>
          </cell>
          <cell r="O77">
            <v>32824</v>
          </cell>
          <cell r="P77">
            <v>0</v>
          </cell>
          <cell r="Q77" t="str">
            <v>ISLAM</v>
          </cell>
          <cell r="R77" t="str">
            <v>SMA</v>
          </cell>
          <cell r="S77" t="str">
            <v>K2</v>
          </cell>
          <cell r="T77" t="str">
            <v>0002182079395</v>
          </cell>
          <cell r="U77" t="str">
            <v>20092685351</v>
          </cell>
          <cell r="V77" t="str">
            <v>3204131211890002</v>
          </cell>
          <cell r="W77" t="str">
            <v>3208052203190001</v>
          </cell>
          <cell r="X77" t="str">
            <v>BII UMUM</v>
          </cell>
          <cell r="Y77" t="str">
            <v>1305181006112</v>
          </cell>
          <cell r="Z77">
            <v>0</v>
          </cell>
          <cell r="AA77">
            <v>0</v>
          </cell>
          <cell r="AB77" t="str">
            <v>26-04-2023</v>
          </cell>
          <cell r="AC77">
            <v>45242</v>
          </cell>
          <cell r="AD77">
            <v>44228</v>
          </cell>
          <cell r="AE77">
            <v>44317</v>
          </cell>
          <cell r="AF77">
            <v>44408</v>
          </cell>
          <cell r="AG77">
            <v>44409</v>
          </cell>
          <cell r="AH77">
            <v>44500</v>
          </cell>
          <cell r="AI77">
            <v>0</v>
          </cell>
          <cell r="AJ77">
            <v>0</v>
          </cell>
          <cell r="AK77">
            <v>0</v>
          </cell>
        </row>
        <row r="78">
          <cell r="C78" t="str">
            <v>ROSANDI</v>
          </cell>
          <cell r="D78" t="str">
            <v xml:space="preserve">DRIVER </v>
          </cell>
          <cell r="E78" t="str">
            <v>DRA01-1</v>
          </cell>
          <cell r="F78" t="str">
            <v>TTNT - CIBITUNG</v>
          </cell>
          <cell r="G78" t="str">
            <v>085720990422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 t="str">
            <v>KP. CARINGIN TONGGOH RT 001/004 DS NYANGKOWEK KEC CURUG KAB SUKABUMI</v>
          </cell>
          <cell r="N78" t="str">
            <v>SUKABUMI</v>
          </cell>
          <cell r="O78">
            <v>34469</v>
          </cell>
          <cell r="P78">
            <v>0</v>
          </cell>
          <cell r="Q78" t="str">
            <v>ISLAM</v>
          </cell>
          <cell r="R78" t="str">
            <v>SMP</v>
          </cell>
          <cell r="S78" t="str">
            <v>K1</v>
          </cell>
          <cell r="T78" t="str">
            <v>0002245125789</v>
          </cell>
          <cell r="U78" t="str">
            <v>20092685344</v>
          </cell>
          <cell r="V78" t="str">
            <v>3202161505940007</v>
          </cell>
          <cell r="W78" t="str">
            <v>3202161309160001</v>
          </cell>
          <cell r="X78" t="str">
            <v>BI UMUM</v>
          </cell>
          <cell r="Y78" t="str">
            <v>340513440680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44228</v>
          </cell>
          <cell r="AE78">
            <v>44317</v>
          </cell>
          <cell r="AF78">
            <v>44408</v>
          </cell>
          <cell r="AG78">
            <v>44409</v>
          </cell>
          <cell r="AH78">
            <v>44500</v>
          </cell>
          <cell r="AI78">
            <v>0</v>
          </cell>
          <cell r="AJ78">
            <v>0</v>
          </cell>
          <cell r="AK78">
            <v>0</v>
          </cell>
        </row>
        <row r="79">
          <cell r="C79" t="str">
            <v>JANTO SIHOMBING</v>
          </cell>
          <cell r="D79" t="str">
            <v xml:space="preserve">DRIVER </v>
          </cell>
          <cell r="E79" t="str">
            <v>BACKUP</v>
          </cell>
          <cell r="F79" t="str">
            <v>TTNT - CIBITUNG</v>
          </cell>
          <cell r="G79" t="str">
            <v>081297720595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str">
            <v>PERUM KARTIKA WANASARI BLOK E1/29 RT009/031KEL. WANASARI KEC. CIBITUNG KAB. BEKASI</v>
          </cell>
          <cell r="N79" t="str">
            <v>KENTARA</v>
          </cell>
          <cell r="O79">
            <v>34389</v>
          </cell>
          <cell r="P79">
            <v>0</v>
          </cell>
          <cell r="Q79" t="str">
            <v>KRISTEN</v>
          </cell>
          <cell r="R79" t="str">
            <v>SMP</v>
          </cell>
          <cell r="S79" t="str">
            <v>K2</v>
          </cell>
          <cell r="T79" t="str">
            <v>0000242458953 PBI AKTIF</v>
          </cell>
          <cell r="U79" t="str">
            <v>21017941143</v>
          </cell>
          <cell r="V79" t="str">
            <v>1211110504920002</v>
          </cell>
          <cell r="W79" t="str">
            <v>3216071408180022</v>
          </cell>
          <cell r="X79" t="str">
            <v>BII UMU</v>
          </cell>
          <cell r="Y79" t="str">
            <v>920425270555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44229</v>
          </cell>
          <cell r="AE79">
            <v>44317</v>
          </cell>
          <cell r="AF79">
            <v>44408</v>
          </cell>
          <cell r="AG79">
            <v>44409</v>
          </cell>
          <cell r="AH79">
            <v>44500</v>
          </cell>
          <cell r="AI79">
            <v>0</v>
          </cell>
          <cell r="AJ79">
            <v>0</v>
          </cell>
          <cell r="AK79">
            <v>0</v>
          </cell>
        </row>
        <row r="80">
          <cell r="C80" t="str">
            <v>ANDI KUSNADI</v>
          </cell>
          <cell r="D80" t="str">
            <v xml:space="preserve">DRIVER </v>
          </cell>
          <cell r="E80" t="str">
            <v>BACKUP</v>
          </cell>
          <cell r="F80" t="str">
            <v>TTNT - CIBITUNG</v>
          </cell>
          <cell r="G80" t="str">
            <v>083844466102/082324528486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str">
            <v>KASIH KEBON DALEM RT003/002 DESA KASIH - PURBALINGGA</v>
          </cell>
          <cell r="N80" t="str">
            <v>TEGAL</v>
          </cell>
          <cell r="O80">
            <v>29495</v>
          </cell>
          <cell r="P80">
            <v>0</v>
          </cell>
          <cell r="Q80" t="str">
            <v>ISLAM</v>
          </cell>
          <cell r="R80" t="str">
            <v>SMA</v>
          </cell>
          <cell r="S80" t="str">
            <v>K2</v>
          </cell>
          <cell r="T80" t="str">
            <v>0001860464878</v>
          </cell>
          <cell r="U80" t="str">
            <v>21017941150</v>
          </cell>
          <cell r="V80" t="str">
            <v>3328160110800008</v>
          </cell>
          <cell r="W80" t="str">
            <v>3303180601180000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44231</v>
          </cell>
          <cell r="AE80">
            <v>44317</v>
          </cell>
          <cell r="AF80">
            <v>44408</v>
          </cell>
          <cell r="AG80">
            <v>44409</v>
          </cell>
          <cell r="AH80">
            <v>44500</v>
          </cell>
          <cell r="AI80">
            <v>0</v>
          </cell>
          <cell r="AJ80">
            <v>0</v>
          </cell>
          <cell r="AK80">
            <v>0</v>
          </cell>
        </row>
        <row r="81">
          <cell r="C81" t="str">
            <v>LINDA NURJAMAN</v>
          </cell>
          <cell r="D81" t="str">
            <v xml:space="preserve">DRIVER </v>
          </cell>
          <cell r="E81" t="str">
            <v>BACKUP</v>
          </cell>
          <cell r="F81" t="str">
            <v>TTNT - CIBITUNG</v>
          </cell>
          <cell r="G81" t="str">
            <v>0881024735300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str">
            <v>KOMP. CHANDRA BARU RT 009/017 KEL. JATIRAHAYU KEC. PONDOK MELATI KOTA BEKASI</v>
          </cell>
          <cell r="N81" t="str">
            <v>GARUT</v>
          </cell>
          <cell r="O81">
            <v>31316</v>
          </cell>
          <cell r="P81">
            <v>0</v>
          </cell>
          <cell r="Q81" t="str">
            <v>ISLAM</v>
          </cell>
          <cell r="R81" t="str">
            <v>SMA</v>
          </cell>
          <cell r="S81" t="str">
            <v>K2</v>
          </cell>
          <cell r="T81" t="str">
            <v>0001657806906</v>
          </cell>
          <cell r="U81" t="str">
            <v>21017941184</v>
          </cell>
          <cell r="V81" t="str">
            <v>3216052609850006</v>
          </cell>
          <cell r="W81" t="str">
            <v>3275120608150006</v>
          </cell>
          <cell r="X81" t="str">
            <v>BI UMUM</v>
          </cell>
          <cell r="Y81" t="str">
            <v>85091205973017</v>
          </cell>
          <cell r="Z81">
            <v>0</v>
          </cell>
          <cell r="AA81">
            <v>0</v>
          </cell>
          <cell r="AB81">
            <v>45576</v>
          </cell>
          <cell r="AC81">
            <v>44465</v>
          </cell>
          <cell r="AD81">
            <v>44235</v>
          </cell>
          <cell r="AE81">
            <v>44317</v>
          </cell>
          <cell r="AF81">
            <v>44408</v>
          </cell>
          <cell r="AG81">
            <v>44409</v>
          </cell>
          <cell r="AH81">
            <v>44500</v>
          </cell>
          <cell r="AI81">
            <v>0</v>
          </cell>
          <cell r="AJ81">
            <v>0</v>
          </cell>
          <cell r="AK81">
            <v>0</v>
          </cell>
        </row>
        <row r="82">
          <cell r="C82" t="str">
            <v>ROY</v>
          </cell>
          <cell r="D82" t="str">
            <v xml:space="preserve">DRIVER </v>
          </cell>
          <cell r="E82" t="str">
            <v>MILKRUN</v>
          </cell>
          <cell r="F82" t="str">
            <v>TTNT - KRW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str">
            <v>KP. CIBUNTU RT 001/002 KEL. CIBUNTU KEC. CIBUNTU KAB. BEKASI</v>
          </cell>
          <cell r="N82" t="str">
            <v>JAKARTA</v>
          </cell>
          <cell r="O82">
            <v>31801</v>
          </cell>
          <cell r="P82">
            <v>0</v>
          </cell>
          <cell r="Q82" t="str">
            <v>ISLAM</v>
          </cell>
          <cell r="R82">
            <v>0</v>
          </cell>
          <cell r="S82" t="str">
            <v>K</v>
          </cell>
          <cell r="T82" t="str">
            <v>0001321975563</v>
          </cell>
          <cell r="U82" t="str">
            <v>21025507456</v>
          </cell>
          <cell r="V82" t="str">
            <v>3216062401870007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44274</v>
          </cell>
          <cell r="AE82">
            <v>44274</v>
          </cell>
          <cell r="AF82">
            <v>44377</v>
          </cell>
          <cell r="AG82">
            <v>44409</v>
          </cell>
          <cell r="AH82">
            <v>44500</v>
          </cell>
          <cell r="AI82">
            <v>0</v>
          </cell>
          <cell r="AJ82">
            <v>0</v>
          </cell>
          <cell r="AK82">
            <v>0</v>
          </cell>
        </row>
        <row r="83">
          <cell r="C83" t="str">
            <v>EKO DARMAWAN</v>
          </cell>
          <cell r="D83" t="str">
            <v xml:space="preserve">DRIVER </v>
          </cell>
          <cell r="E83" t="str">
            <v>MILKRUN</v>
          </cell>
          <cell r="F83" t="str">
            <v>TTNT - KRW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 t="str">
            <v>KP. SUNGAI BEGOG RT 010/003 KEL. SEMBER TIMUR KEC. CILINCING JAKARTA UTARA</v>
          </cell>
          <cell r="N83" t="str">
            <v>JAKARTA</v>
          </cell>
          <cell r="O83">
            <v>33745</v>
          </cell>
          <cell r="P83">
            <v>0</v>
          </cell>
          <cell r="Q83" t="str">
            <v>ISLAM</v>
          </cell>
          <cell r="R83">
            <v>0</v>
          </cell>
          <cell r="S83" t="str">
            <v>K</v>
          </cell>
          <cell r="T83" t="str">
            <v>0001284838929 PBI AKTIF</v>
          </cell>
          <cell r="U83" t="str">
            <v>21025507464</v>
          </cell>
          <cell r="V83" t="str">
            <v>3172032105920006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44274</v>
          </cell>
          <cell r="AE83">
            <v>44274</v>
          </cell>
          <cell r="AF83">
            <v>44377</v>
          </cell>
          <cell r="AG83">
            <v>44409</v>
          </cell>
          <cell r="AH83">
            <v>44500</v>
          </cell>
          <cell r="AI83">
            <v>0</v>
          </cell>
          <cell r="AJ83">
            <v>0</v>
          </cell>
          <cell r="AK83">
            <v>0</v>
          </cell>
        </row>
        <row r="84">
          <cell r="C84" t="str">
            <v>MARTAHAN PETRUS SINAGA</v>
          </cell>
          <cell r="D84" t="str">
            <v xml:space="preserve">DRIVER </v>
          </cell>
          <cell r="E84" t="str">
            <v>MILKRUN</v>
          </cell>
          <cell r="F84" t="str">
            <v>TTNT - CIBITUNG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 t="str">
            <v>PERUM PURI CIJAMBE BLOK D6 NO. 19 KEL. SUKADAMI KEC. CIKARANG SELATAN KAB. BEKASI</v>
          </cell>
          <cell r="N84" t="str">
            <v>SIBATU-BATU</v>
          </cell>
          <cell r="O84">
            <v>29691</v>
          </cell>
          <cell r="P84">
            <v>0</v>
          </cell>
          <cell r="Q84" t="str">
            <v>KATHOLIK</v>
          </cell>
          <cell r="R84">
            <v>0</v>
          </cell>
          <cell r="S84" t="str">
            <v>K</v>
          </cell>
          <cell r="T84" t="str">
            <v>0002769924611</v>
          </cell>
          <cell r="U84" t="str">
            <v>21025507472</v>
          </cell>
          <cell r="V84" t="str">
            <v>1272071504810003</v>
          </cell>
          <cell r="W84" t="str">
            <v>3216192502190016</v>
          </cell>
          <cell r="X84" t="str">
            <v>BII UMUM</v>
          </cell>
          <cell r="Y84" t="str">
            <v>12058104001379</v>
          </cell>
          <cell r="Z84">
            <v>0</v>
          </cell>
          <cell r="AA84">
            <v>0</v>
          </cell>
          <cell r="AB84" t="str">
            <v>11/03/2021</v>
          </cell>
          <cell r="AC84">
            <v>45910</v>
          </cell>
          <cell r="AD84">
            <v>44277</v>
          </cell>
          <cell r="AE84">
            <v>44277</v>
          </cell>
          <cell r="AF84">
            <v>44377</v>
          </cell>
          <cell r="AG84">
            <v>44409</v>
          </cell>
          <cell r="AH84">
            <v>44500</v>
          </cell>
          <cell r="AI84">
            <v>0</v>
          </cell>
          <cell r="AJ84">
            <v>0</v>
          </cell>
          <cell r="AK84">
            <v>0</v>
          </cell>
        </row>
        <row r="85">
          <cell r="C85" t="str">
            <v>MA'SHUM MUBAROK</v>
          </cell>
          <cell r="D85" t="str">
            <v xml:space="preserve">DRIVER </v>
          </cell>
          <cell r="E85" t="str">
            <v>MILKRUN</v>
          </cell>
          <cell r="F85" t="str">
            <v>TTNT - KRW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 t="str">
            <v>DUSUN BAKUNGAN RT 001/001 KEL. MULYOREJO KEC. KESESI KAB. PEKALONGAN</v>
          </cell>
          <cell r="N85" t="str">
            <v>PEKALONGAN</v>
          </cell>
          <cell r="O85">
            <v>30864</v>
          </cell>
          <cell r="P85">
            <v>0</v>
          </cell>
          <cell r="Q85" t="str">
            <v>ISLAM</v>
          </cell>
          <cell r="R85">
            <v>0</v>
          </cell>
          <cell r="S85">
            <v>0</v>
          </cell>
          <cell r="T85" t="str">
            <v>0001457473724</v>
          </cell>
          <cell r="U85" t="str">
            <v>21025507480</v>
          </cell>
          <cell r="V85" t="str">
            <v>3326090107840041</v>
          </cell>
          <cell r="W85" t="str">
            <v>3326090608090004</v>
          </cell>
          <cell r="X85" t="str">
            <v>BII UMUM</v>
          </cell>
          <cell r="Y85" t="str">
            <v>840725265759</v>
          </cell>
          <cell r="Z85">
            <v>0</v>
          </cell>
          <cell r="AA85">
            <v>0</v>
          </cell>
          <cell r="AB85" t="str">
            <v>07/12/2020</v>
          </cell>
          <cell r="AC85">
            <v>44743</v>
          </cell>
          <cell r="AD85">
            <v>44256</v>
          </cell>
          <cell r="AE85">
            <v>44256</v>
          </cell>
          <cell r="AF85">
            <v>44347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C86" t="str">
            <v>AGUS TIANA</v>
          </cell>
          <cell r="D86" t="str">
            <v xml:space="preserve">DRIVER </v>
          </cell>
          <cell r="E86" t="str">
            <v>MILKRUN</v>
          </cell>
          <cell r="F86" t="str">
            <v>TTNT - KRW</v>
          </cell>
          <cell r="G86" t="str">
            <v>082258491617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 t="str">
            <v>DUSUN I RT 001/001 KEL. SUKOSARI KEC. KALIREJO KAB. LAMPUNG TENGAH</v>
          </cell>
          <cell r="N86" t="str">
            <v>BOGOR</v>
          </cell>
          <cell r="O86">
            <v>35643</v>
          </cell>
          <cell r="P86">
            <v>0</v>
          </cell>
          <cell r="Q86">
            <v>44347</v>
          </cell>
          <cell r="R86">
            <v>0</v>
          </cell>
          <cell r="S86">
            <v>0</v>
          </cell>
          <cell r="T86" t="str">
            <v>0001962456849 PBI AKTIF</v>
          </cell>
          <cell r="U86" t="str">
            <v>21017941101</v>
          </cell>
          <cell r="V86" t="str">
            <v>1802010108970005</v>
          </cell>
          <cell r="W86" t="str">
            <v>1802011602120006</v>
          </cell>
          <cell r="X86" t="str">
            <v>BI UMUM</v>
          </cell>
          <cell r="Y86" t="str">
            <v>950825285420</v>
          </cell>
          <cell r="Z86">
            <v>0</v>
          </cell>
          <cell r="AA86">
            <v>0</v>
          </cell>
          <cell r="AB86" t="str">
            <v>23/02/2023</v>
          </cell>
          <cell r="AC86">
            <v>44774</v>
          </cell>
          <cell r="AD86">
            <v>44256</v>
          </cell>
          <cell r="AE86">
            <v>44256</v>
          </cell>
          <cell r="AF86">
            <v>44347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C87" t="str">
            <v>YUSUP MUSTOPA</v>
          </cell>
          <cell r="D87" t="str">
            <v xml:space="preserve">DRIVER </v>
          </cell>
          <cell r="E87" t="str">
            <v>MILKRUN</v>
          </cell>
          <cell r="F87" t="str">
            <v>TTNT - KRW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 t="str">
            <v>DUSUN SUMEDANGAN RT 003/002 DS. PURWADANA KEC. TELUKJAMBE TIMUR KAB. KARAWANG</v>
          </cell>
          <cell r="N87" t="str">
            <v>TANGERANG</v>
          </cell>
          <cell r="O87">
            <v>34581</v>
          </cell>
          <cell r="P87">
            <v>0</v>
          </cell>
          <cell r="Q87" t="str">
            <v>ISLAM</v>
          </cell>
          <cell r="R87">
            <v>0</v>
          </cell>
          <cell r="S87" t="str">
            <v>L</v>
          </cell>
          <cell r="T87" t="str">
            <v>0002142753434</v>
          </cell>
          <cell r="U87" t="str">
            <v>21025507423</v>
          </cell>
          <cell r="V87" t="str">
            <v>3215030409940004</v>
          </cell>
          <cell r="W87">
            <v>0</v>
          </cell>
          <cell r="X87" t="str">
            <v>BI UMUM</v>
          </cell>
          <cell r="Y87" t="str">
            <v>940913280650</v>
          </cell>
          <cell r="Z87">
            <v>0</v>
          </cell>
          <cell r="AA87">
            <v>0</v>
          </cell>
          <cell r="AB87">
            <v>0</v>
          </cell>
          <cell r="AC87">
            <v>44443</v>
          </cell>
          <cell r="AD87">
            <v>44277</v>
          </cell>
          <cell r="AE87">
            <v>44277</v>
          </cell>
          <cell r="AF87">
            <v>44377</v>
          </cell>
          <cell r="AG87">
            <v>44409</v>
          </cell>
          <cell r="AH87">
            <v>44500</v>
          </cell>
          <cell r="AI87" t="str">
            <v>PKWT 1</v>
          </cell>
          <cell r="AJ87">
            <v>0</v>
          </cell>
          <cell r="AK87">
            <v>0</v>
          </cell>
        </row>
        <row r="88">
          <cell r="C88" t="str">
            <v>PARLIN HUTABARAT</v>
          </cell>
          <cell r="D88" t="str">
            <v xml:space="preserve">DRIVER </v>
          </cell>
          <cell r="E88" t="str">
            <v>MILKRUN</v>
          </cell>
          <cell r="F88" t="str">
            <v>TTNT - KRW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 t="str">
            <v>KP. TONJONG RT 008/004 KEL. SUKAGARAM KEC. SERANG BARU KAB. BEKASI</v>
          </cell>
          <cell r="N88" t="str">
            <v>HELPET</v>
          </cell>
          <cell r="O88">
            <v>31637</v>
          </cell>
          <cell r="P88">
            <v>0</v>
          </cell>
          <cell r="Q88" t="str">
            <v>KRISTEN</v>
          </cell>
          <cell r="R88">
            <v>0</v>
          </cell>
          <cell r="S88" t="str">
            <v>L</v>
          </cell>
          <cell r="T88" t="str">
            <v>0001465472586</v>
          </cell>
          <cell r="U88" t="str">
            <v>21025507431</v>
          </cell>
          <cell r="V88" t="str">
            <v>1207261308860008</v>
          </cell>
          <cell r="W88">
            <v>0</v>
          </cell>
          <cell r="X88" t="str">
            <v>BI UMUM</v>
          </cell>
          <cell r="Y88" t="str">
            <v>12058608000197</v>
          </cell>
          <cell r="Z88">
            <v>0</v>
          </cell>
          <cell r="AA88" t="str">
            <v>14/10/2020</v>
          </cell>
          <cell r="AB88">
            <v>0</v>
          </cell>
          <cell r="AC88">
            <v>45882</v>
          </cell>
          <cell r="AD88">
            <v>44277</v>
          </cell>
          <cell r="AE88">
            <v>44277</v>
          </cell>
          <cell r="AF88">
            <v>44377</v>
          </cell>
          <cell r="AG88">
            <v>0</v>
          </cell>
          <cell r="AH88">
            <v>0</v>
          </cell>
          <cell r="AI88">
            <v>44408</v>
          </cell>
          <cell r="AJ88" t="str">
            <v>KONTRAK TIDAK DIPERPANJANG</v>
          </cell>
          <cell r="AK88">
            <v>0</v>
          </cell>
        </row>
        <row r="89">
          <cell r="C89" t="str">
            <v>AGUNG SETIAWAN</v>
          </cell>
          <cell r="D89" t="str">
            <v xml:space="preserve">DRIVER </v>
          </cell>
          <cell r="E89" t="str">
            <v>MILKRUN</v>
          </cell>
          <cell r="F89" t="str">
            <v>TTNT - CIBITUNG</v>
          </cell>
          <cell r="G89" t="str">
            <v>081380018681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KP CINYOSOG RT 004/004 KEL. BURANGKENG KEC.  SETU KAB. BEKASI</v>
          </cell>
          <cell r="N89" t="str">
            <v>NAMBAH DADI</v>
          </cell>
          <cell r="O89">
            <v>33502</v>
          </cell>
          <cell r="P89">
            <v>0</v>
          </cell>
          <cell r="Q89" t="str">
            <v>ISLAM</v>
          </cell>
          <cell r="R89" t="str">
            <v>SMA</v>
          </cell>
          <cell r="S89" t="str">
            <v>K2</v>
          </cell>
          <cell r="T89" t="str">
            <v>0002743587641</v>
          </cell>
          <cell r="U89" t="str">
            <v>21017941127</v>
          </cell>
          <cell r="V89" t="str">
            <v>1802072109910002</v>
          </cell>
          <cell r="W89" t="str">
            <v>3216181101190003</v>
          </cell>
          <cell r="X89" t="str">
            <v>B I UMUM</v>
          </cell>
          <cell r="Y89" t="str">
            <v>25289109000033</v>
          </cell>
          <cell r="Z89">
            <v>0</v>
          </cell>
          <cell r="AA89">
            <v>0</v>
          </cell>
          <cell r="AB89" t="str">
            <v>01-08/2021</v>
          </cell>
          <cell r="AC89">
            <v>45922</v>
          </cell>
          <cell r="AD89">
            <v>44229</v>
          </cell>
          <cell r="AE89">
            <v>44317</v>
          </cell>
          <cell r="AF89">
            <v>44408</v>
          </cell>
          <cell r="AG89">
            <v>44409</v>
          </cell>
          <cell r="AH89">
            <v>44500</v>
          </cell>
          <cell r="AI89">
            <v>0</v>
          </cell>
          <cell r="AJ89">
            <v>0</v>
          </cell>
          <cell r="AK89">
            <v>0</v>
          </cell>
        </row>
        <row r="90">
          <cell r="C90" t="str">
            <v>JAMIL ISMAIL</v>
          </cell>
          <cell r="D90" t="str">
            <v xml:space="preserve">DRIVER </v>
          </cell>
          <cell r="E90" t="str">
            <v>MILKRUN</v>
          </cell>
          <cell r="F90" t="str">
            <v>TTNT - CIBITUNG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DUSUN TEGAL BUAH RT 003/001 KEL. CIPTAMARGI KEC. CILEBAR KAB. KARAWANG</v>
          </cell>
          <cell r="N90" t="str">
            <v>KARAWANG</v>
          </cell>
          <cell r="O90">
            <v>29037</v>
          </cell>
          <cell r="P90">
            <v>0</v>
          </cell>
          <cell r="Q90" t="str">
            <v>ISLAM</v>
          </cell>
          <cell r="R90">
            <v>0</v>
          </cell>
          <cell r="S90" t="str">
            <v>L</v>
          </cell>
          <cell r="T90">
            <v>0</v>
          </cell>
          <cell r="U90" t="str">
            <v>21032312676</v>
          </cell>
          <cell r="V90" t="str">
            <v>3215301603720003</v>
          </cell>
          <cell r="W90">
            <v>0</v>
          </cell>
          <cell r="X90" t="str">
            <v>BII UMUM</v>
          </cell>
          <cell r="Y90" t="str">
            <v>780313280116</v>
          </cell>
          <cell r="Z90">
            <v>0</v>
          </cell>
          <cell r="AA90">
            <v>0</v>
          </cell>
          <cell r="AB90">
            <v>0</v>
          </cell>
          <cell r="AC90">
            <v>45368</v>
          </cell>
          <cell r="AD90">
            <v>44302</v>
          </cell>
          <cell r="AE90">
            <v>44302</v>
          </cell>
          <cell r="AF90">
            <v>44408</v>
          </cell>
          <cell r="AG90">
            <v>44409</v>
          </cell>
          <cell r="AH90">
            <v>44500</v>
          </cell>
          <cell r="AI90" t="str">
            <v>PKWT 1</v>
          </cell>
          <cell r="AJ90">
            <v>0</v>
          </cell>
          <cell r="AK90">
            <v>0</v>
          </cell>
        </row>
        <row r="91">
          <cell r="C91" t="str">
            <v>NURHASAN</v>
          </cell>
          <cell r="D91" t="str">
            <v>DRIVER</v>
          </cell>
          <cell r="E91" t="str">
            <v>MILKRUN</v>
          </cell>
          <cell r="F91" t="str">
            <v>TTNT - CIBITUNG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KP. RAWAJULANG RT 005/002 KEL. MEKARWANGI KEC. CIKARANG BARAT KAB. BEKASI</v>
          </cell>
          <cell r="N91" t="str">
            <v>BEKASI</v>
          </cell>
          <cell r="O91">
            <v>28620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 t="str">
            <v>0001250559764</v>
          </cell>
          <cell r="U91" t="str">
            <v>21032312650</v>
          </cell>
          <cell r="V91" t="str">
            <v>3216081005780023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44287</v>
          </cell>
          <cell r="AE91">
            <v>44287</v>
          </cell>
          <cell r="AF91">
            <v>44469</v>
          </cell>
          <cell r="AG91">
            <v>0</v>
          </cell>
          <cell r="AH91">
            <v>0</v>
          </cell>
          <cell r="AI91" t="str">
            <v>PKWT 1</v>
          </cell>
          <cell r="AJ91">
            <v>0</v>
          </cell>
          <cell r="AK91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tabColor rgb="FF7030A0"/>
  </sheetPr>
  <dimension ref="A1:BG168"/>
  <sheetViews>
    <sheetView tabSelected="1" zoomScale="70" zoomScaleNormal="70" workbookViewId="0">
      <pane xSplit="8" ySplit="9" topLeftCell="I24" activePane="bottomRight" state="frozen"/>
      <selection pane="topRight" activeCell="I1" sqref="I1"/>
      <selection pane="bottomLeft" activeCell="A10" sqref="A10"/>
      <selection pane="bottomRight" activeCell="R9" sqref="R9"/>
    </sheetView>
  </sheetViews>
  <sheetFormatPr defaultRowHeight="15" x14ac:dyDescent="0.25"/>
  <cols>
    <col min="1" max="1" width="10.85546875" customWidth="1" style="103"/>
    <col min="2" max="2" width="10.42578125" customWidth="1" style="103"/>
    <col min="3" max="3" width="34.28515625" customWidth="1" style="103"/>
    <col min="4" max="4" width="10" customWidth="1" style="103"/>
    <col min="5" max="5" width="8" customWidth="1" style="103"/>
    <col min="6" max="6" bestFit="1" width="7.42578125" customWidth="1" style="103"/>
    <col min="7" max="7" bestFit="1" width="4.5703125" customWidth="1" style="103"/>
    <col min="8" max="8" bestFit="1" width="10.42578125" customWidth="1" style="103"/>
    <col min="9" max="9" bestFit="1" width="5.140625" customWidth="1" style="103"/>
    <col min="10" max="10" width="6" customWidth="1" style="103"/>
    <col min="11" max="11" bestFit="1" width="5.140625" customWidth="1" style="103"/>
    <col min="12" max="12" bestFit="1" width="9.85546875" customWidth="1" style="103"/>
    <col min="13" max="13" bestFit="1" width="15.85546875" customWidth="1" style="110"/>
    <col min="14" max="14" bestFit="1" width="8" customWidth="1" style="110"/>
    <col min="15" max="15" bestFit="1" width="12.140625" customWidth="1" style="110"/>
    <col min="16" max="16" bestFit="1" width="15.28515625" customWidth="1" style="103"/>
    <col min="17" max="17" bestFit="1" width="14.140625" customWidth="1" style="103"/>
    <col min="18" max="18" bestFit="1" width="15.140625" customWidth="1" style="103"/>
    <col min="19" max="19" bestFit="1" width="15.85546875" customWidth="1" style="103"/>
    <col min="20" max="20" bestFit="1" width="12.140625" customWidth="1" style="103"/>
    <col min="21" max="21" bestFit="1" width="14.28515625" customWidth="1" style="110"/>
    <col min="22" max="22" bestFit="1" width="13.42578125" customWidth="1" style="103"/>
    <col min="23" max="24" bestFit="1" width="11.5703125" customWidth="1" style="103"/>
    <col min="25" max="25" width="15" customWidth="1" style="103"/>
    <col min="26" max="26" bestFit="1" width="30.28515625" customWidth="1" style="103"/>
    <col min="27" max="27" bestFit="1" width="10.42578125" customWidth="1" style="103"/>
    <col min="28" max="28" bestFit="1" width="13.42578125" customWidth="1" style="103"/>
    <col min="29" max="29" bestFit="1" width="12.140625" customWidth="1" style="103"/>
    <col min="30" max="31" bestFit="1" width="10.5703125" customWidth="1" style="103"/>
    <col min="32" max="33" bestFit="1" width="13.42578125" customWidth="1" style="103"/>
    <col min="34" max="34" bestFit="1" width="14.140625" customWidth="1" style="103"/>
    <col min="35" max="35" bestFit="1" width="7.7109375" customWidth="1" style="103"/>
    <col min="36" max="36" bestFit="1" width="13.42578125" customWidth="1" style="103"/>
    <col min="37" max="37" bestFit="1" width="15" customWidth="1" style="110"/>
    <col min="38" max="38" bestFit="1" width="8.85546875" customWidth="1" style="110"/>
    <col min="39" max="39" bestFit="1" width="15.28515625" customWidth="1" style="110"/>
    <col min="40" max="40" width="14.7109375" customWidth="1" style="110"/>
    <col min="41" max="42" bestFit="1" width="12.85546875" customWidth="1" style="110"/>
    <col min="43" max="43" bestFit="1" width="12.140625" customWidth="1" style="110"/>
    <col min="44" max="44" width="12.140625" customWidth="1" style="110"/>
    <col min="45" max="45" bestFit="1" width="18.28515625" customWidth="1" style="103"/>
    <col min="46" max="46" hidden="1" width="5.140625" customWidth="1" style="103"/>
    <col min="47" max="47" bestFit="1" width="4.85546875" customWidth="1" style="103"/>
    <col min="48" max="48" bestFit="1" width="34.42578125" customWidth="1" style="105"/>
    <col min="49" max="49" bestFit="1" width="17.28515625" customWidth="1" style="58"/>
    <col min="50" max="50" bestFit="1" width="12" customWidth="1" style="104"/>
    <col min="51" max="52" width="9.7109375" customWidth="1" style="103"/>
    <col min="53" max="53" bestFit="1" width="16" customWidth="1" style="103"/>
    <col min="54" max="54" bestFit="1" width="15" customWidth="1" style="103"/>
    <col min="55" max="55" bestFit="1" width="13.85546875" customWidth="1" style="103"/>
    <col min="56" max="56" bestFit="1" width="11.5703125" customWidth="1" style="103"/>
    <col min="57" max="16384" width="9.140625" customWidth="1" style="103"/>
  </cols>
  <sheetData>
    <row r="1">
      <c r="AC1" s="102" t="s">
        <v>215</v>
      </c>
      <c r="AD1" s="102">
        <v>4500000</v>
      </c>
      <c r="AH1" s="122"/>
      <c r="AV1" s="105">
        <f>45+39</f>
        <v>84</v>
      </c>
    </row>
    <row r="2">
      <c r="M2" s="146"/>
      <c r="AC2" s="102" t="s">
        <v>216</v>
      </c>
      <c r="AD2" s="102">
        <v>4875000</v>
      </c>
    </row>
    <row r="3">
      <c r="M3" s="260" t="s">
        <v>264</v>
      </c>
      <c r="N3" s="261" t="s">
        <v>270</v>
      </c>
      <c r="O3" s="146"/>
      <c r="AC3" s="102" t="s">
        <v>217</v>
      </c>
      <c r="AD3" s="102">
        <v>5250000</v>
      </c>
      <c r="AJ3" s="31"/>
      <c r="BA3" s="101"/>
    </row>
    <row r="4">
      <c r="M4" s="256">
        <v>172000</v>
      </c>
      <c r="N4" s="110">
        <f>4498962/25</f>
        <v>179958.48</v>
      </c>
      <c r="O4" s="146"/>
      <c r="AC4" s="102" t="s">
        <v>218</v>
      </c>
      <c r="AD4" s="102">
        <v>5625000</v>
      </c>
      <c r="AT4" s="101"/>
      <c r="BA4" s="225"/>
    </row>
    <row r="5">
      <c r="O5" s="146"/>
      <c r="AC5" s="102" t="s">
        <v>219</v>
      </c>
      <c r="AD5" s="102">
        <v>6000000</v>
      </c>
    </row>
    <row r="6">
      <c r="C6" s="103">
        <v>1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  <c r="L6" s="103">
        <v>12</v>
      </c>
      <c r="M6" s="110">
        <v>13</v>
      </c>
      <c r="N6" s="110">
        <v>14</v>
      </c>
      <c r="O6" s="110">
        <v>15</v>
      </c>
      <c r="P6" s="103">
        <v>16</v>
      </c>
      <c r="Q6" s="103">
        <v>17</v>
      </c>
      <c r="R6" s="103">
        <v>18</v>
      </c>
      <c r="S6" s="103">
        <v>19</v>
      </c>
      <c r="T6" s="103">
        <v>18</v>
      </c>
      <c r="U6" s="110">
        <v>21</v>
      </c>
      <c r="V6" s="103">
        <v>22</v>
      </c>
      <c r="W6" s="103">
        <v>23</v>
      </c>
      <c r="X6" s="103">
        <v>24</v>
      </c>
      <c r="Y6" s="103">
        <v>25</v>
      </c>
      <c r="Z6" s="103">
        <v>26</v>
      </c>
      <c r="AA6" s="103">
        <v>27</v>
      </c>
      <c r="AB6" s="103">
        <v>28</v>
      </c>
      <c r="AC6" s="103">
        <v>29</v>
      </c>
      <c r="AD6" s="103">
        <v>30</v>
      </c>
      <c r="AE6" s="103">
        <v>31</v>
      </c>
      <c r="AF6" s="103">
        <v>32</v>
      </c>
      <c r="AG6" s="103">
        <v>33</v>
      </c>
      <c r="AH6" s="103">
        <v>34</v>
      </c>
      <c r="AI6" s="103">
        <v>35</v>
      </c>
      <c r="AJ6" s="103">
        <v>36</v>
      </c>
      <c r="AK6" s="110">
        <v>37</v>
      </c>
      <c r="AL6" s="110">
        <v>38</v>
      </c>
      <c r="AM6" s="110">
        <v>39</v>
      </c>
      <c r="AN6" s="110">
        <v>40</v>
      </c>
      <c r="AO6" s="110">
        <v>41</v>
      </c>
      <c r="AP6" s="110">
        <v>42</v>
      </c>
      <c r="AS6" s="103">
        <v>43</v>
      </c>
    </row>
    <row r="7">
      <c r="A7" s="100" t="s">
        <v>220</v>
      </c>
      <c r="Y7" s="100"/>
      <c r="Z7" s="100" t="s">
        <v>220</v>
      </c>
    </row>
    <row r="8">
      <c r="A8" s="100" t="s">
        <v>297</v>
      </c>
      <c r="Y8" s="100"/>
      <c r="Z8" s="100" t="str">
        <f>+A8</f>
        <v>BULAN JUNI 2021</v>
      </c>
    </row>
    <row r="9" ht="27" customHeight="1" s="93" customFormat="1">
      <c r="A9" s="99" t="s">
        <v>3</v>
      </c>
      <c r="B9" s="99" t="s">
        <v>224</v>
      </c>
      <c r="C9" s="99" t="s">
        <v>4</v>
      </c>
      <c r="D9" s="99" t="s">
        <v>5</v>
      </c>
      <c r="E9" s="99" t="s">
        <v>6</v>
      </c>
      <c r="F9" s="99" t="s">
        <v>225</v>
      </c>
      <c r="G9" s="99" t="s">
        <v>226</v>
      </c>
      <c r="H9" s="99" t="s">
        <v>227</v>
      </c>
      <c r="I9" s="99" t="s">
        <v>228</v>
      </c>
      <c r="J9" s="99" t="s">
        <v>229</v>
      </c>
      <c r="K9" s="99" t="s">
        <v>230</v>
      </c>
      <c r="L9" s="99" t="s">
        <v>211</v>
      </c>
      <c r="M9" s="98" t="s">
        <v>231</v>
      </c>
      <c r="N9" s="98" t="s">
        <v>232</v>
      </c>
      <c r="O9" s="98" t="s">
        <v>233</v>
      </c>
      <c r="P9" s="98" t="s">
        <v>234</v>
      </c>
      <c r="Q9" s="98" t="s">
        <v>235</v>
      </c>
      <c r="R9" s="98" t="s">
        <v>236</v>
      </c>
      <c r="S9" s="98" t="s">
        <v>237</v>
      </c>
      <c r="T9" s="98" t="s">
        <v>238</v>
      </c>
      <c r="U9" s="98" t="s">
        <v>239</v>
      </c>
      <c r="V9" s="98" t="s">
        <v>240</v>
      </c>
      <c r="W9" s="97" t="s">
        <v>241</v>
      </c>
      <c r="X9" s="99" t="s">
        <v>242</v>
      </c>
      <c r="Y9" s="96" t="s">
        <v>243</v>
      </c>
      <c r="Z9" s="95" t="s">
        <v>244</v>
      </c>
      <c r="AA9" s="95" t="s">
        <v>245</v>
      </c>
      <c r="AB9" s="95" t="s">
        <v>246</v>
      </c>
      <c r="AC9" s="95" t="s">
        <v>247</v>
      </c>
      <c r="AD9" s="95" t="s">
        <v>248</v>
      </c>
      <c r="AE9" s="95" t="s">
        <v>249</v>
      </c>
      <c r="AF9" s="95" t="s">
        <v>250</v>
      </c>
      <c r="AG9" s="95" t="s">
        <v>251</v>
      </c>
      <c r="AH9" s="95" t="s">
        <v>252</v>
      </c>
      <c r="AI9" s="95" t="s">
        <v>253</v>
      </c>
      <c r="AJ9" s="94" t="s">
        <v>254</v>
      </c>
      <c r="AK9" s="270" t="s">
        <v>255</v>
      </c>
      <c r="AL9" s="270" t="s">
        <v>256</v>
      </c>
      <c r="AM9" s="270" t="s">
        <v>257</v>
      </c>
      <c r="AN9" s="270" t="s">
        <v>298</v>
      </c>
      <c r="AO9" s="270" t="s">
        <v>299</v>
      </c>
      <c r="AP9" s="270" t="s">
        <v>300</v>
      </c>
      <c r="AQ9" s="270" t="s">
        <v>301</v>
      </c>
      <c r="AR9" s="270" t="s">
        <v>302</v>
      </c>
      <c r="AS9" s="94" t="s">
        <v>254</v>
      </c>
      <c r="AU9" s="92" t="s">
        <v>3</v>
      </c>
      <c r="AV9" s="91" t="str">
        <f>+C9</f>
        <v>Name  </v>
      </c>
      <c r="AW9" s="81" t="s">
        <v>8</v>
      </c>
      <c r="AX9" s="92" t="s">
        <v>261</v>
      </c>
      <c r="AY9" s="92" t="s">
        <v>12</v>
      </c>
      <c r="AZ9" s="92" t="s">
        <v>262</v>
      </c>
    </row>
    <row r="10" ht="21" s="83" customFormat="1">
      <c r="A10" s="90" t="s">
        <v>263</v>
      </c>
      <c r="B10" s="321"/>
      <c r="C10" s="322" t="s">
        <v>264</v>
      </c>
      <c r="D10" s="90"/>
      <c r="E10" s="90"/>
      <c r="F10" s="90"/>
      <c r="G10" s="90"/>
      <c r="H10" s="90"/>
      <c r="I10" s="90"/>
      <c r="J10" s="90"/>
      <c r="K10" s="90"/>
      <c r="L10" s="90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7"/>
      <c r="X10" s="90"/>
      <c r="Y10" s="86"/>
      <c r="Z10" s="89" t="s">
        <v>264</v>
      </c>
      <c r="AA10" s="85"/>
      <c r="AB10" s="85"/>
      <c r="AC10" s="85"/>
      <c r="AD10" s="85"/>
      <c r="AE10" s="85"/>
      <c r="AF10" s="85"/>
      <c r="AG10" s="85"/>
      <c r="AH10" s="85"/>
      <c r="AI10" s="85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U10" s="82"/>
      <c r="AV10" s="81"/>
      <c r="AW10" s="81"/>
      <c r="AX10" s="82"/>
      <c r="AY10" s="82"/>
      <c r="AZ10" s="82"/>
    </row>
    <row r="11" s="105" customFormat="1">
      <c r="A11" s="80" t="s">
        <v>303</v>
      </c>
      <c r="B11" s="68" t="s">
        <v>304</v>
      </c>
      <c r="C11" s="129" t="s">
        <v>26</v>
      </c>
      <c r="D11" s="80" t="s">
        <v>15</v>
      </c>
      <c r="E11" s="80" t="s">
        <v>17</v>
      </c>
      <c r="F11" s="80"/>
      <c r="G11" s="80"/>
      <c r="H11" s="139" t="str">
        <f>+IF(G11&gt;=1,"PRORATE",IF(G11=0,"FULL"))</f>
        <v>FULL</v>
      </c>
      <c r="I11" s="79"/>
      <c r="J11" s="79"/>
      <c r="K11" s="79"/>
      <c r="L11" s="79">
        <f ref="L11:L29" t="shared" si="1">SUM(I11:K11)</f>
        <v>0</v>
      </c>
      <c r="M11" s="28">
        <f ref="M11:M23" t="shared" si="2">+IF(G11&gt;=1,$M$4*G11,IF(L11=0,4300000))</f>
        <v>4300000</v>
      </c>
      <c r="N11" s="67">
        <f ref="N11:N29" t="shared" si="3">+F11*100000</f>
        <v>0</v>
      </c>
      <c r="O11" s="65"/>
      <c r="P11" s="66">
        <f ref="P11:P29" t="shared" si="4">0.0489*4498960</f>
        <v>219999.144</v>
      </c>
      <c r="Q11" s="66">
        <f ref="Q11:Q29" t="shared" si="5">0.04*4498962</f>
        <v>179958.48</v>
      </c>
      <c r="R11" s="66">
        <f ref="R11:R29" t="shared" si="6">4498962*2%</f>
        <v>89979.24</v>
      </c>
      <c r="S11" s="65">
        <f ref="S11:S29" t="shared" si="7">SUM(P11:R11)</f>
        <v>489936.864</v>
      </c>
      <c r="T11" s="65">
        <v>374913.5</v>
      </c>
      <c r="U11" s="212"/>
      <c r="V11" s="79">
        <f ref="V11:V30" t="shared" si="8">+M11+N11+O11+U11</f>
        <v>4300000</v>
      </c>
      <c r="W11" s="79"/>
      <c r="X11" s="80"/>
      <c r="Y11" s="80">
        <f ref="Y11:Y29" t="shared" si="9">+A11</f>
        <v>1</v>
      </c>
      <c r="Z11" s="76" t="str">
        <f ref="Z11:Z29" t="shared" si="10">+C11</f>
        <v>AGUS SUPRIYADI</v>
      </c>
      <c r="AA11" s="75" t="s">
        <v>217</v>
      </c>
      <c r="AB11" s="74">
        <f ref="AB11:AB29" t="shared" si="11">+M11+N11+O11+U11</f>
        <v>4300000</v>
      </c>
      <c r="AC11" s="74">
        <f>4498962*2%</f>
        <v>89979.24</v>
      </c>
      <c r="AD11" s="74">
        <f>4498962*1%</f>
        <v>44989.62</v>
      </c>
      <c r="AE11" s="74">
        <f>4498962*1%</f>
        <v>44989.62</v>
      </c>
      <c r="AF11" s="74">
        <f ref="AF11:AF29" t="shared" si="12">+AB11-AC11-AD11-AE11</f>
        <v>4120041.5199999996</v>
      </c>
      <c r="AG11" s="74">
        <f ref="AG11:AG29" t="shared" si="13">VLOOKUP(AA11,$AC$1:$AD$5,2,0)</f>
        <v>5250000</v>
      </c>
      <c r="AH11" s="74">
        <f ref="AH11:AH29" t="shared" si="14">+AF11-AG11</f>
        <v>-1129958.4800000004</v>
      </c>
      <c r="AI11" s="74">
        <f ref="AI11:AI29" t="shared" si="15">+IF(AH11&gt;0,AH11*5%,0)</f>
        <v>0</v>
      </c>
      <c r="AJ11" s="73">
        <f ref="AJ11:AJ29" t="shared" si="16">+AB11-AC11-AD11-AE11-AI11</f>
        <v>4120041.5199999996</v>
      </c>
      <c r="AK11" s="62"/>
      <c r="AL11" s="62"/>
      <c r="AM11" s="62"/>
      <c r="AN11" s="62"/>
      <c r="AO11" s="62"/>
      <c r="AP11" s="62"/>
      <c r="AQ11" s="62">
        <f ref="AQ11:AQ29" t="shared" si="17">+J11*150000</f>
        <v>0</v>
      </c>
      <c r="AR11" s="62">
        <f>SUM(AK11:AQ11)</f>
        <v>0</v>
      </c>
      <c r="AS11" s="62">
        <f ref="AS11:AS29" t="shared" si="18">+AJ11-AK11-AL11-AM11-AP11-AO11-AN11-AQ11</f>
        <v>4120041.5199999996</v>
      </c>
      <c r="AT11" s="72"/>
      <c r="AU11" s="71">
        <f ref="AU11:AU23" t="shared" si="19">+AU10+1</f>
        <v>1</v>
      </c>
      <c r="AV11" s="70" t="str">
        <f ref="AV11:AV29" t="shared" si="20">+C11</f>
        <v>AGUS SUPRIYADI</v>
      </c>
      <c r="AW11" s="60">
        <f ref="AW11:AW29" t="shared" si="21">+AS11</f>
        <v>4120041.5199999996</v>
      </c>
      <c r="AX11" s="69"/>
      <c r="AY11" s="80"/>
      <c r="AZ11" s="80"/>
      <c r="BA11" s="72">
        <f>+VLOOKUP(C11,'tanda terima  (2)'!$C$4:$G$106,5,0)</f>
        <v>4120041.5199999996</v>
      </c>
      <c r="BB11" s="72"/>
      <c r="BG11" s="105">
        <f>+VLOOKUP(C11,[1]ALL!$C$5:$AP$23,40,0)</f>
        <v>0</v>
      </c>
    </row>
    <row r="12" s="105" customFormat="1">
      <c r="A12" s="80" t="s">
        <v>303</v>
      </c>
      <c r="B12" s="68" t="s">
        <v>305</v>
      </c>
      <c r="C12" s="129" t="s">
        <v>32</v>
      </c>
      <c r="D12" s="80" t="s">
        <v>15</v>
      </c>
      <c r="E12" s="80" t="s">
        <v>17</v>
      </c>
      <c r="F12" s="80"/>
      <c r="G12" s="80"/>
      <c r="H12" s="139" t="str">
        <f ref="H12:H30" t="shared" si="22">+IF(G12&gt;=1,"PRORATE",IF(G12=0,"FULL"))</f>
        <v>FULL</v>
      </c>
      <c r="I12" s="79"/>
      <c r="J12" s="79"/>
      <c r="K12" s="79"/>
      <c r="L12" s="79">
        <f t="shared" si="1"/>
        <v>0</v>
      </c>
      <c r="M12" s="28">
        <f t="shared" si="2"/>
        <v>4300000</v>
      </c>
      <c r="N12" s="67">
        <f t="shared" si="3"/>
        <v>0</v>
      </c>
      <c r="O12" s="65"/>
      <c r="P12" s="66">
        <f t="shared" si="4"/>
        <v>219999.144</v>
      </c>
      <c r="Q12" s="66">
        <f t="shared" si="5"/>
        <v>179958.48</v>
      </c>
      <c r="R12" s="66">
        <f t="shared" si="6"/>
        <v>89979.24</v>
      </c>
      <c r="S12" s="65">
        <f t="shared" si="7"/>
        <v>489936.864</v>
      </c>
      <c r="T12" s="65">
        <v>374913.5</v>
      </c>
      <c r="U12" s="212"/>
      <c r="V12" s="79">
        <f t="shared" si="8"/>
        <v>4300000</v>
      </c>
      <c r="W12" s="79"/>
      <c r="X12" s="80"/>
      <c r="Y12" s="80">
        <f t="shared" si="9"/>
        <v>2</v>
      </c>
      <c r="Z12" s="76" t="str">
        <f t="shared" si="10"/>
        <v>ANDI WARDANI</v>
      </c>
      <c r="AA12" s="75" t="s">
        <v>216</v>
      </c>
      <c r="AB12" s="74">
        <f t="shared" si="11"/>
        <v>4300000</v>
      </c>
      <c r="AC12" s="74">
        <f ref="AC12:AC29" t="shared" si="23">4498962*2%</f>
        <v>89979.24</v>
      </c>
      <c r="AD12" s="74">
        <f ref="AD12:AE29" t="shared" si="24">4498962*1%</f>
        <v>44989.62</v>
      </c>
      <c r="AE12" s="74">
        <f t="shared" si="24"/>
        <v>44989.62</v>
      </c>
      <c r="AF12" s="74">
        <f t="shared" si="12"/>
        <v>4120041.5199999996</v>
      </c>
      <c r="AG12" s="74">
        <f t="shared" si="13"/>
        <v>4875000</v>
      </c>
      <c r="AH12" s="74">
        <f t="shared" si="14"/>
        <v>-754958.4800000004</v>
      </c>
      <c r="AI12" s="74">
        <f t="shared" si="15"/>
        <v>0</v>
      </c>
      <c r="AJ12" s="73">
        <f t="shared" si="16"/>
        <v>4120041.5199999996</v>
      </c>
      <c r="AK12" s="62"/>
      <c r="AL12" s="62"/>
      <c r="AM12" s="62"/>
      <c r="AN12" s="62"/>
      <c r="AO12" s="62"/>
      <c r="AP12" s="62"/>
      <c r="AQ12" s="62">
        <f t="shared" si="17"/>
        <v>0</v>
      </c>
      <c r="AR12" s="62">
        <f ref="AR12:AR30" t="shared" si="25">SUM(AK12:AQ12)</f>
        <v>0</v>
      </c>
      <c r="AS12" s="62">
        <f t="shared" si="18"/>
        <v>4120041.5199999996</v>
      </c>
      <c r="AT12" s="72"/>
      <c r="AU12" s="71">
        <f t="shared" si="19"/>
        <v>2</v>
      </c>
      <c r="AV12" s="70" t="str">
        <f t="shared" si="20"/>
        <v>ANDI WARDANI</v>
      </c>
      <c r="AW12" s="60">
        <f t="shared" si="21"/>
        <v>4120041.5199999996</v>
      </c>
      <c r="AX12" s="69"/>
      <c r="AY12" s="80"/>
      <c r="AZ12" s="80"/>
      <c r="BA12" s="72">
        <f>+VLOOKUP(C12,'tanda terima  (2)'!$C$4:$G$106,5,0)</f>
        <v>4120041.5199999996</v>
      </c>
      <c r="BB12" s="72"/>
      <c r="BG12" s="105">
        <f>+VLOOKUP(C12,[1]ALL!$C$5:$AP$23,40,0)</f>
        <v>0</v>
      </c>
    </row>
    <row r="13" s="105" customFormat="1">
      <c r="A13" s="80" t="s">
        <v>263</v>
      </c>
      <c r="B13" s="323" t="s">
        <v>306</v>
      </c>
      <c r="C13" s="324" t="s">
        <v>47</v>
      </c>
      <c r="D13" s="80" t="s">
        <v>15</v>
      </c>
      <c r="E13" s="80" t="s">
        <v>17</v>
      </c>
      <c r="F13" s="80"/>
      <c r="G13" s="80"/>
      <c r="H13" s="139" t="str">
        <f t="shared" si="22"/>
        <v>FULL</v>
      </c>
      <c r="I13" s="79"/>
      <c r="J13" s="79"/>
      <c r="K13" s="79"/>
      <c r="L13" s="67">
        <f t="shared" si="1"/>
        <v>0</v>
      </c>
      <c r="M13" s="28">
        <f t="shared" si="2"/>
        <v>4300000</v>
      </c>
      <c r="N13" s="67">
        <f t="shared" si="3"/>
        <v>0</v>
      </c>
      <c r="O13" s="65"/>
      <c r="P13" s="66">
        <f t="shared" si="4"/>
        <v>219999.144</v>
      </c>
      <c r="Q13" s="66">
        <f t="shared" si="5"/>
        <v>179958.48</v>
      </c>
      <c r="R13" s="66">
        <f t="shared" si="6"/>
        <v>89979.24</v>
      </c>
      <c r="S13" s="65">
        <f t="shared" si="7"/>
        <v>489936.864</v>
      </c>
      <c r="T13" s="65">
        <v>374913.5</v>
      </c>
      <c r="U13" s="212"/>
      <c r="V13" s="67">
        <f t="shared" si="8"/>
        <v>4300000</v>
      </c>
      <c r="W13" s="67"/>
      <c r="X13" s="68"/>
      <c r="Y13" s="68">
        <f t="shared" si="9"/>
        <v>3</v>
      </c>
      <c r="Z13" s="233" t="str">
        <f t="shared" si="10"/>
        <v>DANI SAMBAS</v>
      </c>
      <c r="AA13" s="64" t="s">
        <v>216</v>
      </c>
      <c r="AB13" s="63">
        <f t="shared" si="11"/>
        <v>4300000</v>
      </c>
      <c r="AC13" s="74">
        <f t="shared" si="23"/>
        <v>89979.24</v>
      </c>
      <c r="AD13" s="74">
        <f t="shared" si="24"/>
        <v>44989.62</v>
      </c>
      <c r="AE13" s="74">
        <f t="shared" si="24"/>
        <v>44989.62</v>
      </c>
      <c r="AF13" s="63">
        <f t="shared" si="12"/>
        <v>4120041.5199999996</v>
      </c>
      <c r="AG13" s="63">
        <f t="shared" si="13"/>
        <v>4875000</v>
      </c>
      <c r="AH13" s="63">
        <f t="shared" si="14"/>
        <v>-754958.4800000004</v>
      </c>
      <c r="AI13" s="63">
        <f t="shared" si="15"/>
        <v>0</v>
      </c>
      <c r="AJ13" s="62">
        <f t="shared" si="16"/>
        <v>4120041.5199999996</v>
      </c>
      <c r="AK13" s="62"/>
      <c r="AL13" s="62"/>
      <c r="AM13" s="62"/>
      <c r="AN13" s="62"/>
      <c r="AO13" s="62"/>
      <c r="AP13" s="62"/>
      <c r="AQ13" s="62">
        <f t="shared" si="17"/>
        <v>0</v>
      </c>
      <c r="AR13" s="62">
        <f t="shared" si="25"/>
        <v>0</v>
      </c>
      <c r="AS13" s="62">
        <f t="shared" si="18"/>
        <v>4120041.5199999996</v>
      </c>
      <c r="AT13" s="59"/>
      <c r="AU13" s="234">
        <f t="shared" si="19"/>
        <v>3</v>
      </c>
      <c r="AV13" s="61" t="str">
        <f t="shared" si="20"/>
        <v>DANI SAMBAS</v>
      </c>
      <c r="AW13" s="60">
        <f t="shared" si="21"/>
        <v>4120041.5199999996</v>
      </c>
      <c r="AX13" s="64"/>
      <c r="AY13" s="68"/>
      <c r="AZ13" s="68"/>
      <c r="BA13" s="72">
        <f>+VLOOKUP(C13,'tanda terima  (2)'!$C$4:$G$106,5,0)</f>
        <v>4120041.5199999996</v>
      </c>
      <c r="BB13" s="72"/>
      <c r="BG13" s="105">
        <f>+VLOOKUP(C13,[1]ALL!$C$5:$AP$23,40,0)</f>
        <v>0</v>
      </c>
    </row>
    <row r="14" s="105" customFormat="1">
      <c r="A14" s="80" t="s">
        <v>307</v>
      </c>
      <c r="B14" s="80" t="s">
        <v>308</v>
      </c>
      <c r="C14" s="129" t="s">
        <v>53</v>
      </c>
      <c r="D14" s="80" t="s">
        <v>15</v>
      </c>
      <c r="E14" s="80" t="s">
        <v>17</v>
      </c>
      <c r="F14" s="80"/>
      <c r="G14" s="80">
        <v>20</v>
      </c>
      <c r="H14" s="139" t="str">
        <f t="shared" si="22"/>
        <v>PRORATE</v>
      </c>
      <c r="I14" s="79"/>
      <c r="J14" s="79"/>
      <c r="K14" s="79"/>
      <c r="L14" s="67">
        <f t="shared" si="1"/>
        <v>0</v>
      </c>
      <c r="M14" s="28">
        <f t="shared" si="2"/>
        <v>3440000</v>
      </c>
      <c r="N14" s="67">
        <f t="shared" si="3"/>
        <v>0</v>
      </c>
      <c r="O14" s="65"/>
      <c r="P14" s="66">
        <f t="shared" si="4"/>
        <v>219999.144</v>
      </c>
      <c r="Q14" s="66">
        <f t="shared" si="5"/>
        <v>179958.48</v>
      </c>
      <c r="R14" s="66">
        <f t="shared" si="6"/>
        <v>89979.24</v>
      </c>
      <c r="S14" s="65">
        <f t="shared" si="7"/>
        <v>489936.864</v>
      </c>
      <c r="T14" s="65">
        <v>374913.5</v>
      </c>
      <c r="U14" s="212"/>
      <c r="V14" s="325">
        <f t="shared" si="8"/>
        <v>3440000</v>
      </c>
      <c r="W14" s="67"/>
      <c r="X14" s="68"/>
      <c r="Y14" s="68">
        <f t="shared" si="9"/>
        <v>4</v>
      </c>
      <c r="Z14" s="233" t="str">
        <f t="shared" si="10"/>
        <v>DEDI MAULANA</v>
      </c>
      <c r="AA14" s="64" t="s">
        <v>216</v>
      </c>
      <c r="AB14" s="63">
        <f t="shared" si="11"/>
        <v>3440000</v>
      </c>
      <c r="AC14" s="74">
        <f t="shared" si="23"/>
        <v>89979.24</v>
      </c>
      <c r="AD14" s="74">
        <f t="shared" si="24"/>
        <v>44989.62</v>
      </c>
      <c r="AE14" s="74">
        <f t="shared" si="24"/>
        <v>44989.62</v>
      </c>
      <c r="AF14" s="63">
        <f t="shared" si="12"/>
        <v>3260041.5199999996</v>
      </c>
      <c r="AG14" s="63">
        <f t="shared" si="13"/>
        <v>4875000</v>
      </c>
      <c r="AH14" s="63">
        <f t="shared" si="14"/>
        <v>-1614958.4800000004</v>
      </c>
      <c r="AI14" s="63">
        <f t="shared" si="15"/>
        <v>0</v>
      </c>
      <c r="AJ14" s="62">
        <f t="shared" si="16"/>
        <v>3260041.5199999996</v>
      </c>
      <c r="AK14" s="62"/>
      <c r="AL14" s="62"/>
      <c r="AM14" s="62"/>
      <c r="AN14" s="62"/>
      <c r="AO14" s="62"/>
      <c r="AP14" s="62"/>
      <c r="AQ14" s="62">
        <f t="shared" si="17"/>
        <v>0</v>
      </c>
      <c r="AR14" s="62">
        <f t="shared" si="25"/>
        <v>0</v>
      </c>
      <c r="AS14" s="62">
        <f t="shared" si="18"/>
        <v>3260041.5199999996</v>
      </c>
      <c r="AT14" s="59"/>
      <c r="AU14" s="234">
        <f t="shared" si="19"/>
        <v>4</v>
      </c>
      <c r="AV14" s="61" t="str">
        <f t="shared" si="20"/>
        <v>DEDI MAULANA</v>
      </c>
      <c r="AW14" s="60">
        <f t="shared" si="21"/>
        <v>3260041.5199999996</v>
      </c>
      <c r="AX14" s="64"/>
      <c r="AY14" s="68"/>
      <c r="AZ14" s="68"/>
      <c r="BA14" s="72">
        <f>+VLOOKUP(C14,'tanda terima  (2)'!$C$4:$G$106,5,0)</f>
        <v>3260041.5199999996</v>
      </c>
      <c r="BB14" s="72"/>
      <c r="BG14" s="105">
        <f>+VLOOKUP(C14,[1]ALL!$C$5:$AP$23,40,0)</f>
        <v>0</v>
      </c>
    </row>
    <row r="15" s="105" customFormat="1">
      <c r="A15" s="80" t="s">
        <v>303</v>
      </c>
      <c r="B15" s="80" t="s">
        <v>309</v>
      </c>
      <c r="C15" s="129" t="s">
        <v>22</v>
      </c>
      <c r="D15" s="80" t="s">
        <v>15</v>
      </c>
      <c r="E15" s="80" t="s">
        <v>17</v>
      </c>
      <c r="F15" s="80"/>
      <c r="G15" s="80"/>
      <c r="H15" s="139" t="str">
        <f t="shared" si="22"/>
        <v>FULL</v>
      </c>
      <c r="I15" s="79"/>
      <c r="J15" s="79"/>
      <c r="K15" s="79"/>
      <c r="L15" s="79">
        <f t="shared" si="1"/>
        <v>0</v>
      </c>
      <c r="M15" s="28">
        <f t="shared" si="2"/>
        <v>4300000</v>
      </c>
      <c r="N15" s="67">
        <f t="shared" si="3"/>
        <v>0</v>
      </c>
      <c r="O15" s="65"/>
      <c r="P15" s="66">
        <f t="shared" si="4"/>
        <v>219999.144</v>
      </c>
      <c r="Q15" s="66">
        <f t="shared" si="5"/>
        <v>179958.48</v>
      </c>
      <c r="R15" s="66">
        <f t="shared" si="6"/>
        <v>89979.24</v>
      </c>
      <c r="S15" s="65">
        <f t="shared" si="7"/>
        <v>489936.864</v>
      </c>
      <c r="T15" s="65">
        <v>374913.5</v>
      </c>
      <c r="U15" s="212"/>
      <c r="V15" s="79">
        <f t="shared" si="8"/>
        <v>4300000</v>
      </c>
      <c r="W15" s="79"/>
      <c r="X15" s="80"/>
      <c r="Y15" s="80">
        <f t="shared" si="9"/>
        <v>5</v>
      </c>
      <c r="Z15" s="76" t="str">
        <f t="shared" si="10"/>
        <v>ADE HIDAYAT</v>
      </c>
      <c r="AA15" s="75" t="s">
        <v>217</v>
      </c>
      <c r="AB15" s="74">
        <f t="shared" si="11"/>
        <v>4300000</v>
      </c>
      <c r="AC15" s="74">
        <f t="shared" si="23"/>
        <v>89979.24</v>
      </c>
      <c r="AD15" s="74">
        <f t="shared" si="24"/>
        <v>44989.62</v>
      </c>
      <c r="AE15" s="74">
        <f t="shared" si="24"/>
        <v>44989.62</v>
      </c>
      <c r="AF15" s="74">
        <f t="shared" si="12"/>
        <v>4120041.5199999996</v>
      </c>
      <c r="AG15" s="74">
        <f t="shared" si="13"/>
        <v>5250000</v>
      </c>
      <c r="AH15" s="74">
        <f t="shared" si="14"/>
        <v>-1129958.4800000004</v>
      </c>
      <c r="AI15" s="74">
        <f t="shared" si="15"/>
        <v>0</v>
      </c>
      <c r="AJ15" s="73">
        <f t="shared" si="16"/>
        <v>4120041.5199999996</v>
      </c>
      <c r="AK15" s="62"/>
      <c r="AL15" s="62"/>
      <c r="AM15" s="62"/>
      <c r="AN15" s="62"/>
      <c r="AO15" s="62"/>
      <c r="AP15" s="62"/>
      <c r="AQ15" s="62">
        <f t="shared" si="17"/>
        <v>0</v>
      </c>
      <c r="AR15" s="62">
        <f t="shared" si="25"/>
        <v>0</v>
      </c>
      <c r="AS15" s="62">
        <f t="shared" si="18"/>
        <v>4120041.5199999996</v>
      </c>
      <c r="AT15" s="72"/>
      <c r="AU15" s="71">
        <f t="shared" si="19"/>
        <v>5</v>
      </c>
      <c r="AV15" s="70" t="str">
        <f t="shared" si="20"/>
        <v>ADE HIDAYAT</v>
      </c>
      <c r="AW15" s="60">
        <f t="shared" si="21"/>
        <v>4120041.5199999996</v>
      </c>
      <c r="AX15" s="69"/>
      <c r="AY15" s="80"/>
      <c r="AZ15" s="80"/>
      <c r="BA15" s="72">
        <f>+VLOOKUP(C15,'tanda terima  (2)'!$C$4:$G$106,5,0)</f>
        <v>4120041.5199999996</v>
      </c>
      <c r="BB15" s="72"/>
      <c r="BG15" s="105">
        <f>+VLOOKUP(C15,[1]ALL!$C$5:$AP$23,40,0)</f>
        <v>0</v>
      </c>
    </row>
    <row r="16" s="105" customFormat="1">
      <c r="A16" s="80" t="s">
        <v>263</v>
      </c>
      <c r="B16" s="323" t="s">
        <v>310</v>
      </c>
      <c r="C16" s="324" t="s">
        <v>59</v>
      </c>
      <c r="D16" s="80" t="s">
        <v>15</v>
      </c>
      <c r="E16" s="80" t="s">
        <v>17</v>
      </c>
      <c r="F16" s="80"/>
      <c r="G16" s="80"/>
      <c r="H16" s="139" t="str">
        <f t="shared" si="22"/>
        <v>FULL</v>
      </c>
      <c r="I16" s="79"/>
      <c r="J16" s="79"/>
      <c r="K16" s="79"/>
      <c r="L16" s="67">
        <f t="shared" si="1"/>
        <v>0</v>
      </c>
      <c r="M16" s="28">
        <f t="shared" si="2"/>
        <v>4300000</v>
      </c>
      <c r="N16" s="67">
        <f t="shared" si="3"/>
        <v>0</v>
      </c>
      <c r="O16" s="65"/>
      <c r="P16" s="66">
        <f t="shared" si="4"/>
        <v>219999.144</v>
      </c>
      <c r="Q16" s="66">
        <f t="shared" si="5"/>
        <v>179958.48</v>
      </c>
      <c r="R16" s="66">
        <f t="shared" si="6"/>
        <v>89979.24</v>
      </c>
      <c r="S16" s="65">
        <f t="shared" si="7"/>
        <v>489936.864</v>
      </c>
      <c r="T16" s="65">
        <v>374913.5</v>
      </c>
      <c r="U16" s="212"/>
      <c r="V16" s="67">
        <f t="shared" si="8"/>
        <v>4300000</v>
      </c>
      <c r="W16" s="67"/>
      <c r="X16" s="68"/>
      <c r="Y16" s="68">
        <f t="shared" si="9"/>
        <v>6</v>
      </c>
      <c r="Z16" s="233" t="str">
        <f t="shared" si="10"/>
        <v>DWI HARYANTO</v>
      </c>
      <c r="AA16" s="64" t="s">
        <v>216</v>
      </c>
      <c r="AB16" s="63">
        <f t="shared" si="11"/>
        <v>4300000</v>
      </c>
      <c r="AC16" s="74">
        <f t="shared" si="23"/>
        <v>89979.24</v>
      </c>
      <c r="AD16" s="74">
        <f t="shared" si="24"/>
        <v>44989.62</v>
      </c>
      <c r="AE16" s="74">
        <f t="shared" si="24"/>
        <v>44989.62</v>
      </c>
      <c r="AF16" s="63">
        <f t="shared" si="12"/>
        <v>4120041.5199999996</v>
      </c>
      <c r="AG16" s="63">
        <f t="shared" si="13"/>
        <v>4875000</v>
      </c>
      <c r="AH16" s="63">
        <f t="shared" si="14"/>
        <v>-754958.4800000004</v>
      </c>
      <c r="AI16" s="63">
        <f t="shared" si="15"/>
        <v>0</v>
      </c>
      <c r="AJ16" s="62">
        <f t="shared" si="16"/>
        <v>4120041.5199999996</v>
      </c>
      <c r="AK16" s="62"/>
      <c r="AL16" s="62"/>
      <c r="AM16" s="62"/>
      <c r="AN16" s="62"/>
      <c r="AO16" s="62"/>
      <c r="AP16" s="62"/>
      <c r="AQ16" s="62">
        <f t="shared" si="17"/>
        <v>0</v>
      </c>
      <c r="AR16" s="62">
        <f t="shared" si="25"/>
        <v>0</v>
      </c>
      <c r="AS16" s="62">
        <f t="shared" si="18"/>
        <v>4120041.5199999996</v>
      </c>
      <c r="AT16" s="59"/>
      <c r="AU16" s="234">
        <f t="shared" si="19"/>
        <v>6</v>
      </c>
      <c r="AV16" s="61" t="str">
        <f t="shared" si="20"/>
        <v>DWI HARYANTO</v>
      </c>
      <c r="AW16" s="60">
        <f t="shared" si="21"/>
        <v>4120041.5199999996</v>
      </c>
      <c r="AX16" s="64"/>
      <c r="AY16" s="68"/>
      <c r="AZ16" s="68"/>
      <c r="BA16" s="72">
        <f>+VLOOKUP(C16,'tanda terima  (2)'!$C$4:$G$106,5,0)</f>
        <v>4120041.5199999996</v>
      </c>
      <c r="BB16" s="72"/>
      <c r="BG16" s="105" t="s">
        <v>311</v>
      </c>
    </row>
    <row r="17" s="105" customFormat="1">
      <c r="A17" s="80" t="s">
        <v>263</v>
      </c>
      <c r="B17" s="323" t="s">
        <v>312</v>
      </c>
      <c r="C17" s="324" t="s">
        <v>129</v>
      </c>
      <c r="D17" s="80" t="s">
        <v>15</v>
      </c>
      <c r="E17" s="80" t="s">
        <v>17</v>
      </c>
      <c r="F17" s="80"/>
      <c r="G17" s="80"/>
      <c r="H17" s="139" t="str">
        <f t="shared" si="22"/>
        <v>FULL</v>
      </c>
      <c r="I17" s="79"/>
      <c r="J17" s="79"/>
      <c r="K17" s="79"/>
      <c r="L17" s="79">
        <f t="shared" si="1"/>
        <v>0</v>
      </c>
      <c r="M17" s="28">
        <f t="shared" si="2"/>
        <v>4300000</v>
      </c>
      <c r="N17" s="67">
        <f t="shared" si="3"/>
        <v>0</v>
      </c>
      <c r="O17" s="65"/>
      <c r="P17" s="66">
        <f t="shared" si="4"/>
        <v>219999.144</v>
      </c>
      <c r="Q17" s="66">
        <f t="shared" si="5"/>
        <v>179958.48</v>
      </c>
      <c r="R17" s="66">
        <f t="shared" si="6"/>
        <v>89979.24</v>
      </c>
      <c r="S17" s="65">
        <f t="shared" si="7"/>
        <v>489936.864</v>
      </c>
      <c r="T17" s="65">
        <v>374913.5</v>
      </c>
      <c r="U17" s="212"/>
      <c r="V17" s="79">
        <f t="shared" si="8"/>
        <v>4300000</v>
      </c>
      <c r="W17" s="79"/>
      <c r="X17" s="80"/>
      <c r="Y17" s="80">
        <f t="shared" si="9"/>
        <v>7</v>
      </c>
      <c r="Z17" s="76" t="str">
        <f t="shared" si="10"/>
        <v>SUHENDRA</v>
      </c>
      <c r="AA17" s="75" t="s">
        <v>216</v>
      </c>
      <c r="AB17" s="74">
        <f t="shared" si="11"/>
        <v>4300000</v>
      </c>
      <c r="AC17" s="74">
        <f t="shared" si="23"/>
        <v>89979.24</v>
      </c>
      <c r="AD17" s="74">
        <f t="shared" si="24"/>
        <v>44989.62</v>
      </c>
      <c r="AE17" s="74">
        <f t="shared" si="24"/>
        <v>44989.62</v>
      </c>
      <c r="AF17" s="74">
        <f t="shared" si="12"/>
        <v>4120041.5199999996</v>
      </c>
      <c r="AG17" s="74">
        <f t="shared" si="13"/>
        <v>4875000</v>
      </c>
      <c r="AH17" s="74">
        <f t="shared" si="14"/>
        <v>-754958.4800000004</v>
      </c>
      <c r="AI17" s="74">
        <f t="shared" si="15"/>
        <v>0</v>
      </c>
      <c r="AJ17" s="73">
        <f t="shared" si="16"/>
        <v>4120041.5199999996</v>
      </c>
      <c r="AK17" s="62"/>
      <c r="AL17" s="62"/>
      <c r="AM17" s="62"/>
      <c r="AN17" s="62"/>
      <c r="AO17" s="62"/>
      <c r="AP17" s="62"/>
      <c r="AQ17" s="62">
        <f t="shared" si="17"/>
        <v>0</v>
      </c>
      <c r="AR17" s="62">
        <f t="shared" si="25"/>
        <v>0</v>
      </c>
      <c r="AS17" s="62">
        <f t="shared" si="18"/>
        <v>4120041.5199999996</v>
      </c>
      <c r="AT17" s="72"/>
      <c r="AU17" s="71">
        <f t="shared" si="19"/>
        <v>7</v>
      </c>
      <c r="AV17" s="70" t="str">
        <f t="shared" si="20"/>
        <v>SUHENDRA</v>
      </c>
      <c r="AW17" s="60">
        <f t="shared" si="21"/>
        <v>4120041.5199999996</v>
      </c>
      <c r="AX17" s="69"/>
      <c r="AY17" s="80"/>
      <c r="AZ17" s="80"/>
      <c r="BA17" s="72">
        <f>+VLOOKUP(C17,'tanda terima  (2)'!$C$4:$G$106,5,0)</f>
        <v>4120041.5199999996</v>
      </c>
      <c r="BB17" s="72"/>
      <c r="BG17" s="105" t="s">
        <v>313</v>
      </c>
    </row>
    <row r="18" s="105" customFormat="1">
      <c r="A18" s="80" t="s">
        <v>263</v>
      </c>
      <c r="B18" s="323" t="s">
        <v>314</v>
      </c>
      <c r="C18" s="324" t="s">
        <v>148</v>
      </c>
      <c r="D18" s="80" t="s">
        <v>15</v>
      </c>
      <c r="E18" s="80" t="s">
        <v>17</v>
      </c>
      <c r="F18" s="80"/>
      <c r="G18" s="80"/>
      <c r="H18" s="139" t="str">
        <f t="shared" si="22"/>
        <v>FULL</v>
      </c>
      <c r="I18" s="79"/>
      <c r="J18" s="79"/>
      <c r="K18" s="79"/>
      <c r="L18" s="79">
        <f t="shared" si="1"/>
        <v>0</v>
      </c>
      <c r="M18" s="28">
        <f t="shared" si="2"/>
        <v>4300000</v>
      </c>
      <c r="N18" s="67">
        <f t="shared" si="3"/>
        <v>0</v>
      </c>
      <c r="O18" s="65"/>
      <c r="P18" s="66">
        <f t="shared" si="4"/>
        <v>219999.144</v>
      </c>
      <c r="Q18" s="66">
        <f t="shared" si="5"/>
        <v>179958.48</v>
      </c>
      <c r="R18" s="66">
        <f t="shared" si="6"/>
        <v>89979.24</v>
      </c>
      <c r="S18" s="65">
        <f t="shared" si="7"/>
        <v>489936.864</v>
      </c>
      <c r="T18" s="65">
        <v>374913.5</v>
      </c>
      <c r="U18" s="212"/>
      <c r="V18" s="79">
        <f t="shared" si="8"/>
        <v>4300000</v>
      </c>
      <c r="W18" s="79"/>
      <c r="X18" s="80"/>
      <c r="Y18" s="80">
        <f t="shared" si="9"/>
        <v>8</v>
      </c>
      <c r="Z18" s="76" t="str">
        <f t="shared" si="10"/>
        <v>WAWAN GUNAWAN</v>
      </c>
      <c r="AA18" s="75" t="s">
        <v>217</v>
      </c>
      <c r="AB18" s="74">
        <f t="shared" si="11"/>
        <v>4300000</v>
      </c>
      <c r="AC18" s="74">
        <f t="shared" si="23"/>
        <v>89979.24</v>
      </c>
      <c r="AD18" s="74">
        <f t="shared" si="24"/>
        <v>44989.62</v>
      </c>
      <c r="AE18" s="74">
        <f t="shared" si="24"/>
        <v>44989.62</v>
      </c>
      <c r="AF18" s="74">
        <f t="shared" si="12"/>
        <v>4120041.5199999996</v>
      </c>
      <c r="AG18" s="74">
        <f t="shared" si="13"/>
        <v>5250000</v>
      </c>
      <c r="AH18" s="74">
        <f t="shared" si="14"/>
        <v>-1129958.4800000004</v>
      </c>
      <c r="AI18" s="74">
        <f t="shared" si="15"/>
        <v>0</v>
      </c>
      <c r="AJ18" s="73">
        <f t="shared" si="16"/>
        <v>4120041.5199999996</v>
      </c>
      <c r="AK18" s="62"/>
      <c r="AL18" s="62"/>
      <c r="AM18" s="62"/>
      <c r="AN18" s="62"/>
      <c r="AO18" s="62"/>
      <c r="AP18" s="62"/>
      <c r="AQ18" s="62">
        <f t="shared" si="17"/>
        <v>0</v>
      </c>
      <c r="AR18" s="62">
        <f t="shared" si="25"/>
        <v>0</v>
      </c>
      <c r="AS18" s="62">
        <f t="shared" si="18"/>
        <v>4120041.5199999996</v>
      </c>
      <c r="AT18" s="72"/>
      <c r="AU18" s="71">
        <f t="shared" si="19"/>
        <v>8</v>
      </c>
      <c r="AV18" s="70" t="str">
        <f t="shared" si="20"/>
        <v>WAWAN GUNAWAN</v>
      </c>
      <c r="AW18" s="60">
        <f t="shared" si="21"/>
        <v>4120041.5199999996</v>
      </c>
      <c r="AX18" s="69"/>
      <c r="AY18" s="80"/>
      <c r="AZ18" s="80"/>
      <c r="BA18" s="72">
        <f>+VLOOKUP(C18,'tanda terima  (2)'!$C$4:$G$106,5,0)</f>
        <v>4120041.5199999996</v>
      </c>
      <c r="BB18" s="72"/>
      <c r="BG18" s="105" t="s">
        <v>315</v>
      </c>
    </row>
    <row r="19" s="58" customFormat="1">
      <c r="A19" s="80" t="s">
        <v>263</v>
      </c>
      <c r="B19" s="323" t="s">
        <v>311</v>
      </c>
      <c r="C19" s="324" t="s">
        <v>133</v>
      </c>
      <c r="D19" s="68" t="s">
        <v>15</v>
      </c>
      <c r="E19" s="68" t="s">
        <v>17</v>
      </c>
      <c r="F19" s="68"/>
      <c r="G19" s="68"/>
      <c r="H19" s="139" t="str">
        <f t="shared" si="22"/>
        <v>FULL</v>
      </c>
      <c r="I19" s="67"/>
      <c r="J19" s="67"/>
      <c r="K19" s="67"/>
      <c r="L19" s="67">
        <f t="shared" si="1"/>
        <v>0</v>
      </c>
      <c r="M19" s="28">
        <f t="shared" si="2"/>
        <v>4300000</v>
      </c>
      <c r="N19" s="67">
        <f t="shared" si="3"/>
        <v>0</v>
      </c>
      <c r="O19" s="65"/>
      <c r="P19" s="66">
        <f t="shared" si="4"/>
        <v>219999.144</v>
      </c>
      <c r="Q19" s="66">
        <f t="shared" si="5"/>
        <v>179958.48</v>
      </c>
      <c r="R19" s="66">
        <f t="shared" si="6"/>
        <v>89979.24</v>
      </c>
      <c r="S19" s="65">
        <f t="shared" si="7"/>
        <v>489936.864</v>
      </c>
      <c r="T19" s="65">
        <v>374913.5</v>
      </c>
      <c r="U19" s="212"/>
      <c r="V19" s="67">
        <f t="shared" si="8"/>
        <v>4300000</v>
      </c>
      <c r="W19" s="67"/>
      <c r="X19" s="68"/>
      <c r="Y19" s="68">
        <f t="shared" si="9"/>
        <v>9</v>
      </c>
      <c r="Z19" s="233" t="str">
        <f t="shared" si="10"/>
        <v>SUPIYARTO</v>
      </c>
      <c r="AA19" s="64" t="s">
        <v>216</v>
      </c>
      <c r="AB19" s="63">
        <f t="shared" si="11"/>
        <v>4300000</v>
      </c>
      <c r="AC19" s="74">
        <f t="shared" si="23"/>
        <v>89979.24</v>
      </c>
      <c r="AD19" s="74">
        <f t="shared" si="24"/>
        <v>44989.62</v>
      </c>
      <c r="AE19" s="74">
        <f t="shared" si="24"/>
        <v>44989.62</v>
      </c>
      <c r="AF19" s="63">
        <f t="shared" si="12"/>
        <v>4120041.5199999996</v>
      </c>
      <c r="AG19" s="63">
        <f t="shared" si="13"/>
        <v>4875000</v>
      </c>
      <c r="AH19" s="63">
        <f t="shared" si="14"/>
        <v>-754958.4800000004</v>
      </c>
      <c r="AI19" s="63">
        <f t="shared" si="15"/>
        <v>0</v>
      </c>
      <c r="AJ19" s="62">
        <f t="shared" si="16"/>
        <v>4120041.5199999996</v>
      </c>
      <c r="AK19" s="62"/>
      <c r="AL19" s="62"/>
      <c r="AM19" s="62"/>
      <c r="AN19" s="62"/>
      <c r="AO19" s="62"/>
      <c r="AP19" s="218">
        <v>20000</v>
      </c>
      <c r="AQ19" s="62">
        <f t="shared" si="17"/>
        <v>0</v>
      </c>
      <c r="AR19" s="62">
        <f t="shared" si="25"/>
        <v>20000</v>
      </c>
      <c r="AS19" s="62">
        <f t="shared" si="18"/>
        <v>4100041.5199999996</v>
      </c>
      <c r="AT19" s="59"/>
      <c r="AU19" s="234">
        <f t="shared" si="19"/>
        <v>9</v>
      </c>
      <c r="AV19" s="61" t="str">
        <f t="shared" si="20"/>
        <v>SUPIYARTO</v>
      </c>
      <c r="AW19" s="60">
        <f t="shared" si="21"/>
        <v>4100041.5199999996</v>
      </c>
      <c r="AX19" s="64"/>
      <c r="AY19" s="68"/>
      <c r="AZ19" s="68"/>
      <c r="BA19" s="72">
        <f>+VLOOKUP(C19,'tanda terima  (2)'!$C$4:$G$106,5,0)</f>
        <v>4100041.5199999996</v>
      </c>
      <c r="BB19" s="59"/>
      <c r="BG19" s="105" t="e">
        <f>+VLOOKUP(C19,[1]ALL!$C$5:$AP$23,40,0)</f>
        <v>#N/A</v>
      </c>
    </row>
    <row r="20" s="58" customFormat="1">
      <c r="A20" s="80" t="s">
        <v>263</v>
      </c>
      <c r="B20" s="323" t="s">
        <v>316</v>
      </c>
      <c r="C20" s="324" t="s">
        <v>101</v>
      </c>
      <c r="D20" s="68" t="s">
        <v>15</v>
      </c>
      <c r="E20" s="68" t="s">
        <v>17</v>
      </c>
      <c r="F20" s="68"/>
      <c r="G20" s="68"/>
      <c r="H20" s="139" t="str">
        <f t="shared" si="22"/>
        <v>FULL</v>
      </c>
      <c r="I20" s="67"/>
      <c r="J20" s="67"/>
      <c r="K20" s="67"/>
      <c r="L20" s="67">
        <f t="shared" si="1"/>
        <v>0</v>
      </c>
      <c r="M20" s="28">
        <f t="shared" si="2"/>
        <v>4300000</v>
      </c>
      <c r="N20" s="67">
        <f t="shared" si="3"/>
        <v>0</v>
      </c>
      <c r="O20" s="65"/>
      <c r="P20" s="66">
        <f t="shared" si="4"/>
        <v>219999.144</v>
      </c>
      <c r="Q20" s="66">
        <f t="shared" si="5"/>
        <v>179958.48</v>
      </c>
      <c r="R20" s="66">
        <f t="shared" si="6"/>
        <v>89979.24</v>
      </c>
      <c r="S20" s="65">
        <f t="shared" si="7"/>
        <v>489936.864</v>
      </c>
      <c r="T20" s="65">
        <v>374913.5</v>
      </c>
      <c r="U20" s="212">
        <v>200000</v>
      </c>
      <c r="V20" s="67">
        <f t="shared" si="8"/>
        <v>4500000</v>
      </c>
      <c r="W20" s="67"/>
      <c r="X20" s="68"/>
      <c r="Y20" s="68">
        <f t="shared" si="9"/>
        <v>10</v>
      </c>
      <c r="Z20" s="233" t="str">
        <f t="shared" si="10"/>
        <v>M FIKRI ALFIYANSAH</v>
      </c>
      <c r="AA20" s="64" t="s">
        <v>216</v>
      </c>
      <c r="AB20" s="63">
        <f t="shared" si="11"/>
        <v>4500000</v>
      </c>
      <c r="AC20" s="74">
        <f t="shared" si="23"/>
        <v>89979.24</v>
      </c>
      <c r="AD20" s="74">
        <f t="shared" si="24"/>
        <v>44989.62</v>
      </c>
      <c r="AE20" s="74">
        <f t="shared" si="24"/>
        <v>44989.62</v>
      </c>
      <c r="AF20" s="63">
        <f t="shared" si="12"/>
        <v>4320041.52</v>
      </c>
      <c r="AG20" s="63">
        <f t="shared" si="13"/>
        <v>4875000</v>
      </c>
      <c r="AH20" s="63">
        <f t="shared" si="14"/>
        <v>-554958.4800000004</v>
      </c>
      <c r="AI20" s="63">
        <f t="shared" si="15"/>
        <v>0</v>
      </c>
      <c r="AJ20" s="62">
        <f t="shared" si="16"/>
        <v>4320041.52</v>
      </c>
      <c r="AK20" s="62"/>
      <c r="AL20" s="62"/>
      <c r="AM20" s="62"/>
      <c r="AN20" s="62"/>
      <c r="AO20" s="62"/>
      <c r="AP20" s="218">
        <v>20000</v>
      </c>
      <c r="AQ20" s="62">
        <v>0</v>
      </c>
      <c r="AR20" s="62">
        <f t="shared" si="25"/>
        <v>20000</v>
      </c>
      <c r="AS20" s="62">
        <f t="shared" si="18"/>
        <v>4300041.52</v>
      </c>
      <c r="AT20" s="59"/>
      <c r="AU20" s="234">
        <f t="shared" si="19"/>
        <v>10</v>
      </c>
      <c r="AV20" s="61" t="str">
        <f t="shared" si="20"/>
        <v>M FIKRI ALFIYANSAH</v>
      </c>
      <c r="AW20" s="60">
        <f t="shared" si="21"/>
        <v>4300041.52</v>
      </c>
      <c r="AX20" s="64"/>
      <c r="AY20" s="68"/>
      <c r="AZ20" s="68"/>
      <c r="BA20" s="72">
        <f>+VLOOKUP(C20,'tanda terima  (2)'!$C$4:$G$106,5,0)</f>
        <v>4300041.52</v>
      </c>
      <c r="BB20" s="59"/>
      <c r="BG20" s="105" t="s">
        <v>317</v>
      </c>
    </row>
    <row r="21" s="58" customFormat="1">
      <c r="A21" s="80" t="s">
        <v>303</v>
      </c>
      <c r="B21" s="68" t="s">
        <v>318</v>
      </c>
      <c r="C21" s="129" t="s">
        <v>43</v>
      </c>
      <c r="D21" s="68" t="s">
        <v>15</v>
      </c>
      <c r="E21" s="68" t="s">
        <v>17</v>
      </c>
      <c r="F21" s="68"/>
      <c r="G21" s="68"/>
      <c r="H21" s="139" t="str">
        <f t="shared" si="22"/>
        <v>FULL</v>
      </c>
      <c r="I21" s="67"/>
      <c r="J21" s="67"/>
      <c r="K21" s="67"/>
      <c r="L21" s="67">
        <f t="shared" si="1"/>
        <v>0</v>
      </c>
      <c r="M21" s="28">
        <f t="shared" si="2"/>
        <v>4300000</v>
      </c>
      <c r="N21" s="67">
        <f t="shared" si="3"/>
        <v>0</v>
      </c>
      <c r="O21" s="65"/>
      <c r="P21" s="66">
        <f t="shared" si="4"/>
        <v>219999.144</v>
      </c>
      <c r="Q21" s="66">
        <f t="shared" si="5"/>
        <v>179958.48</v>
      </c>
      <c r="R21" s="66">
        <f t="shared" si="6"/>
        <v>89979.24</v>
      </c>
      <c r="S21" s="65">
        <f t="shared" si="7"/>
        <v>489936.864</v>
      </c>
      <c r="T21" s="65">
        <v>374913.5</v>
      </c>
      <c r="U21" s="212"/>
      <c r="V21" s="67">
        <f t="shared" si="8"/>
        <v>4300000</v>
      </c>
      <c r="W21" s="67"/>
      <c r="X21" s="68"/>
      <c r="Y21" s="68">
        <f t="shared" si="9"/>
        <v>11</v>
      </c>
      <c r="Z21" s="233" t="str">
        <f t="shared" si="10"/>
        <v>BUDIYANTO</v>
      </c>
      <c r="AA21" s="64" t="s">
        <v>216</v>
      </c>
      <c r="AB21" s="63">
        <f t="shared" si="11"/>
        <v>4300000</v>
      </c>
      <c r="AC21" s="74">
        <f t="shared" si="23"/>
        <v>89979.24</v>
      </c>
      <c r="AD21" s="74">
        <f t="shared" si="24"/>
        <v>44989.62</v>
      </c>
      <c r="AE21" s="74">
        <f t="shared" si="24"/>
        <v>44989.62</v>
      </c>
      <c r="AF21" s="63">
        <f t="shared" si="12"/>
        <v>4120041.5199999996</v>
      </c>
      <c r="AG21" s="63">
        <f t="shared" si="13"/>
        <v>4875000</v>
      </c>
      <c r="AH21" s="63">
        <f t="shared" si="14"/>
        <v>-754958.4800000004</v>
      </c>
      <c r="AI21" s="63">
        <f t="shared" si="15"/>
        <v>0</v>
      </c>
      <c r="AJ21" s="62">
        <f t="shared" si="16"/>
        <v>4120041.5199999996</v>
      </c>
      <c r="AK21" s="62"/>
      <c r="AL21" s="62"/>
      <c r="AM21" s="62"/>
      <c r="AN21" s="62"/>
      <c r="AO21" s="62"/>
      <c r="AP21" s="62"/>
      <c r="AQ21" s="62">
        <v>0</v>
      </c>
      <c r="AR21" s="62">
        <f t="shared" si="25"/>
        <v>0</v>
      </c>
      <c r="AS21" s="62">
        <f t="shared" si="18"/>
        <v>4120041.5199999996</v>
      </c>
      <c r="AT21" s="59"/>
      <c r="AU21" s="234">
        <f t="shared" si="19"/>
        <v>11</v>
      </c>
      <c r="AV21" s="61" t="str">
        <f t="shared" si="20"/>
        <v>BUDIYANTO</v>
      </c>
      <c r="AW21" s="60">
        <f t="shared" si="21"/>
        <v>4120041.5199999996</v>
      </c>
      <c r="AX21" s="64"/>
      <c r="AY21" s="68"/>
      <c r="AZ21" s="68"/>
      <c r="BA21" s="72">
        <f>+VLOOKUP(C21,'tanda terima  (2)'!$C$4:$G$106,5,0)</f>
        <v>4120041.5199999996</v>
      </c>
      <c r="BB21" s="59"/>
      <c r="BG21" s="105" t="e">
        <f>+VLOOKUP(C21,[1]ALL!$C$5:$AP$23,40,0)</f>
        <v>#N/A</v>
      </c>
    </row>
    <row r="22" s="58" customFormat="1">
      <c r="A22" s="80" t="s">
        <v>263</v>
      </c>
      <c r="B22" s="323" t="s">
        <v>317</v>
      </c>
      <c r="C22" s="324" t="s">
        <v>106</v>
      </c>
      <c r="D22" s="68" t="s">
        <v>15</v>
      </c>
      <c r="E22" s="68" t="s">
        <v>17</v>
      </c>
      <c r="F22" s="68"/>
      <c r="G22" s="68"/>
      <c r="H22" s="139" t="str">
        <f t="shared" si="22"/>
        <v>FULL</v>
      </c>
      <c r="I22" s="67"/>
      <c r="J22" s="67"/>
      <c r="K22" s="67"/>
      <c r="L22" s="67">
        <f t="shared" si="1"/>
        <v>0</v>
      </c>
      <c r="M22" s="28">
        <f t="shared" si="2"/>
        <v>4300000</v>
      </c>
      <c r="N22" s="67">
        <f t="shared" si="3"/>
        <v>0</v>
      </c>
      <c r="O22" s="65"/>
      <c r="P22" s="66">
        <f t="shared" si="4"/>
        <v>219999.144</v>
      </c>
      <c r="Q22" s="66">
        <f t="shared" si="5"/>
        <v>179958.48</v>
      </c>
      <c r="R22" s="66">
        <f t="shared" si="6"/>
        <v>89979.24</v>
      </c>
      <c r="S22" s="65">
        <f t="shared" si="7"/>
        <v>489936.864</v>
      </c>
      <c r="T22" s="65">
        <v>374913.5</v>
      </c>
      <c r="U22" s="212"/>
      <c r="V22" s="67">
        <f t="shared" si="8"/>
        <v>4300000</v>
      </c>
      <c r="W22" s="67"/>
      <c r="X22" s="68"/>
      <c r="Y22" s="68">
        <f t="shared" si="9"/>
        <v>12</v>
      </c>
      <c r="Z22" s="233" t="str">
        <f t="shared" si="10"/>
        <v>MUHAMAD MUHTADI</v>
      </c>
      <c r="AA22" s="64" t="s">
        <v>216</v>
      </c>
      <c r="AB22" s="63">
        <f t="shared" si="11"/>
        <v>4300000</v>
      </c>
      <c r="AC22" s="74">
        <f t="shared" si="23"/>
        <v>89979.24</v>
      </c>
      <c r="AD22" s="74">
        <f t="shared" si="24"/>
        <v>44989.62</v>
      </c>
      <c r="AE22" s="74">
        <f t="shared" si="24"/>
        <v>44989.62</v>
      </c>
      <c r="AF22" s="63">
        <f t="shared" si="12"/>
        <v>4120041.5199999996</v>
      </c>
      <c r="AG22" s="63">
        <f t="shared" si="13"/>
        <v>4875000</v>
      </c>
      <c r="AH22" s="63">
        <f t="shared" si="14"/>
        <v>-754958.4800000004</v>
      </c>
      <c r="AI22" s="63">
        <f t="shared" si="15"/>
        <v>0</v>
      </c>
      <c r="AJ22" s="62">
        <f t="shared" si="16"/>
        <v>4120041.5199999996</v>
      </c>
      <c r="AK22" s="62"/>
      <c r="AL22" s="62"/>
      <c r="AM22" s="62"/>
      <c r="AN22" s="62"/>
      <c r="AO22" s="62"/>
      <c r="AP22" s="62"/>
      <c r="AQ22" s="62">
        <v>150000</v>
      </c>
      <c r="AR22" s="62">
        <f t="shared" si="25"/>
        <v>150000</v>
      </c>
      <c r="AS22" s="62">
        <f t="shared" si="18"/>
        <v>3970041.5199999996</v>
      </c>
      <c r="AT22" s="59"/>
      <c r="AU22" s="234">
        <f t="shared" si="19"/>
        <v>12</v>
      </c>
      <c r="AV22" s="61" t="str">
        <f t="shared" si="20"/>
        <v>MUHAMAD MUHTADI</v>
      </c>
      <c r="AW22" s="60">
        <f t="shared" si="21"/>
        <v>3970041.5199999996</v>
      </c>
      <c r="AX22" s="251"/>
      <c r="AY22" s="68"/>
      <c r="AZ22" s="68"/>
      <c r="BA22" s="72">
        <f>+VLOOKUP(C22,'tanda terima  (2)'!$C$4:$G$106,5,0)</f>
        <v>3970041.5199999996</v>
      </c>
      <c r="BB22" s="59"/>
      <c r="BG22" s="105" t="e">
        <f>+VLOOKUP(C22,[1]ALL!$C$5:$AP$23,40,0)</f>
        <v>#N/A</v>
      </c>
    </row>
    <row r="23" s="58" customFormat="1">
      <c r="A23" s="80" t="s">
        <v>263</v>
      </c>
      <c r="B23" s="323" t="s">
        <v>319</v>
      </c>
      <c r="C23" s="324" t="s">
        <v>71</v>
      </c>
      <c r="D23" s="80" t="s">
        <v>15</v>
      </c>
      <c r="E23" s="80" t="s">
        <v>17</v>
      </c>
      <c r="F23" s="80"/>
      <c r="G23" s="80">
        <v>17</v>
      </c>
      <c r="H23" s="139" t="str">
        <f t="shared" si="22"/>
        <v>PRORATE</v>
      </c>
      <c r="I23" s="79"/>
      <c r="J23" s="79"/>
      <c r="K23" s="79"/>
      <c r="L23" s="79">
        <f t="shared" si="1"/>
        <v>0</v>
      </c>
      <c r="M23" s="28">
        <f t="shared" si="2"/>
        <v>2924000</v>
      </c>
      <c r="N23" s="67">
        <f t="shared" si="3"/>
        <v>0</v>
      </c>
      <c r="O23" s="65"/>
      <c r="P23" s="66">
        <f t="shared" si="4"/>
        <v>219999.144</v>
      </c>
      <c r="Q23" s="66">
        <f t="shared" si="5"/>
        <v>179958.48</v>
      </c>
      <c r="R23" s="66">
        <f t="shared" si="6"/>
        <v>89979.24</v>
      </c>
      <c r="S23" s="65">
        <f t="shared" si="7"/>
        <v>489936.864</v>
      </c>
      <c r="T23" s="65">
        <v>374913.5</v>
      </c>
      <c r="U23" s="212"/>
      <c r="V23" s="79">
        <f t="shared" si="8"/>
        <v>2924000</v>
      </c>
      <c r="W23" s="79"/>
      <c r="X23" s="80"/>
      <c r="Y23" s="80">
        <f t="shared" si="9"/>
        <v>13</v>
      </c>
      <c r="Z23" s="76" t="str">
        <f t="shared" si="10"/>
        <v>HENDRIK PURNAMA</v>
      </c>
      <c r="AA23" s="75" t="s">
        <v>216</v>
      </c>
      <c r="AB23" s="74">
        <f t="shared" si="11"/>
        <v>2924000</v>
      </c>
      <c r="AC23" s="74">
        <f t="shared" si="23"/>
        <v>89979.24</v>
      </c>
      <c r="AD23" s="74">
        <f t="shared" si="24"/>
        <v>44989.62</v>
      </c>
      <c r="AE23" s="74">
        <f t="shared" si="24"/>
        <v>44989.62</v>
      </c>
      <c r="AF23" s="74">
        <f t="shared" si="12"/>
        <v>2744041.5199999996</v>
      </c>
      <c r="AG23" s="74">
        <f t="shared" si="13"/>
        <v>4875000</v>
      </c>
      <c r="AH23" s="74">
        <f t="shared" si="14"/>
        <v>-2130958.4800000004</v>
      </c>
      <c r="AI23" s="74">
        <f t="shared" si="15"/>
        <v>0</v>
      </c>
      <c r="AJ23" s="73">
        <f t="shared" si="16"/>
        <v>2744041.5199999996</v>
      </c>
      <c r="AK23" s="62"/>
      <c r="AL23" s="62"/>
      <c r="AM23" s="62"/>
      <c r="AN23" s="62"/>
      <c r="AO23" s="62"/>
      <c r="AP23" s="62"/>
      <c r="AQ23" s="62">
        <f t="shared" si="17"/>
        <v>0</v>
      </c>
      <c r="AR23" s="62">
        <f t="shared" si="25"/>
        <v>0</v>
      </c>
      <c r="AS23" s="62">
        <f t="shared" si="18"/>
        <v>2744041.5199999996</v>
      </c>
      <c r="AT23" s="72"/>
      <c r="AU23" s="71">
        <f t="shared" si="19"/>
        <v>13</v>
      </c>
      <c r="AV23" s="70" t="str">
        <f t="shared" si="20"/>
        <v>HENDRIK PURNAMA</v>
      </c>
      <c r="AW23" s="60">
        <f t="shared" si="21"/>
        <v>2744041.5199999996</v>
      </c>
      <c r="AX23" s="69"/>
      <c r="AY23" s="80"/>
      <c r="AZ23" s="80"/>
      <c r="BA23" s="72">
        <f>+VLOOKUP(C23,'tanda terima  (2)'!$C$4:$G$106,5,0)</f>
        <v>2744041.5199999996</v>
      </c>
      <c r="BB23" s="72"/>
      <c r="BC23" s="105"/>
      <c r="BD23" s="105"/>
      <c r="BE23" s="105"/>
      <c r="BF23" s="105"/>
      <c r="BG23" s="105" t="s">
        <v>318</v>
      </c>
    </row>
    <row r="24" s="105" customFormat="1">
      <c r="A24" s="80" t="s">
        <v>303</v>
      </c>
      <c r="B24" s="275" t="s">
        <v>320</v>
      </c>
      <c r="C24" s="254" t="s">
        <v>172</v>
      </c>
      <c r="D24" s="80" t="s">
        <v>15</v>
      </c>
      <c r="E24" s="80" t="s">
        <v>17</v>
      </c>
      <c r="F24" s="80"/>
      <c r="G24" s="80"/>
      <c r="H24" s="139" t="str">
        <f t="shared" si="22"/>
        <v>FULL</v>
      </c>
      <c r="I24" s="79"/>
      <c r="J24" s="79"/>
      <c r="K24" s="79"/>
      <c r="L24" s="67">
        <f t="shared" si="1"/>
        <v>0</v>
      </c>
      <c r="M24" s="28">
        <f>+IF(G24&gt;=1,$M$4*G24,IF(L24=0,4300000))</f>
        <v>4300000</v>
      </c>
      <c r="N24" s="67">
        <f t="shared" si="3"/>
        <v>0</v>
      </c>
      <c r="O24" s="65"/>
      <c r="P24" s="66">
        <f t="shared" si="4"/>
        <v>219999.144</v>
      </c>
      <c r="Q24" s="66">
        <f t="shared" si="5"/>
        <v>179958.48</v>
      </c>
      <c r="R24" s="66">
        <f t="shared" si="6"/>
        <v>89979.24</v>
      </c>
      <c r="S24" s="65">
        <f t="shared" si="7"/>
        <v>489936.864</v>
      </c>
      <c r="T24" s="65">
        <v>374913.5</v>
      </c>
      <c r="U24" s="212"/>
      <c r="V24" s="67">
        <f t="shared" si="8"/>
        <v>4300000</v>
      </c>
      <c r="W24" s="67"/>
      <c r="X24" s="68"/>
      <c r="Y24" s="68">
        <f t="shared" si="9"/>
        <v>14</v>
      </c>
      <c r="Z24" s="233" t="str">
        <f t="shared" si="10"/>
        <v>AHMAD KUSAERI</v>
      </c>
      <c r="AA24" s="64" t="s">
        <v>216</v>
      </c>
      <c r="AB24" s="63">
        <f t="shared" si="11"/>
        <v>4300000</v>
      </c>
      <c r="AC24" s="74">
        <f t="shared" si="23"/>
        <v>89979.24</v>
      </c>
      <c r="AD24" s="74">
        <f t="shared" si="24"/>
        <v>44989.62</v>
      </c>
      <c r="AE24" s="74">
        <f t="shared" si="24"/>
        <v>44989.62</v>
      </c>
      <c r="AF24" s="63">
        <f t="shared" si="12"/>
        <v>4120041.5199999996</v>
      </c>
      <c r="AG24" s="63">
        <f t="shared" si="13"/>
        <v>4875000</v>
      </c>
      <c r="AH24" s="63">
        <f t="shared" si="14"/>
        <v>-754958.4800000004</v>
      </c>
      <c r="AI24" s="63">
        <f t="shared" si="15"/>
        <v>0</v>
      </c>
      <c r="AJ24" s="62">
        <f t="shared" si="16"/>
        <v>4120041.5199999996</v>
      </c>
      <c r="AK24" s="62"/>
      <c r="AL24" s="62"/>
      <c r="AM24" s="62">
        <v>250000</v>
      </c>
      <c r="AN24" s="62"/>
      <c r="AO24" s="62"/>
      <c r="AP24" s="62"/>
      <c r="AQ24" s="62">
        <f t="shared" si="17"/>
        <v>0</v>
      </c>
      <c r="AR24" s="62">
        <f t="shared" si="25"/>
        <v>250000</v>
      </c>
      <c r="AS24" s="62">
        <f t="shared" si="18"/>
        <v>3870041.5199999996</v>
      </c>
      <c r="AT24" s="59"/>
      <c r="AU24" s="234">
        <f>+AU23+1</f>
        <v>14</v>
      </c>
      <c r="AV24" s="61" t="str">
        <f t="shared" si="20"/>
        <v>AHMAD KUSAERI</v>
      </c>
      <c r="AW24" s="60">
        <f t="shared" si="21"/>
        <v>3870041.5199999996</v>
      </c>
      <c r="AX24" s="64"/>
      <c r="AY24" s="68"/>
      <c r="AZ24" s="68"/>
      <c r="BA24" s="72">
        <f>+VLOOKUP(C24,'tanda terima  (2)'!$C$4:$G$106,5,0)</f>
        <v>3870041.5199999996</v>
      </c>
      <c r="BB24" s="72"/>
      <c r="BG24" s="105">
        <f>+VLOOKUP(C24,[1]ALL!$C$5:$AP$23,40,0)</f>
        <v>0</v>
      </c>
    </row>
    <row r="25" s="105" customFormat="1">
      <c r="A25" s="80" t="s">
        <v>263</v>
      </c>
      <c r="B25" s="323" t="s">
        <v>313</v>
      </c>
      <c r="C25" s="324" t="s">
        <v>40</v>
      </c>
      <c r="D25" s="80" t="s">
        <v>15</v>
      </c>
      <c r="E25" s="80" t="s">
        <v>17</v>
      </c>
      <c r="F25" s="80"/>
      <c r="G25" s="80">
        <v>21</v>
      </c>
      <c r="H25" s="139" t="str">
        <f t="shared" si="22"/>
        <v>PRORATE</v>
      </c>
      <c r="I25" s="79"/>
      <c r="J25" s="79"/>
      <c r="K25" s="79"/>
      <c r="L25" s="79">
        <f t="shared" si="1"/>
        <v>0</v>
      </c>
      <c r="M25" s="28">
        <f ref="M25:M29" t="shared" si="26">+IF(G25&gt;=1,$M$4*G25,IF(L25=0,4300000))</f>
        <v>3612000</v>
      </c>
      <c r="N25" s="67">
        <f t="shared" si="3"/>
        <v>0</v>
      </c>
      <c r="O25" s="65"/>
      <c r="P25" s="66">
        <f t="shared" si="4"/>
        <v>219999.144</v>
      </c>
      <c r="Q25" s="66">
        <f t="shared" si="5"/>
        <v>179958.48</v>
      </c>
      <c r="R25" s="66">
        <f t="shared" si="6"/>
        <v>89979.24</v>
      </c>
      <c r="S25" s="65">
        <f t="shared" si="7"/>
        <v>489936.864</v>
      </c>
      <c r="T25" s="65">
        <v>374913.5</v>
      </c>
      <c r="U25" s="212"/>
      <c r="V25" s="79">
        <f t="shared" si="8"/>
        <v>3612000</v>
      </c>
      <c r="W25" s="79"/>
      <c r="X25" s="80"/>
      <c r="Y25" s="80">
        <f t="shared" si="9"/>
        <v>15</v>
      </c>
      <c r="Z25" s="76" t="str">
        <f t="shared" si="10"/>
        <v>ASEP KURNIA</v>
      </c>
      <c r="AA25" s="75" t="s">
        <v>217</v>
      </c>
      <c r="AB25" s="74">
        <f t="shared" si="11"/>
        <v>3612000</v>
      </c>
      <c r="AC25" s="74">
        <f t="shared" si="23"/>
        <v>89979.24</v>
      </c>
      <c r="AD25" s="74">
        <f t="shared" si="24"/>
        <v>44989.62</v>
      </c>
      <c r="AE25" s="74">
        <f t="shared" si="24"/>
        <v>44989.62</v>
      </c>
      <c r="AF25" s="74">
        <f t="shared" si="12"/>
        <v>3432041.5199999996</v>
      </c>
      <c r="AG25" s="74">
        <f t="shared" si="13"/>
        <v>5250000</v>
      </c>
      <c r="AH25" s="74">
        <f t="shared" si="14"/>
        <v>-1817958.4800000004</v>
      </c>
      <c r="AI25" s="74">
        <f t="shared" si="15"/>
        <v>0</v>
      </c>
      <c r="AJ25" s="73">
        <f t="shared" si="16"/>
        <v>3432041.5199999996</v>
      </c>
      <c r="AK25" s="62"/>
      <c r="AL25" s="62"/>
      <c r="AM25" s="62"/>
      <c r="AN25" s="62">
        <v>500000</v>
      </c>
      <c r="AO25" s="62"/>
      <c r="AP25" s="62"/>
      <c r="AQ25" s="62">
        <f t="shared" si="17"/>
        <v>0</v>
      </c>
      <c r="AR25" s="62">
        <f t="shared" si="25"/>
        <v>500000</v>
      </c>
      <c r="AS25" s="62">
        <f t="shared" si="18"/>
        <v>2932041.5199999996</v>
      </c>
      <c r="AT25" s="72"/>
      <c r="AU25" s="71">
        <v>1</v>
      </c>
      <c r="AV25" s="70" t="str">
        <f t="shared" si="20"/>
        <v>ASEP KURNIA</v>
      </c>
      <c r="AW25" s="60">
        <f t="shared" si="21"/>
        <v>2932041.5199999996</v>
      </c>
      <c r="AX25" s="69"/>
      <c r="AY25" s="80"/>
      <c r="AZ25" s="80"/>
      <c r="BA25" s="72">
        <f>+VLOOKUP(C25,'tanda terima  (2)'!$C$4:$G$106,5,0)</f>
        <v>2932041.5199999996</v>
      </c>
      <c r="BB25" s="72"/>
      <c r="BG25" s="105" t="e">
        <f>+VLOOKUP(C25,[1]ALL!$C$5:$AP$23,40,0)</f>
        <v>#N/A</v>
      </c>
    </row>
    <row r="26" s="105" customFormat="1">
      <c r="A26" s="80" t="s">
        <v>263</v>
      </c>
      <c r="B26" s="323" t="s">
        <v>321</v>
      </c>
      <c r="C26" s="324" t="s">
        <v>65</v>
      </c>
      <c r="D26" s="68" t="s">
        <v>15</v>
      </c>
      <c r="E26" s="68" t="s">
        <v>17</v>
      </c>
      <c r="F26" s="68"/>
      <c r="G26" s="68"/>
      <c r="H26" s="139" t="str">
        <f t="shared" si="22"/>
        <v>FULL</v>
      </c>
      <c r="I26" s="67"/>
      <c r="J26" s="67"/>
      <c r="K26" s="67"/>
      <c r="L26" s="67">
        <f t="shared" si="1"/>
        <v>0</v>
      </c>
      <c r="M26" s="28">
        <f t="shared" si="26"/>
        <v>4300000</v>
      </c>
      <c r="N26" s="67">
        <f t="shared" si="3"/>
        <v>0</v>
      </c>
      <c r="O26" s="65"/>
      <c r="P26" s="66">
        <f t="shared" si="4"/>
        <v>219999.144</v>
      </c>
      <c r="Q26" s="66">
        <f t="shared" si="5"/>
        <v>179958.48</v>
      </c>
      <c r="R26" s="66">
        <f t="shared" si="6"/>
        <v>89979.24</v>
      </c>
      <c r="S26" s="65">
        <f t="shared" si="7"/>
        <v>489936.864</v>
      </c>
      <c r="T26" s="65">
        <v>374913.5</v>
      </c>
      <c r="U26" s="212"/>
      <c r="V26" s="67">
        <f t="shared" si="8"/>
        <v>4300000</v>
      </c>
      <c r="W26" s="67"/>
      <c r="X26" s="68"/>
      <c r="Y26" s="68">
        <f t="shared" si="9"/>
        <v>16</v>
      </c>
      <c r="Z26" s="233" t="str">
        <f t="shared" si="10"/>
        <v>FATHUROHMAN</v>
      </c>
      <c r="AA26" s="64" t="s">
        <v>216</v>
      </c>
      <c r="AB26" s="63">
        <f t="shared" si="11"/>
        <v>4300000</v>
      </c>
      <c r="AC26" s="74">
        <f t="shared" si="23"/>
        <v>89979.24</v>
      </c>
      <c r="AD26" s="74">
        <f t="shared" si="24"/>
        <v>44989.62</v>
      </c>
      <c r="AE26" s="74">
        <f t="shared" si="24"/>
        <v>44989.62</v>
      </c>
      <c r="AF26" s="63">
        <f t="shared" si="12"/>
        <v>4120041.5199999996</v>
      </c>
      <c r="AG26" s="63">
        <f t="shared" si="13"/>
        <v>4875000</v>
      </c>
      <c r="AH26" s="63">
        <f t="shared" si="14"/>
        <v>-754958.4800000004</v>
      </c>
      <c r="AI26" s="63">
        <f t="shared" si="15"/>
        <v>0</v>
      </c>
      <c r="AJ26" s="62">
        <f t="shared" si="16"/>
        <v>4120041.5199999996</v>
      </c>
      <c r="AK26" s="62"/>
      <c r="AL26" s="62"/>
      <c r="AM26" s="62">
        <v>250000</v>
      </c>
      <c r="AN26" s="62"/>
      <c r="AO26" s="62"/>
      <c r="AP26" s="62"/>
      <c r="AQ26" s="62">
        <v>150000</v>
      </c>
      <c r="AR26" s="62">
        <f t="shared" si="25"/>
        <v>400000</v>
      </c>
      <c r="AS26" s="62">
        <f t="shared" si="18"/>
        <v>3720041.5199999996</v>
      </c>
      <c r="AT26" s="59"/>
      <c r="AU26" s="234">
        <f>+AU25+1</f>
        <v>2</v>
      </c>
      <c r="AV26" s="61" t="str">
        <f t="shared" si="20"/>
        <v>FATHUROHMAN</v>
      </c>
      <c r="AW26" s="60">
        <f t="shared" si="21"/>
        <v>3720041.5199999996</v>
      </c>
      <c r="AX26" s="64"/>
      <c r="AY26" s="68"/>
      <c r="AZ26" s="68"/>
      <c r="BA26" s="72">
        <f>+VLOOKUP(C26,'tanda terima  (2)'!$C$4:$G$106,5,0)</f>
        <v>3720041.5199999996</v>
      </c>
      <c r="BB26" s="59"/>
      <c r="BC26" s="58"/>
      <c r="BD26" s="58"/>
      <c r="BE26" s="58"/>
      <c r="BF26" s="58"/>
      <c r="BG26" s="105" t="s">
        <v>316</v>
      </c>
    </row>
    <row r="27" s="105" customFormat="1">
      <c r="A27" s="80" t="s">
        <v>263</v>
      </c>
      <c r="B27" s="323" t="s">
        <v>322</v>
      </c>
      <c r="C27" s="324" t="s">
        <v>146</v>
      </c>
      <c r="D27" s="80" t="s">
        <v>15</v>
      </c>
      <c r="E27" s="80" t="s">
        <v>17</v>
      </c>
      <c r="F27" s="80"/>
      <c r="G27" s="80"/>
      <c r="H27" s="139" t="str">
        <f t="shared" si="22"/>
        <v>FULL</v>
      </c>
      <c r="I27" s="79"/>
      <c r="J27" s="79"/>
      <c r="K27" s="79"/>
      <c r="L27" s="67">
        <f t="shared" si="1"/>
        <v>0</v>
      </c>
      <c r="M27" s="28">
        <f t="shared" si="26"/>
        <v>4300000</v>
      </c>
      <c r="N27" s="67">
        <f t="shared" si="3"/>
        <v>0</v>
      </c>
      <c r="O27" s="65"/>
      <c r="P27" s="66">
        <f t="shared" si="4"/>
        <v>219999.144</v>
      </c>
      <c r="Q27" s="66">
        <f t="shared" si="5"/>
        <v>179958.48</v>
      </c>
      <c r="R27" s="66">
        <f t="shared" si="6"/>
        <v>89979.24</v>
      </c>
      <c r="S27" s="65">
        <f t="shared" si="7"/>
        <v>489936.864</v>
      </c>
      <c r="T27" s="65">
        <v>374913.5</v>
      </c>
      <c r="U27" s="212">
        <v>179958</v>
      </c>
      <c r="V27" s="67">
        <f t="shared" si="8"/>
        <v>4479958</v>
      </c>
      <c r="W27" s="67"/>
      <c r="X27" s="68"/>
      <c r="Y27" s="68">
        <f t="shared" si="9"/>
        <v>17</v>
      </c>
      <c r="Z27" s="233" t="str">
        <f t="shared" si="10"/>
        <v>WAKHIDIN</v>
      </c>
      <c r="AA27" s="64" t="s">
        <v>216</v>
      </c>
      <c r="AB27" s="63">
        <f t="shared" si="11"/>
        <v>4479958</v>
      </c>
      <c r="AC27" s="74">
        <f t="shared" si="23"/>
        <v>89979.24</v>
      </c>
      <c r="AD27" s="74">
        <f t="shared" si="24"/>
        <v>44989.62</v>
      </c>
      <c r="AE27" s="74">
        <f t="shared" si="24"/>
        <v>44989.62</v>
      </c>
      <c r="AF27" s="63">
        <f t="shared" si="12"/>
        <v>4299999.52</v>
      </c>
      <c r="AG27" s="63">
        <f t="shared" si="13"/>
        <v>4875000</v>
      </c>
      <c r="AH27" s="63">
        <f t="shared" si="14"/>
        <v>-575000.4800000004</v>
      </c>
      <c r="AI27" s="63">
        <f t="shared" si="15"/>
        <v>0</v>
      </c>
      <c r="AJ27" s="62">
        <f t="shared" si="16"/>
        <v>4299999.52</v>
      </c>
      <c r="AK27" s="62"/>
      <c r="AL27" s="62"/>
      <c r="AM27" s="62"/>
      <c r="AN27" s="62"/>
      <c r="AO27" s="62"/>
      <c r="AP27" s="62"/>
      <c r="AQ27" s="62">
        <f t="shared" si="17"/>
        <v>0</v>
      </c>
      <c r="AR27" s="62">
        <f t="shared" si="25"/>
        <v>0</v>
      </c>
      <c r="AS27" s="62">
        <f t="shared" si="18"/>
        <v>4299999.52</v>
      </c>
      <c r="AT27" s="59"/>
      <c r="AU27" s="234">
        <f>+AU26+1</f>
        <v>3</v>
      </c>
      <c r="AV27" s="61" t="str">
        <f t="shared" si="20"/>
        <v>WAKHIDIN</v>
      </c>
      <c r="AW27" s="60">
        <f t="shared" si="21"/>
        <v>4299999.52</v>
      </c>
      <c r="AX27" s="64"/>
      <c r="AY27" s="68"/>
      <c r="AZ27" s="68"/>
      <c r="BA27" s="72">
        <f>+VLOOKUP(C27,'tanda terima  (2)'!$C$4:$G$106,5,0)</f>
        <v>4299999.52</v>
      </c>
      <c r="BB27" s="72"/>
      <c r="BG27" s="105">
        <f>+VLOOKUP(C27,[1]ALL!$C$5:$AP$23,40,0)</f>
        <v>0</v>
      </c>
    </row>
    <row r="28" s="105" customFormat="1">
      <c r="A28" s="80" t="s">
        <v>263</v>
      </c>
      <c r="B28" s="323" t="s">
        <v>323</v>
      </c>
      <c r="C28" s="324" t="s">
        <v>156</v>
      </c>
      <c r="D28" s="80" t="s">
        <v>15</v>
      </c>
      <c r="E28" s="80" t="s">
        <v>17</v>
      </c>
      <c r="F28" s="80"/>
      <c r="G28" s="80"/>
      <c r="H28" s="139" t="str">
        <f t="shared" si="22"/>
        <v>FULL</v>
      </c>
      <c r="I28" s="79"/>
      <c r="J28" s="79"/>
      <c r="K28" s="79"/>
      <c r="L28" s="67">
        <f t="shared" si="1"/>
        <v>0</v>
      </c>
      <c r="M28" s="28">
        <f t="shared" si="26"/>
        <v>4300000</v>
      </c>
      <c r="N28" s="67">
        <f t="shared" si="3"/>
        <v>0</v>
      </c>
      <c r="O28" s="65"/>
      <c r="P28" s="66">
        <f t="shared" si="4"/>
        <v>219999.144</v>
      </c>
      <c r="Q28" s="66">
        <f t="shared" si="5"/>
        <v>179958.48</v>
      </c>
      <c r="R28" s="66">
        <f t="shared" si="6"/>
        <v>89979.24</v>
      </c>
      <c r="S28" s="65">
        <f t="shared" si="7"/>
        <v>489936.864</v>
      </c>
      <c r="T28" s="65">
        <v>374913.5</v>
      </c>
      <c r="U28" s="212"/>
      <c r="V28" s="67">
        <f t="shared" si="8"/>
        <v>4300000</v>
      </c>
      <c r="W28" s="67"/>
      <c r="X28" s="68"/>
      <c r="Y28" s="68">
        <f t="shared" si="9"/>
        <v>18</v>
      </c>
      <c r="Z28" s="233" t="str">
        <f t="shared" si="10"/>
        <v>SYAMSUL MUHARAM</v>
      </c>
      <c r="AA28" s="64" t="s">
        <v>216</v>
      </c>
      <c r="AB28" s="63">
        <f t="shared" si="11"/>
        <v>4300000</v>
      </c>
      <c r="AC28" s="74">
        <f t="shared" si="23"/>
        <v>89979.24</v>
      </c>
      <c r="AD28" s="74">
        <f t="shared" si="24"/>
        <v>44989.62</v>
      </c>
      <c r="AE28" s="74">
        <f t="shared" si="24"/>
        <v>44989.62</v>
      </c>
      <c r="AF28" s="63">
        <f t="shared" si="12"/>
        <v>4120041.5199999996</v>
      </c>
      <c r="AG28" s="63">
        <f t="shared" si="13"/>
        <v>4875000</v>
      </c>
      <c r="AH28" s="63">
        <f t="shared" si="14"/>
        <v>-754958.4800000004</v>
      </c>
      <c r="AI28" s="63">
        <f t="shared" si="15"/>
        <v>0</v>
      </c>
      <c r="AJ28" s="62">
        <f t="shared" si="16"/>
        <v>4120041.5199999996</v>
      </c>
      <c r="AK28" s="62"/>
      <c r="AL28" s="62"/>
      <c r="AM28" s="62"/>
      <c r="AN28" s="62"/>
      <c r="AO28" s="62"/>
      <c r="AP28" s="62"/>
      <c r="AQ28" s="62">
        <v>150000</v>
      </c>
      <c r="AR28" s="62">
        <f t="shared" si="25"/>
        <v>150000</v>
      </c>
      <c r="AS28" s="62">
        <f t="shared" si="18"/>
        <v>3970041.5199999996</v>
      </c>
      <c r="AT28" s="59"/>
      <c r="AU28" s="234">
        <f>+AU27+1</f>
        <v>4</v>
      </c>
      <c r="AV28" s="61" t="str">
        <f t="shared" si="20"/>
        <v>SYAMSUL MUHARAM</v>
      </c>
      <c r="AW28" s="60">
        <f t="shared" si="21"/>
        <v>3970041.5199999996</v>
      </c>
      <c r="AX28" s="251"/>
      <c r="AY28" s="68"/>
      <c r="AZ28" s="68"/>
      <c r="BA28" s="72">
        <f>+VLOOKUP(C28,'tanda terima  (2)'!$C$4:$G$106,5,0)</f>
        <v>3970041.5199999996</v>
      </c>
      <c r="BB28" s="72"/>
      <c r="BG28" s="105" t="s">
        <v>324</v>
      </c>
    </row>
    <row r="29" s="105" customFormat="1">
      <c r="A29" s="80" t="s">
        <v>263</v>
      </c>
      <c r="B29" s="323" t="s">
        <v>325</v>
      </c>
      <c r="C29" s="326" t="s">
        <v>193</v>
      </c>
      <c r="D29" s="80" t="s">
        <v>15</v>
      </c>
      <c r="E29" s="80" t="s">
        <v>17</v>
      </c>
      <c r="F29" s="80"/>
      <c r="G29" s="80"/>
      <c r="H29" s="139" t="str">
        <f t="shared" si="22"/>
        <v>FULL</v>
      </c>
      <c r="I29" s="79"/>
      <c r="J29" s="79"/>
      <c r="K29" s="79"/>
      <c r="L29" s="79">
        <f t="shared" si="1"/>
        <v>0</v>
      </c>
      <c r="M29" s="28">
        <f t="shared" si="26"/>
        <v>4300000</v>
      </c>
      <c r="N29" s="67">
        <f t="shared" si="3"/>
        <v>0</v>
      </c>
      <c r="O29" s="65"/>
      <c r="P29" s="66">
        <f t="shared" si="4"/>
        <v>219999.144</v>
      </c>
      <c r="Q29" s="66">
        <f t="shared" si="5"/>
        <v>179958.48</v>
      </c>
      <c r="R29" s="66">
        <f t="shared" si="6"/>
        <v>89979.24</v>
      </c>
      <c r="S29" s="65">
        <f t="shared" si="7"/>
        <v>489936.864</v>
      </c>
      <c r="T29" s="65">
        <v>374913.5</v>
      </c>
      <c r="U29" s="212"/>
      <c r="V29" s="79">
        <f t="shared" si="8"/>
        <v>4300000</v>
      </c>
      <c r="W29" s="79"/>
      <c r="X29" s="80"/>
      <c r="Y29" s="80">
        <f t="shared" si="9"/>
        <v>19</v>
      </c>
      <c r="Z29" s="76" t="str">
        <f t="shared" si="10"/>
        <v>AHMAD TATA</v>
      </c>
      <c r="AA29" s="75" t="s">
        <v>216</v>
      </c>
      <c r="AB29" s="74">
        <f t="shared" si="11"/>
        <v>4300000</v>
      </c>
      <c r="AC29" s="74">
        <f t="shared" si="23"/>
        <v>89979.24</v>
      </c>
      <c r="AD29" s="74">
        <f t="shared" si="24"/>
        <v>44989.62</v>
      </c>
      <c r="AE29" s="74">
        <f t="shared" si="24"/>
        <v>44989.62</v>
      </c>
      <c r="AF29" s="74">
        <f t="shared" si="12"/>
        <v>4120041.5199999996</v>
      </c>
      <c r="AG29" s="74">
        <f t="shared" si="13"/>
        <v>4875000</v>
      </c>
      <c r="AH29" s="74">
        <f t="shared" si="14"/>
        <v>-754958.4800000004</v>
      </c>
      <c r="AI29" s="74">
        <f t="shared" si="15"/>
        <v>0</v>
      </c>
      <c r="AJ29" s="73">
        <f t="shared" si="16"/>
        <v>4120041.5199999996</v>
      </c>
      <c r="AK29" s="62"/>
      <c r="AL29" s="62"/>
      <c r="AM29" s="62"/>
      <c r="AN29" s="62"/>
      <c r="AO29" s="62"/>
      <c r="AP29" s="62"/>
      <c r="AQ29" s="62">
        <f t="shared" si="17"/>
        <v>0</v>
      </c>
      <c r="AR29" s="62">
        <f t="shared" si="25"/>
        <v>0</v>
      </c>
      <c r="AS29" s="62">
        <f t="shared" si="18"/>
        <v>4120041.5199999996</v>
      </c>
      <c r="AT29" s="72"/>
      <c r="AU29" s="71">
        <f>+AU28+1</f>
        <v>5</v>
      </c>
      <c r="AV29" s="70" t="str">
        <f t="shared" si="20"/>
        <v>AHMAD TATA</v>
      </c>
      <c r="AW29" s="60">
        <f t="shared" si="21"/>
        <v>4120041.5199999996</v>
      </c>
      <c r="AX29" s="69"/>
      <c r="AY29" s="80"/>
      <c r="AZ29" s="80"/>
      <c r="BA29" s="72">
        <f>+VLOOKUP(C29,'tanda terima  (2)'!$C$4:$G$106,5,0)</f>
        <v>4120041.5199999996</v>
      </c>
      <c r="BB29" s="72"/>
      <c r="BG29" s="105">
        <f>+VLOOKUP(C29,[1]ALL!$C$5:$AP$23,40,0)</f>
        <v>0</v>
      </c>
    </row>
    <row r="30" s="105" customFormat="1">
      <c r="A30" s="80" t="s">
        <v>263</v>
      </c>
      <c r="B30" s="323"/>
      <c r="C30" s="324" t="s">
        <v>326</v>
      </c>
      <c r="D30" s="80"/>
      <c r="E30" s="80"/>
      <c r="F30" s="80"/>
      <c r="G30" s="80">
        <v>16</v>
      </c>
      <c r="H30" s="139" t="str">
        <f t="shared" si="22"/>
        <v>PRORATE</v>
      </c>
      <c r="I30" s="79"/>
      <c r="J30" s="79"/>
      <c r="K30" s="79"/>
      <c r="L30" s="67"/>
      <c r="M30" s="67">
        <f>+G30*150000</f>
        <v>2400000</v>
      </c>
      <c r="N30" s="67"/>
      <c r="O30" s="65"/>
      <c r="P30" s="66"/>
      <c r="Q30" s="66"/>
      <c r="R30" s="66"/>
      <c r="S30" s="65"/>
      <c r="T30" s="65"/>
      <c r="U30" s="67"/>
      <c r="V30" s="79">
        <f t="shared" si="8"/>
        <v>2400000</v>
      </c>
      <c r="W30" s="67"/>
      <c r="X30" s="68"/>
      <c r="Y30" s="68"/>
      <c r="Z30" s="233" t="str">
        <f>+C30</f>
        <v>BACKUP </v>
      </c>
      <c r="AA30" s="64"/>
      <c r="AB30" s="247">
        <f>+M30+N30+O30+U30</f>
        <v>2400000</v>
      </c>
      <c r="AC30" s="74"/>
      <c r="AD30" s="74"/>
      <c r="AE30" s="74"/>
      <c r="AF30" s="63"/>
      <c r="AG30" s="63"/>
      <c r="AH30" s="63"/>
      <c r="AI30" s="63"/>
      <c r="AJ30" s="73">
        <f>+AB30-AC30-AD30-AE30-AI30</f>
        <v>2400000</v>
      </c>
      <c r="AK30" s="62"/>
      <c r="AL30" s="62"/>
      <c r="AM30" s="62"/>
      <c r="AN30" s="62"/>
      <c r="AO30" s="62"/>
      <c r="AP30" s="62"/>
      <c r="AQ30" s="62">
        <f>+J30*150000</f>
        <v>0</v>
      </c>
      <c r="AR30" s="62">
        <f t="shared" si="25"/>
        <v>0</v>
      </c>
      <c r="AS30" s="248">
        <f>+AJ30-AK30-AL30-AM30-AP30-AO30-AN30-AQ30</f>
        <v>2400000</v>
      </c>
      <c r="AT30" s="59"/>
      <c r="AU30" s="234"/>
      <c r="AV30" s="61" t="str">
        <f>+C30</f>
        <v>BACKUP </v>
      </c>
      <c r="AW30" s="249">
        <f>+AS30</f>
        <v>2400000</v>
      </c>
      <c r="AX30" s="64"/>
      <c r="AY30" s="68"/>
      <c r="AZ30" s="68"/>
      <c r="BA30" s="72"/>
      <c r="BB30" s="72"/>
    </row>
    <row r="31" s="105" customFormat="1">
      <c r="A31" s="80"/>
      <c r="B31" s="80"/>
      <c r="C31" s="129"/>
      <c r="D31" s="80"/>
      <c r="E31" s="80"/>
      <c r="F31" s="80"/>
      <c r="G31" s="80"/>
      <c r="H31" s="139"/>
      <c r="I31" s="79"/>
      <c r="J31" s="79"/>
      <c r="K31" s="79"/>
      <c r="L31" s="79"/>
      <c r="M31" s="67"/>
      <c r="N31" s="67"/>
      <c r="O31" s="65"/>
      <c r="P31" s="78"/>
      <c r="Q31" s="78"/>
      <c r="R31" s="78"/>
      <c r="S31" s="77"/>
      <c r="T31" s="77"/>
      <c r="U31" s="67"/>
      <c r="V31" s="79"/>
      <c r="W31" s="79"/>
      <c r="X31" s="80"/>
      <c r="Y31" s="80"/>
      <c r="Z31" s="76"/>
      <c r="AA31" s="75"/>
      <c r="AB31" s="74"/>
      <c r="AC31" s="74"/>
      <c r="AD31" s="74"/>
      <c r="AE31" s="74"/>
      <c r="AF31" s="74"/>
      <c r="AG31" s="74"/>
      <c r="AH31" s="74"/>
      <c r="AI31" s="74"/>
      <c r="AJ31" s="73"/>
      <c r="AK31" s="62"/>
      <c r="AL31" s="62"/>
      <c r="AM31" s="62"/>
      <c r="AN31" s="62"/>
      <c r="AO31" s="62"/>
      <c r="AP31" s="62"/>
      <c r="AQ31" s="62"/>
      <c r="AR31" s="62"/>
      <c r="AS31" s="62"/>
      <c r="AT31" s="72"/>
      <c r="AU31" s="71"/>
      <c r="AV31" s="70"/>
      <c r="AW31" s="60"/>
      <c r="AX31" s="69"/>
      <c r="AY31" s="80"/>
      <c r="AZ31" s="80"/>
      <c r="BA31" s="72"/>
      <c r="BB31" s="72"/>
    </row>
    <row r="32" ht="23.25" customHeight="1" s="170" customFormat="1">
      <c r="A32" s="286"/>
      <c r="B32" s="286"/>
      <c r="C32" s="287"/>
      <c r="D32" s="286"/>
      <c r="E32" s="286"/>
      <c r="F32" s="288"/>
      <c r="G32" s="288"/>
      <c r="H32" s="289"/>
      <c r="I32" s="289"/>
      <c r="J32" s="289">
        <f>SUM(J11:J29)</f>
        <v>0</v>
      </c>
      <c r="K32" s="289"/>
      <c r="L32" s="289">
        <f>SUM(L11:L29)</f>
        <v>0</v>
      </c>
      <c r="M32" s="289">
        <f ref="M32:V32" t="shared" si="27">SUM(M11:M31)</f>
        <v>81176000</v>
      </c>
      <c r="N32" s="289">
        <f t="shared" si="27"/>
        <v>0</v>
      </c>
      <c r="O32" s="289">
        <f t="shared" si="27"/>
        <v>0</v>
      </c>
      <c r="P32" s="289">
        <f t="shared" si="27"/>
        <v>4179983.735999999</v>
      </c>
      <c r="Q32" s="289">
        <f t="shared" si="27"/>
        <v>3419211.12</v>
      </c>
      <c r="R32" s="289">
        <f t="shared" si="27"/>
        <v>1709605.56</v>
      </c>
      <c r="S32" s="289">
        <f t="shared" si="27"/>
        <v>9308800.416</v>
      </c>
      <c r="T32" s="289">
        <f t="shared" si="27"/>
        <v>7123356.5</v>
      </c>
      <c r="U32" s="289">
        <f t="shared" si="27"/>
        <v>379958</v>
      </c>
      <c r="V32" s="289">
        <f t="shared" si="27"/>
        <v>81555958</v>
      </c>
      <c r="W32" s="289"/>
      <c r="X32" s="286"/>
      <c r="Y32" s="286"/>
      <c r="Z32" s="290"/>
      <c r="AA32" s="288"/>
      <c r="AB32" s="289">
        <f ref="AB32:AS32" t="shared" si="28">SUM(AB11:AB31)</f>
        <v>81555958</v>
      </c>
      <c r="AC32" s="289">
        <f t="shared" si="28"/>
        <v>1709605.56</v>
      </c>
      <c r="AD32" s="289">
        <f t="shared" si="28"/>
        <v>854802.78</v>
      </c>
      <c r="AE32" s="289">
        <f t="shared" si="28"/>
        <v>854802.78</v>
      </c>
      <c r="AF32" s="289">
        <f t="shared" si="28"/>
        <v>75736746.87999995</v>
      </c>
      <c r="AG32" s="289">
        <f t="shared" si="28"/>
        <v>94125000</v>
      </c>
      <c r="AH32" s="289">
        <f t="shared" si="28"/>
        <v>-18388253.12000001</v>
      </c>
      <c r="AI32" s="289">
        <f t="shared" si="28"/>
        <v>0</v>
      </c>
      <c r="AJ32" s="289">
        <f t="shared" si="28"/>
        <v>78136746.87999995</v>
      </c>
      <c r="AK32" s="289">
        <f t="shared" si="28"/>
        <v>0</v>
      </c>
      <c r="AL32" s="289">
        <f t="shared" si="28"/>
        <v>0</v>
      </c>
      <c r="AM32" s="289">
        <f t="shared" si="28"/>
        <v>500000</v>
      </c>
      <c r="AN32" s="289">
        <f t="shared" si="28"/>
        <v>500000</v>
      </c>
      <c r="AO32" s="289">
        <f t="shared" si="28"/>
        <v>0</v>
      </c>
      <c r="AP32" s="289">
        <f t="shared" si="28"/>
        <v>40000</v>
      </c>
      <c r="AQ32" s="289">
        <f t="shared" si="28"/>
        <v>450000</v>
      </c>
      <c r="AR32" s="289"/>
      <c r="AS32" s="289">
        <f t="shared" si="28"/>
        <v>76646746.87999995</v>
      </c>
      <c r="AT32" s="291"/>
      <c r="AU32" s="292"/>
      <c r="AV32" s="293"/>
      <c r="AW32" s="294">
        <f>SUM(AW11:AW31)</f>
        <v>76646746.87999995</v>
      </c>
      <c r="AX32" s="288"/>
      <c r="AY32" s="286"/>
      <c r="AZ32" s="286"/>
      <c r="BA32" s="166"/>
      <c r="BB32" s="166"/>
    </row>
    <row r="33" ht="21" s="105" customFormat="1">
      <c r="A33" s="80"/>
      <c r="B33" s="80"/>
      <c r="C33" s="89" t="s">
        <v>270</v>
      </c>
      <c r="D33" s="80"/>
      <c r="E33" s="80"/>
      <c r="F33" s="80"/>
      <c r="G33" s="80"/>
      <c r="H33" s="79"/>
      <c r="I33" s="79"/>
      <c r="J33" s="79"/>
      <c r="K33" s="79"/>
      <c r="L33" s="79"/>
      <c r="M33" s="67"/>
      <c r="N33" s="67"/>
      <c r="O33" s="65"/>
      <c r="P33" s="78"/>
      <c r="Q33" s="78"/>
      <c r="R33" s="78"/>
      <c r="S33" s="77"/>
      <c r="T33" s="77"/>
      <c r="U33" s="67"/>
      <c r="V33" s="79"/>
      <c r="W33" s="79"/>
      <c r="X33" s="80"/>
      <c r="Y33" s="80"/>
      <c r="Z33" s="89" t="s">
        <v>270</v>
      </c>
      <c r="AA33" s="75"/>
      <c r="AB33" s="74"/>
      <c r="AC33" s="74"/>
      <c r="AD33" s="74"/>
      <c r="AE33" s="74"/>
      <c r="AF33" s="74"/>
      <c r="AG33" s="74"/>
      <c r="AH33" s="74"/>
      <c r="AI33" s="74"/>
      <c r="AJ33" s="73"/>
      <c r="AK33" s="62"/>
      <c r="AL33" s="62"/>
      <c r="AM33" s="62"/>
      <c r="AN33" s="62"/>
      <c r="AO33" s="62"/>
      <c r="AP33" s="62"/>
      <c r="AQ33" s="62"/>
      <c r="AR33" s="62"/>
      <c r="AS33" s="62"/>
      <c r="AT33" s="72"/>
      <c r="AU33" s="71"/>
      <c r="AV33" s="70"/>
      <c r="AW33" s="60"/>
      <c r="AX33" s="69"/>
      <c r="AY33" s="80"/>
      <c r="AZ33" s="56"/>
      <c r="BA33" s="72"/>
      <c r="BB33" s="72"/>
      <c r="BC33" s="72"/>
      <c r="BD33" s="72"/>
    </row>
    <row r="34" s="105" customFormat="1">
      <c r="A34" s="80">
        <f ref="A34:A65" t="shared" si="29">+A33+1</f>
        <v>1</v>
      </c>
      <c r="B34" s="54" t="s">
        <v>327</v>
      </c>
      <c r="C34" s="17" t="s">
        <v>89</v>
      </c>
      <c r="D34" s="54" t="s">
        <v>15</v>
      </c>
      <c r="E34" s="54" t="s">
        <v>17</v>
      </c>
      <c r="F34" s="54"/>
      <c r="G34" s="54"/>
      <c r="H34" s="139" t="str">
        <f ref="H34:H65" t="shared" si="30">+IF(G34&gt;=1,"PRORATE",IF(G34=0,"FULL"))</f>
        <v>FULL</v>
      </c>
      <c r="I34" s="126"/>
      <c r="J34" s="126"/>
      <c r="K34" s="126"/>
      <c r="L34" s="79">
        <f ref="L34:L43" t="shared" si="31">SUM(I34:K34)</f>
        <v>0</v>
      </c>
      <c r="M34" s="28">
        <f ref="M34:M65" t="shared" si="32">+IF(G34&gt;=1,$N$4*G34,IF(L34=0,4498962))</f>
        <v>4498962</v>
      </c>
      <c r="N34" s="37">
        <f ref="N34:N65" t="shared" si="33">+F34*100000</f>
        <v>0</v>
      </c>
      <c r="O34" s="65"/>
      <c r="P34" s="78">
        <f ref="P34:P65" t="shared" si="34">0.0489*4791844</f>
        <v>234321.1716</v>
      </c>
      <c r="Q34" s="78">
        <f ref="Q34:Q65" t="shared" si="35">0.04*4791844</f>
        <v>191673.76</v>
      </c>
      <c r="R34" s="78">
        <f ref="R34:R65" t="shared" si="36">4791844*2%</f>
        <v>95836.88</v>
      </c>
      <c r="S34" s="77">
        <f ref="S34:S65" t="shared" si="37">SUM(P34:R34)</f>
        <v>521831.8116</v>
      </c>
      <c r="T34" s="77">
        <v>374913.5</v>
      </c>
      <c r="U34" s="67"/>
      <c r="V34" s="79">
        <f ref="V34:V65" t="shared" si="38">+M34+N34+O34+U34</f>
        <v>4498962</v>
      </c>
      <c r="W34" s="53"/>
      <c r="X34" s="54"/>
      <c r="Y34" s="80">
        <f ref="Y34:Y65" t="shared" si="39">+A34</f>
        <v>1</v>
      </c>
      <c r="Z34" s="76" t="str">
        <f ref="Z34:Z65" t="shared" si="40">+C34</f>
        <v>IRWAN SATYANTO SIMATUPANG</v>
      </c>
      <c r="AA34" s="75" t="str">
        <f>+VLOOKUP(C34,[1]MILKRUN!$C$4:$R$70,16,0)</f>
        <v>L</v>
      </c>
      <c r="AB34" s="74">
        <f ref="AB34:AB65" t="shared" si="41">+M34+N34+O34+U34</f>
        <v>4498962</v>
      </c>
      <c r="AC34" s="74">
        <f ref="AC34:AC65" t="shared" si="42">4791844*2%</f>
        <v>95836.88</v>
      </c>
      <c r="AD34" s="74">
        <f ref="AD34:AE53" t="shared" si="43">4791844*1%</f>
        <v>47918.44</v>
      </c>
      <c r="AE34" s="74">
        <f t="shared" si="43"/>
        <v>47918.44</v>
      </c>
      <c r="AF34" s="74">
        <f ref="AF34:AF65" t="shared" si="44">+AB34-AC34-AD34-AE34</f>
        <v>4307288.239999999</v>
      </c>
      <c r="AG34" s="74">
        <f ref="AG34:AG65" t="shared" si="45">VLOOKUP(AA34,$AC$1:$AD$5,2,0)</f>
        <v>4500000</v>
      </c>
      <c r="AH34" s="74">
        <f ref="AH34:AH65" t="shared" si="46">+AF34-AG34</f>
        <v>-192711.7600000007</v>
      </c>
      <c r="AI34" s="74">
        <f ref="AI34:AI43" t="shared" si="47">+IF(AH34&gt;0,AH34*5%,0)</f>
        <v>0</v>
      </c>
      <c r="AJ34" s="73">
        <f ref="AJ34:AJ65" t="shared" si="48">+AB34-AC34-AD34-AE34-AI34</f>
        <v>4307288.239999999</v>
      </c>
      <c r="AK34" s="62"/>
      <c r="AL34" s="62"/>
      <c r="AM34" s="62"/>
      <c r="AN34" s="62"/>
      <c r="AO34" s="62"/>
      <c r="AP34" s="62"/>
      <c r="AQ34" s="62">
        <f ref="AQ34:AQ65" t="shared" si="49">+J34*150000</f>
        <v>0</v>
      </c>
      <c r="AR34" s="62">
        <f ref="AR34:AR65" t="shared" si="50">SUM(AK34:AQ34)</f>
        <v>0</v>
      </c>
      <c r="AS34" s="62">
        <f ref="AS34:AS65" t="shared" si="51">+AJ34-AK34-AL34-AM34-AP34-AO34-AN34-AQ34</f>
        <v>4307288.239999999</v>
      </c>
      <c r="AT34" s="72"/>
      <c r="AU34" s="71">
        <f ref="AU34:AU43" t="shared" si="52">+A34</f>
        <v>1</v>
      </c>
      <c r="AV34" s="52" t="str">
        <f ref="AV34:AV65" t="shared" si="53">+C34</f>
        <v>IRWAN SATYANTO SIMATUPANG</v>
      </c>
      <c r="AW34" s="60">
        <f ref="AW34:AW65" t="shared" si="54">+AS34</f>
        <v>4307288.239999999</v>
      </c>
      <c r="AX34" s="69"/>
      <c r="AY34" s="54"/>
      <c r="AZ34" s="54"/>
      <c r="BA34" s="72">
        <f>+VLOOKUP(C34,'tanda terima  (2)'!$C$4:$G$106,5,0)</f>
        <v>4307288.239999999</v>
      </c>
      <c r="BB34" s="72"/>
      <c r="BC34" s="51"/>
      <c r="BD34" s="51"/>
      <c r="BE34" s="51"/>
      <c r="BF34" s="51"/>
      <c r="BG34" s="105" t="e">
        <f>+VLOOKUP(C34,[1]ALL!$C$26:$AQ$91,40,0)</f>
        <v>#N/A</v>
      </c>
    </row>
    <row r="35" s="105" customFormat="1">
      <c r="A35" s="80">
        <f t="shared" si="29"/>
        <v>2</v>
      </c>
      <c r="B35" s="80" t="s">
        <v>328</v>
      </c>
      <c r="C35" s="17" t="s">
        <v>104</v>
      </c>
      <c r="D35" s="80" t="s">
        <v>15</v>
      </c>
      <c r="E35" s="80" t="s">
        <v>17</v>
      </c>
      <c r="F35" s="80"/>
      <c r="G35" s="80"/>
      <c r="H35" s="139" t="str">
        <f t="shared" si="30"/>
        <v>FULL</v>
      </c>
      <c r="I35" s="16"/>
      <c r="J35" s="16"/>
      <c r="K35" s="16"/>
      <c r="L35" s="79">
        <f t="shared" si="31"/>
        <v>0</v>
      </c>
      <c r="M35" s="28">
        <f t="shared" si="32"/>
        <v>4498962</v>
      </c>
      <c r="N35" s="37">
        <f t="shared" si="33"/>
        <v>0</v>
      </c>
      <c r="O35" s="65"/>
      <c r="P35" s="78">
        <f t="shared" si="34"/>
        <v>234321.1716</v>
      </c>
      <c r="Q35" s="78">
        <f t="shared" si="35"/>
        <v>191673.76</v>
      </c>
      <c r="R35" s="78">
        <f t="shared" si="36"/>
        <v>95836.88</v>
      </c>
      <c r="S35" s="77">
        <f t="shared" si="37"/>
        <v>521831.8116</v>
      </c>
      <c r="T35" s="77">
        <v>374913.5</v>
      </c>
      <c r="U35" s="67"/>
      <c r="V35" s="79">
        <f t="shared" si="38"/>
        <v>4498962</v>
      </c>
      <c r="W35" s="79"/>
      <c r="X35" s="80"/>
      <c r="Y35" s="80">
        <f t="shared" si="39"/>
        <v>2</v>
      </c>
      <c r="Z35" s="76" t="str">
        <f t="shared" si="40"/>
        <v>MUHAMAD ILYAS</v>
      </c>
      <c r="AA35" s="75" t="str">
        <f>+VLOOKUP(C35,[1]MILKRUN!$C$4:$R$70,16,0)</f>
        <v>L</v>
      </c>
      <c r="AB35" s="74">
        <f t="shared" si="41"/>
        <v>4498962</v>
      </c>
      <c r="AC35" s="74">
        <f t="shared" si="42"/>
        <v>95836.88</v>
      </c>
      <c r="AD35" s="74">
        <f t="shared" si="43"/>
        <v>47918.44</v>
      </c>
      <c r="AE35" s="74">
        <f t="shared" si="43"/>
        <v>47918.44</v>
      </c>
      <c r="AF35" s="74">
        <f t="shared" si="44"/>
        <v>4307288.239999999</v>
      </c>
      <c r="AG35" s="74">
        <f t="shared" si="45"/>
        <v>4500000</v>
      </c>
      <c r="AH35" s="74">
        <f t="shared" si="46"/>
        <v>-192711.7600000007</v>
      </c>
      <c r="AI35" s="74">
        <f t="shared" si="47"/>
        <v>0</v>
      </c>
      <c r="AJ35" s="73">
        <f t="shared" si="48"/>
        <v>4307288.239999999</v>
      </c>
      <c r="AK35" s="62"/>
      <c r="AL35" s="62"/>
      <c r="AM35" s="62"/>
      <c r="AN35" s="62"/>
      <c r="AO35" s="62"/>
      <c r="AP35" s="62"/>
      <c r="AQ35" s="62">
        <f t="shared" si="49"/>
        <v>0</v>
      </c>
      <c r="AR35" s="62">
        <f t="shared" si="50"/>
        <v>0</v>
      </c>
      <c r="AS35" s="62">
        <f t="shared" si="51"/>
        <v>4307288.239999999</v>
      </c>
      <c r="AT35" s="72"/>
      <c r="AU35" s="71">
        <f t="shared" si="52"/>
        <v>2</v>
      </c>
      <c r="AV35" s="70" t="str">
        <f t="shared" si="53"/>
        <v>MUHAMAD ILYAS</v>
      </c>
      <c r="AW35" s="60">
        <f t="shared" si="54"/>
        <v>4307288.239999999</v>
      </c>
      <c r="AX35" s="69"/>
      <c r="AY35" s="80"/>
      <c r="AZ35" s="80"/>
      <c r="BA35" s="72">
        <f>+VLOOKUP(C35,'tanda terima  (2)'!$C$4:$G$106,5,0)</f>
        <v>4307288.239999999</v>
      </c>
      <c r="BB35" s="72"/>
      <c r="BG35" s="105" t="s">
        <v>329</v>
      </c>
    </row>
    <row r="36" s="105" customFormat="1">
      <c r="A36" s="80">
        <f t="shared" si="29"/>
        <v>3</v>
      </c>
      <c r="B36" s="54" t="s">
        <v>330</v>
      </c>
      <c r="C36" s="17" t="s">
        <v>34</v>
      </c>
      <c r="D36" s="54" t="s">
        <v>15</v>
      </c>
      <c r="E36" s="54" t="s">
        <v>17</v>
      </c>
      <c r="F36" s="54"/>
      <c r="G36" s="54"/>
      <c r="H36" s="139" t="str">
        <f t="shared" si="30"/>
        <v>FULL</v>
      </c>
      <c r="I36" s="126"/>
      <c r="J36" s="126"/>
      <c r="K36" s="126"/>
      <c r="L36" s="79">
        <f t="shared" si="31"/>
        <v>0</v>
      </c>
      <c r="M36" s="28">
        <f t="shared" si="32"/>
        <v>4498962</v>
      </c>
      <c r="N36" s="37">
        <f t="shared" si="33"/>
        <v>0</v>
      </c>
      <c r="O36" s="65"/>
      <c r="P36" s="78">
        <f t="shared" si="34"/>
        <v>234321.1716</v>
      </c>
      <c r="Q36" s="78">
        <f t="shared" si="35"/>
        <v>191673.76</v>
      </c>
      <c r="R36" s="78">
        <f t="shared" si="36"/>
        <v>95836.88</v>
      </c>
      <c r="S36" s="77">
        <f t="shared" si="37"/>
        <v>521831.8116</v>
      </c>
      <c r="T36" s="77">
        <v>374913.5</v>
      </c>
      <c r="U36" s="67"/>
      <c r="V36" s="79">
        <f t="shared" si="38"/>
        <v>4498962</v>
      </c>
      <c r="W36" s="53"/>
      <c r="X36" s="54"/>
      <c r="Y36" s="80">
        <f t="shared" si="39"/>
        <v>3</v>
      </c>
      <c r="Z36" s="76" t="str">
        <f t="shared" si="40"/>
        <v>ANDRI YANTO</v>
      </c>
      <c r="AA36" s="75" t="s">
        <v>216</v>
      </c>
      <c r="AB36" s="74">
        <f t="shared" si="41"/>
        <v>4498962</v>
      </c>
      <c r="AC36" s="74">
        <f t="shared" si="42"/>
        <v>95836.88</v>
      </c>
      <c r="AD36" s="74">
        <f t="shared" si="43"/>
        <v>47918.44</v>
      </c>
      <c r="AE36" s="74">
        <f t="shared" si="43"/>
        <v>47918.44</v>
      </c>
      <c r="AF36" s="74">
        <f t="shared" si="44"/>
        <v>4307288.239999999</v>
      </c>
      <c r="AG36" s="74">
        <f t="shared" si="45"/>
        <v>4875000</v>
      </c>
      <c r="AH36" s="74">
        <f t="shared" si="46"/>
        <v>-567711.7600000007</v>
      </c>
      <c r="AI36" s="74">
        <f t="shared" si="47"/>
        <v>0</v>
      </c>
      <c r="AJ36" s="73">
        <f t="shared" si="48"/>
        <v>4307288.239999999</v>
      </c>
      <c r="AK36" s="62"/>
      <c r="AL36" s="62"/>
      <c r="AM36" s="62"/>
      <c r="AN36" s="62"/>
      <c r="AO36" s="62"/>
      <c r="AP36" s="62"/>
      <c r="AQ36" s="62">
        <f t="shared" si="49"/>
        <v>0</v>
      </c>
      <c r="AR36" s="62">
        <f t="shared" si="50"/>
        <v>0</v>
      </c>
      <c r="AS36" s="62">
        <f t="shared" si="51"/>
        <v>4307288.239999999</v>
      </c>
      <c r="AT36" s="72"/>
      <c r="AU36" s="71">
        <f t="shared" si="52"/>
        <v>3</v>
      </c>
      <c r="AV36" s="52" t="str">
        <f t="shared" si="53"/>
        <v>ANDRI YANTO</v>
      </c>
      <c r="AW36" s="60">
        <f t="shared" si="54"/>
        <v>4307288.239999999</v>
      </c>
      <c r="AX36" s="69"/>
      <c r="AY36" s="54"/>
      <c r="AZ36" s="54"/>
      <c r="BA36" s="72">
        <f>+VLOOKUP(C36,'tanda terima  (2)'!$C$4:$G$106,5,0)</f>
        <v>4307288.239999999</v>
      </c>
      <c r="BB36" s="72"/>
      <c r="BC36" s="51"/>
      <c r="BD36" s="51"/>
      <c r="BE36" s="51"/>
      <c r="BF36" s="51"/>
      <c r="BG36" s="105">
        <f>+VLOOKUP(C36,[1]ALL!$C$26:$AQ$91,40,0)</f>
        <v>0</v>
      </c>
    </row>
    <row r="37" s="105" customFormat="1">
      <c r="A37" s="80">
        <f t="shared" si="29"/>
        <v>4</v>
      </c>
      <c r="B37" s="54" t="s">
        <v>331</v>
      </c>
      <c r="C37" s="17" t="s">
        <v>95</v>
      </c>
      <c r="D37" s="54" t="s">
        <v>15</v>
      </c>
      <c r="E37" s="54" t="s">
        <v>17</v>
      </c>
      <c r="F37" s="40"/>
      <c r="G37" s="40">
        <v>23</v>
      </c>
      <c r="H37" s="139" t="str">
        <f t="shared" si="30"/>
        <v>PRORATE</v>
      </c>
      <c r="I37" s="126"/>
      <c r="J37" s="126"/>
      <c r="K37" s="126"/>
      <c r="L37" s="79">
        <f t="shared" si="31"/>
        <v>0</v>
      </c>
      <c r="M37" s="28">
        <f t="shared" si="32"/>
        <v>4139045.04</v>
      </c>
      <c r="N37" s="37">
        <f t="shared" si="33"/>
        <v>0</v>
      </c>
      <c r="O37" s="65"/>
      <c r="P37" s="78">
        <f t="shared" si="34"/>
        <v>234321.1716</v>
      </c>
      <c r="Q37" s="78">
        <f t="shared" si="35"/>
        <v>191673.76</v>
      </c>
      <c r="R37" s="78">
        <f t="shared" si="36"/>
        <v>95836.88</v>
      </c>
      <c r="S37" s="77">
        <f t="shared" si="37"/>
        <v>521831.8116</v>
      </c>
      <c r="T37" s="77">
        <v>374913.5</v>
      </c>
      <c r="U37" s="67"/>
      <c r="V37" s="79">
        <f t="shared" si="38"/>
        <v>4139045.04</v>
      </c>
      <c r="W37" s="53"/>
      <c r="X37" s="54"/>
      <c r="Y37" s="80">
        <f t="shared" si="39"/>
        <v>4</v>
      </c>
      <c r="Z37" s="76" t="str">
        <f t="shared" si="40"/>
        <v>KARYANA</v>
      </c>
      <c r="AA37" s="75" t="s">
        <v>216</v>
      </c>
      <c r="AB37" s="74">
        <f t="shared" si="41"/>
        <v>4139045.04</v>
      </c>
      <c r="AC37" s="74">
        <f t="shared" si="42"/>
        <v>95836.88</v>
      </c>
      <c r="AD37" s="74">
        <f t="shared" si="43"/>
        <v>47918.44</v>
      </c>
      <c r="AE37" s="74">
        <f t="shared" si="43"/>
        <v>47918.44</v>
      </c>
      <c r="AF37" s="74">
        <f t="shared" si="44"/>
        <v>3947371.2800000003</v>
      </c>
      <c r="AG37" s="74">
        <f t="shared" si="45"/>
        <v>4875000</v>
      </c>
      <c r="AH37" s="74">
        <f t="shared" si="46"/>
        <v>-927628.7199999997</v>
      </c>
      <c r="AI37" s="74">
        <f t="shared" si="47"/>
        <v>0</v>
      </c>
      <c r="AJ37" s="73">
        <f t="shared" si="48"/>
        <v>3947371.2800000003</v>
      </c>
      <c r="AK37" s="62"/>
      <c r="AL37" s="62"/>
      <c r="AM37" s="62"/>
      <c r="AN37" s="62"/>
      <c r="AO37" s="62"/>
      <c r="AP37" s="62"/>
      <c r="AQ37" s="62">
        <f t="shared" si="49"/>
        <v>0</v>
      </c>
      <c r="AR37" s="62">
        <f t="shared" si="50"/>
        <v>0</v>
      </c>
      <c r="AS37" s="62">
        <f t="shared" si="51"/>
        <v>3947371.2800000003</v>
      </c>
      <c r="AT37" s="72"/>
      <c r="AU37" s="71">
        <f t="shared" si="52"/>
        <v>4</v>
      </c>
      <c r="AV37" s="52" t="str">
        <f t="shared" si="53"/>
        <v>KARYANA</v>
      </c>
      <c r="AW37" s="60">
        <f t="shared" si="54"/>
        <v>3947371.2800000003</v>
      </c>
      <c r="AX37" s="69"/>
      <c r="AY37" s="54"/>
      <c r="AZ37" s="54"/>
      <c r="BA37" s="72">
        <f>+VLOOKUP(C37,'tanda terima  (2)'!$C$4:$G$106,5,0)</f>
        <v>3947371.2800000003</v>
      </c>
      <c r="BB37" s="72"/>
      <c r="BC37" s="51"/>
      <c r="BD37" s="51"/>
      <c r="BE37" s="51"/>
      <c r="BF37" s="51"/>
      <c r="BG37" s="105" t="s">
        <v>332</v>
      </c>
    </row>
    <row r="38" s="105" customFormat="1">
      <c r="A38" s="80">
        <f t="shared" si="29"/>
        <v>5</v>
      </c>
      <c r="B38" s="54" t="s">
        <v>333</v>
      </c>
      <c r="C38" s="17" t="s">
        <v>67</v>
      </c>
      <c r="D38" s="54" t="s">
        <v>15</v>
      </c>
      <c r="E38" s="54" t="s">
        <v>17</v>
      </c>
      <c r="F38" s="54"/>
      <c r="G38" s="54"/>
      <c r="H38" s="139" t="str">
        <f t="shared" si="30"/>
        <v>FULL</v>
      </c>
      <c r="I38" s="126"/>
      <c r="J38" s="126"/>
      <c r="K38" s="126"/>
      <c r="L38" s="79">
        <f t="shared" si="31"/>
        <v>0</v>
      </c>
      <c r="M38" s="28">
        <f t="shared" si="32"/>
        <v>4498962</v>
      </c>
      <c r="N38" s="37">
        <f t="shared" si="33"/>
        <v>0</v>
      </c>
      <c r="O38" s="65"/>
      <c r="P38" s="78">
        <f t="shared" si="34"/>
        <v>234321.1716</v>
      </c>
      <c r="Q38" s="78">
        <f t="shared" si="35"/>
        <v>191673.76</v>
      </c>
      <c r="R38" s="78">
        <f t="shared" si="36"/>
        <v>95836.88</v>
      </c>
      <c r="S38" s="77">
        <f t="shared" si="37"/>
        <v>521831.8116</v>
      </c>
      <c r="T38" s="77">
        <v>374913.5</v>
      </c>
      <c r="U38" s="67"/>
      <c r="V38" s="79">
        <f t="shared" si="38"/>
        <v>4498962</v>
      </c>
      <c r="W38" s="53"/>
      <c r="X38" s="54"/>
      <c r="Y38" s="80">
        <f t="shared" si="39"/>
        <v>5</v>
      </c>
      <c r="Z38" s="76" t="str">
        <f t="shared" si="40"/>
        <v>GURUH ADI PUTRA</v>
      </c>
      <c r="AA38" s="75" t="str">
        <f>+VLOOKUP(C38,[1]MILKRUN!$C$4:$R$70,16,0)</f>
        <v>K1</v>
      </c>
      <c r="AB38" s="74">
        <f t="shared" si="41"/>
        <v>4498962</v>
      </c>
      <c r="AC38" s="74">
        <f t="shared" si="42"/>
        <v>95836.88</v>
      </c>
      <c r="AD38" s="74">
        <f t="shared" si="43"/>
        <v>47918.44</v>
      </c>
      <c r="AE38" s="74">
        <f t="shared" si="43"/>
        <v>47918.44</v>
      </c>
      <c r="AF38" s="74">
        <f t="shared" si="44"/>
        <v>4307288.239999999</v>
      </c>
      <c r="AG38" s="74">
        <f t="shared" si="45"/>
        <v>5250000</v>
      </c>
      <c r="AH38" s="74">
        <f t="shared" si="46"/>
        <v>-942711.7600000007</v>
      </c>
      <c r="AI38" s="74">
        <f t="shared" si="47"/>
        <v>0</v>
      </c>
      <c r="AJ38" s="73">
        <f t="shared" si="48"/>
        <v>4307288.239999999</v>
      </c>
      <c r="AK38" s="62"/>
      <c r="AL38" s="62"/>
      <c r="AM38" s="62"/>
      <c r="AN38" s="62"/>
      <c r="AO38" s="62"/>
      <c r="AP38" s="62"/>
      <c r="AQ38" s="62">
        <f t="shared" si="49"/>
        <v>0</v>
      </c>
      <c r="AR38" s="62">
        <f t="shared" si="50"/>
        <v>0</v>
      </c>
      <c r="AS38" s="62">
        <f t="shared" si="51"/>
        <v>4307288.239999999</v>
      </c>
      <c r="AT38" s="72"/>
      <c r="AU38" s="71">
        <f t="shared" si="52"/>
        <v>5</v>
      </c>
      <c r="AV38" s="52" t="str">
        <f t="shared" si="53"/>
        <v>GURUH ADI PUTRA</v>
      </c>
      <c r="AW38" s="60">
        <f t="shared" si="54"/>
        <v>4307288.239999999</v>
      </c>
      <c r="AX38" s="69"/>
      <c r="AY38" s="54"/>
      <c r="AZ38" s="54"/>
      <c r="BA38" s="72">
        <f>+VLOOKUP(C38,'tanda terima  (2)'!$C$4:$G$106,5,0)</f>
        <v>4307288.239999999</v>
      </c>
      <c r="BB38" s="72"/>
      <c r="BC38" s="51"/>
      <c r="BD38" s="51"/>
      <c r="BE38" s="51"/>
      <c r="BF38" s="51"/>
      <c r="BG38" s="105" t="s">
        <v>334</v>
      </c>
    </row>
    <row r="39" s="51" customFormat="1">
      <c r="A39" s="80">
        <f t="shared" si="29"/>
        <v>6</v>
      </c>
      <c r="B39" s="54" t="s">
        <v>335</v>
      </c>
      <c r="C39" s="17" t="s">
        <v>131</v>
      </c>
      <c r="D39" s="54" t="s">
        <v>15</v>
      </c>
      <c r="E39" s="54" t="s">
        <v>17</v>
      </c>
      <c r="F39" s="54"/>
      <c r="G39" s="54"/>
      <c r="H39" s="139" t="str">
        <f t="shared" si="30"/>
        <v>FULL</v>
      </c>
      <c r="I39" s="126"/>
      <c r="J39" s="126"/>
      <c r="K39" s="126"/>
      <c r="L39" s="79">
        <f t="shared" si="31"/>
        <v>0</v>
      </c>
      <c r="M39" s="28">
        <f t="shared" si="32"/>
        <v>4498962</v>
      </c>
      <c r="N39" s="37">
        <f t="shared" si="33"/>
        <v>0</v>
      </c>
      <c r="O39" s="65"/>
      <c r="P39" s="78">
        <f t="shared" si="34"/>
        <v>234321.1716</v>
      </c>
      <c r="Q39" s="78">
        <f t="shared" si="35"/>
        <v>191673.76</v>
      </c>
      <c r="R39" s="78">
        <f t="shared" si="36"/>
        <v>95836.88</v>
      </c>
      <c r="S39" s="77">
        <f t="shared" si="37"/>
        <v>521831.8116</v>
      </c>
      <c r="T39" s="77">
        <v>374913.5</v>
      </c>
      <c r="U39" s="67"/>
      <c r="V39" s="79">
        <f t="shared" si="38"/>
        <v>4498962</v>
      </c>
      <c r="W39" s="53"/>
      <c r="X39" s="54"/>
      <c r="Y39" s="80">
        <f t="shared" si="39"/>
        <v>6</v>
      </c>
      <c r="Z39" s="76" t="str">
        <f t="shared" si="40"/>
        <v>SUKIYAT</v>
      </c>
      <c r="AA39" s="75" t="str">
        <f>+VLOOKUP(C39,[1]MILKRUN!$C$4:$R$70,16,0)</f>
        <v>K2</v>
      </c>
      <c r="AB39" s="74">
        <f t="shared" si="41"/>
        <v>4498962</v>
      </c>
      <c r="AC39" s="74">
        <f t="shared" si="42"/>
        <v>95836.88</v>
      </c>
      <c r="AD39" s="74">
        <f t="shared" si="43"/>
        <v>47918.44</v>
      </c>
      <c r="AE39" s="74">
        <f t="shared" si="43"/>
        <v>47918.44</v>
      </c>
      <c r="AF39" s="74">
        <f t="shared" si="44"/>
        <v>4307288.239999999</v>
      </c>
      <c r="AG39" s="74">
        <f t="shared" si="45"/>
        <v>5625000</v>
      </c>
      <c r="AH39" s="74">
        <f t="shared" si="46"/>
        <v>-1317711.7600000007</v>
      </c>
      <c r="AI39" s="74">
        <f t="shared" si="47"/>
        <v>0</v>
      </c>
      <c r="AJ39" s="73">
        <f t="shared" si="48"/>
        <v>4307288.239999999</v>
      </c>
      <c r="AK39" s="62"/>
      <c r="AL39" s="62"/>
      <c r="AM39" s="62"/>
      <c r="AN39" s="62"/>
      <c r="AO39" s="62"/>
      <c r="AP39" s="62"/>
      <c r="AQ39" s="62">
        <f t="shared" si="49"/>
        <v>0</v>
      </c>
      <c r="AR39" s="62">
        <f t="shared" si="50"/>
        <v>0</v>
      </c>
      <c r="AS39" s="62">
        <f t="shared" si="51"/>
        <v>4307288.239999999</v>
      </c>
      <c r="AT39" s="72"/>
      <c r="AU39" s="71">
        <f t="shared" si="52"/>
        <v>6</v>
      </c>
      <c r="AV39" s="52" t="str">
        <f t="shared" si="53"/>
        <v>SUKIYAT</v>
      </c>
      <c r="AW39" s="60">
        <f t="shared" si="54"/>
        <v>4307288.239999999</v>
      </c>
      <c r="AX39" s="69"/>
      <c r="AY39" s="54"/>
      <c r="AZ39" s="54"/>
      <c r="BA39" s="72">
        <f>+VLOOKUP(C39,'tanda terima  (2)'!$C$4:$G$106,5,0)</f>
        <v>4307288.239999999</v>
      </c>
      <c r="BB39" s="72"/>
      <c r="BG39" s="105">
        <f>+VLOOKUP(C39,[1]ALL!$C$26:$AQ$91,40,0)</f>
        <v>0</v>
      </c>
    </row>
    <row r="40" s="51" customFormat="1">
      <c r="A40" s="80">
        <f t="shared" si="29"/>
        <v>7</v>
      </c>
      <c r="B40" s="54" t="s">
        <v>336</v>
      </c>
      <c r="C40" s="17" t="s">
        <v>77</v>
      </c>
      <c r="D40" s="54" t="s">
        <v>15</v>
      </c>
      <c r="E40" s="54" t="s">
        <v>17</v>
      </c>
      <c r="F40" s="54"/>
      <c r="G40" s="54"/>
      <c r="H40" s="139" t="str">
        <f t="shared" si="30"/>
        <v>FULL</v>
      </c>
      <c r="I40" s="126"/>
      <c r="J40" s="126"/>
      <c r="K40" s="126"/>
      <c r="L40" s="79">
        <f t="shared" si="31"/>
        <v>0</v>
      </c>
      <c r="M40" s="28">
        <f t="shared" si="32"/>
        <v>4498962</v>
      </c>
      <c r="N40" s="37">
        <f t="shared" si="33"/>
        <v>0</v>
      </c>
      <c r="O40" s="65"/>
      <c r="P40" s="78">
        <f t="shared" si="34"/>
        <v>234321.1716</v>
      </c>
      <c r="Q40" s="78">
        <f t="shared" si="35"/>
        <v>191673.76</v>
      </c>
      <c r="R40" s="78">
        <f t="shared" si="36"/>
        <v>95836.88</v>
      </c>
      <c r="S40" s="77">
        <f t="shared" si="37"/>
        <v>521831.8116</v>
      </c>
      <c r="T40" s="77">
        <v>374913.5</v>
      </c>
      <c r="U40" s="67"/>
      <c r="V40" s="79">
        <f t="shared" si="38"/>
        <v>4498962</v>
      </c>
      <c r="W40" s="53"/>
      <c r="X40" s="54"/>
      <c r="Y40" s="80">
        <f t="shared" si="39"/>
        <v>7</v>
      </c>
      <c r="Z40" s="76" t="str">
        <f t="shared" si="40"/>
        <v>HERUDIN</v>
      </c>
      <c r="AA40" s="75" t="s">
        <v>216</v>
      </c>
      <c r="AB40" s="74">
        <f t="shared" si="41"/>
        <v>4498962</v>
      </c>
      <c r="AC40" s="74">
        <f t="shared" si="42"/>
        <v>95836.88</v>
      </c>
      <c r="AD40" s="74">
        <f t="shared" si="43"/>
        <v>47918.44</v>
      </c>
      <c r="AE40" s="74">
        <f t="shared" si="43"/>
        <v>47918.44</v>
      </c>
      <c r="AF40" s="74">
        <f t="shared" si="44"/>
        <v>4307288.239999999</v>
      </c>
      <c r="AG40" s="74">
        <f t="shared" si="45"/>
        <v>4875000</v>
      </c>
      <c r="AH40" s="74">
        <f t="shared" si="46"/>
        <v>-567711.7600000007</v>
      </c>
      <c r="AI40" s="74">
        <f t="shared" si="47"/>
        <v>0</v>
      </c>
      <c r="AJ40" s="73">
        <f t="shared" si="48"/>
        <v>4307288.239999999</v>
      </c>
      <c r="AK40" s="62"/>
      <c r="AL40" s="62"/>
      <c r="AM40" s="62"/>
      <c r="AN40" s="62"/>
      <c r="AO40" s="62"/>
      <c r="AP40" s="62"/>
      <c r="AQ40" s="62">
        <f t="shared" si="49"/>
        <v>0</v>
      </c>
      <c r="AR40" s="62">
        <f t="shared" si="50"/>
        <v>0</v>
      </c>
      <c r="AS40" s="62">
        <f t="shared" si="51"/>
        <v>4307288.239999999</v>
      </c>
      <c r="AT40" s="72"/>
      <c r="AU40" s="71">
        <f t="shared" si="52"/>
        <v>7</v>
      </c>
      <c r="AV40" s="52" t="str">
        <f t="shared" si="53"/>
        <v>HERUDIN</v>
      </c>
      <c r="AW40" s="60">
        <f t="shared" si="54"/>
        <v>4307288.239999999</v>
      </c>
      <c r="AX40" s="69"/>
      <c r="AY40" s="54"/>
      <c r="AZ40" s="54"/>
      <c r="BA40" s="72">
        <f>+VLOOKUP(C40,'tanda terima  (2)'!$C$4:$G$106,5,0)</f>
        <v>4307288.239999999</v>
      </c>
      <c r="BB40" s="72"/>
      <c r="BG40" s="105">
        <f>+VLOOKUP(C40,[1]ALL!$C$26:$AQ$91,40,0)</f>
        <v>0</v>
      </c>
    </row>
    <row r="41" s="51" customFormat="1">
      <c r="A41" s="80">
        <f t="shared" si="29"/>
        <v>8</v>
      </c>
      <c r="B41" s="80" t="s">
        <v>337</v>
      </c>
      <c r="C41" s="19" t="s">
        <v>51</v>
      </c>
      <c r="D41" s="80" t="s">
        <v>15</v>
      </c>
      <c r="E41" s="80" t="s">
        <v>17</v>
      </c>
      <c r="F41" s="80"/>
      <c r="G41" s="80"/>
      <c r="H41" s="139" t="str">
        <f t="shared" si="30"/>
        <v>FULL</v>
      </c>
      <c r="I41" s="16"/>
      <c r="J41" s="16"/>
      <c r="K41" s="16"/>
      <c r="L41" s="79">
        <f t="shared" si="31"/>
        <v>0</v>
      </c>
      <c r="M41" s="28">
        <f t="shared" si="32"/>
        <v>4498962</v>
      </c>
      <c r="N41" s="37">
        <f t="shared" si="33"/>
        <v>0</v>
      </c>
      <c r="O41" s="65"/>
      <c r="P41" s="78">
        <f t="shared" si="34"/>
        <v>234321.1716</v>
      </c>
      <c r="Q41" s="78">
        <f t="shared" si="35"/>
        <v>191673.76</v>
      </c>
      <c r="R41" s="78">
        <f t="shared" si="36"/>
        <v>95836.88</v>
      </c>
      <c r="S41" s="77">
        <f t="shared" si="37"/>
        <v>521831.8116</v>
      </c>
      <c r="T41" s="77">
        <v>374913.5</v>
      </c>
      <c r="U41" s="67"/>
      <c r="V41" s="79">
        <f t="shared" si="38"/>
        <v>4498962</v>
      </c>
      <c r="W41" s="79"/>
      <c r="X41" s="80"/>
      <c r="Y41" s="80">
        <f t="shared" si="39"/>
        <v>8</v>
      </c>
      <c r="Z41" s="76" t="str">
        <f t="shared" si="40"/>
        <v>DEDE WAHYU</v>
      </c>
      <c r="AA41" s="75" t="str">
        <f>+VLOOKUP(C41,[1]MILKRUN!$C$4:$R$70,16,0)</f>
        <v>K2</v>
      </c>
      <c r="AB41" s="74">
        <f t="shared" si="41"/>
        <v>4498962</v>
      </c>
      <c r="AC41" s="74">
        <f t="shared" si="42"/>
        <v>95836.88</v>
      </c>
      <c r="AD41" s="74">
        <f t="shared" si="43"/>
        <v>47918.44</v>
      </c>
      <c r="AE41" s="74">
        <f t="shared" si="43"/>
        <v>47918.44</v>
      </c>
      <c r="AF41" s="74">
        <f t="shared" si="44"/>
        <v>4307288.239999999</v>
      </c>
      <c r="AG41" s="74">
        <f t="shared" si="45"/>
        <v>5625000</v>
      </c>
      <c r="AH41" s="74">
        <f t="shared" si="46"/>
        <v>-1317711.7600000007</v>
      </c>
      <c r="AI41" s="74">
        <f t="shared" si="47"/>
        <v>0</v>
      </c>
      <c r="AJ41" s="73">
        <f t="shared" si="48"/>
        <v>4307288.239999999</v>
      </c>
      <c r="AK41" s="62"/>
      <c r="AL41" s="62"/>
      <c r="AM41" s="62">
        <v>500000</v>
      </c>
      <c r="AN41" s="62"/>
      <c r="AO41" s="62"/>
      <c r="AP41" s="62"/>
      <c r="AQ41" s="62">
        <f t="shared" si="49"/>
        <v>0</v>
      </c>
      <c r="AR41" s="62">
        <f t="shared" si="50"/>
        <v>500000</v>
      </c>
      <c r="AS41" s="62">
        <f t="shared" si="51"/>
        <v>3807288.2399999993</v>
      </c>
      <c r="AT41" s="72"/>
      <c r="AU41" s="71">
        <f t="shared" si="52"/>
        <v>8</v>
      </c>
      <c r="AV41" s="70" t="str">
        <f t="shared" si="53"/>
        <v>DEDE WAHYU</v>
      </c>
      <c r="AW41" s="60">
        <f t="shared" si="54"/>
        <v>3807288.2399999993</v>
      </c>
      <c r="AX41" s="69"/>
      <c r="AY41" s="80"/>
      <c r="AZ41" s="80"/>
      <c r="BA41" s="72">
        <f>+VLOOKUP(C41,'tanda terima  (2)'!$C$4:$G$106,5,0)</f>
        <v>3807288.2399999993</v>
      </c>
      <c r="BB41" s="72"/>
      <c r="BC41" s="105"/>
      <c r="BD41" s="105"/>
      <c r="BE41" s="105"/>
      <c r="BF41" s="105"/>
      <c r="BG41" s="105" t="s">
        <v>338</v>
      </c>
    </row>
    <row r="42" s="51" customFormat="1">
      <c r="A42" s="80">
        <f t="shared" si="29"/>
        <v>9</v>
      </c>
      <c r="B42" s="54" t="s">
        <v>339</v>
      </c>
      <c r="C42" s="17" t="s">
        <v>91</v>
      </c>
      <c r="D42" s="54" t="s">
        <v>15</v>
      </c>
      <c r="E42" s="54" t="s">
        <v>17</v>
      </c>
      <c r="F42" s="54"/>
      <c r="G42" s="54"/>
      <c r="H42" s="139" t="str">
        <f t="shared" si="30"/>
        <v>FULL</v>
      </c>
      <c r="I42" s="126"/>
      <c r="J42" s="126"/>
      <c r="K42" s="126"/>
      <c r="L42" s="79">
        <f t="shared" si="31"/>
        <v>0</v>
      </c>
      <c r="M42" s="28">
        <f t="shared" si="32"/>
        <v>4498962</v>
      </c>
      <c r="N42" s="37">
        <f t="shared" si="33"/>
        <v>0</v>
      </c>
      <c r="O42" s="65"/>
      <c r="P42" s="78">
        <f t="shared" si="34"/>
        <v>234321.1716</v>
      </c>
      <c r="Q42" s="78">
        <f t="shared" si="35"/>
        <v>191673.76</v>
      </c>
      <c r="R42" s="78">
        <f t="shared" si="36"/>
        <v>95836.88</v>
      </c>
      <c r="S42" s="77">
        <f t="shared" si="37"/>
        <v>521831.8116</v>
      </c>
      <c r="T42" s="77">
        <v>374913.5</v>
      </c>
      <c r="U42" s="67"/>
      <c r="V42" s="79">
        <f t="shared" si="38"/>
        <v>4498962</v>
      </c>
      <c r="W42" s="53"/>
      <c r="X42" s="54"/>
      <c r="Y42" s="80">
        <f t="shared" si="39"/>
        <v>9</v>
      </c>
      <c r="Z42" s="76" t="str">
        <f t="shared" si="40"/>
        <v>IWAN WIJAYA</v>
      </c>
      <c r="AA42" s="75" t="str">
        <f>+VLOOKUP(C42,[1]MILKRUN!$C$4:$R$70,16,0)</f>
        <v>K2</v>
      </c>
      <c r="AB42" s="74">
        <f t="shared" si="41"/>
        <v>4498962</v>
      </c>
      <c r="AC42" s="74">
        <f t="shared" si="42"/>
        <v>95836.88</v>
      </c>
      <c r="AD42" s="74">
        <f t="shared" si="43"/>
        <v>47918.44</v>
      </c>
      <c r="AE42" s="74">
        <f t="shared" si="43"/>
        <v>47918.44</v>
      </c>
      <c r="AF42" s="74">
        <f t="shared" si="44"/>
        <v>4307288.239999999</v>
      </c>
      <c r="AG42" s="74">
        <f t="shared" si="45"/>
        <v>5625000</v>
      </c>
      <c r="AH42" s="74">
        <f t="shared" si="46"/>
        <v>-1317711.7600000007</v>
      </c>
      <c r="AI42" s="74">
        <f t="shared" si="47"/>
        <v>0</v>
      </c>
      <c r="AJ42" s="73">
        <f t="shared" si="48"/>
        <v>4307288.239999999</v>
      </c>
      <c r="AK42" s="62"/>
      <c r="AL42" s="62"/>
      <c r="AM42" s="62"/>
      <c r="AN42" s="62"/>
      <c r="AO42" s="62"/>
      <c r="AP42" s="62"/>
      <c r="AQ42" s="62">
        <f t="shared" si="49"/>
        <v>0</v>
      </c>
      <c r="AR42" s="62">
        <f t="shared" si="50"/>
        <v>0</v>
      </c>
      <c r="AS42" s="62">
        <f t="shared" si="51"/>
        <v>4307288.239999999</v>
      </c>
      <c r="AT42" s="72"/>
      <c r="AU42" s="71">
        <f t="shared" si="52"/>
        <v>9</v>
      </c>
      <c r="AV42" s="52" t="str">
        <f t="shared" si="53"/>
        <v>IWAN WIJAYA</v>
      </c>
      <c r="AW42" s="60">
        <f t="shared" si="54"/>
        <v>4307288.239999999</v>
      </c>
      <c r="AX42" s="69"/>
      <c r="AY42" s="54"/>
      <c r="AZ42" s="54"/>
      <c r="BA42" s="72">
        <f>+VLOOKUP(C42,'tanda terima  (2)'!$C$4:$G$106,5,0)</f>
        <v>4307288.239999999</v>
      </c>
      <c r="BB42" s="72"/>
      <c r="BG42" s="105">
        <f>+VLOOKUP(C42,[1]ALL!$C$26:$AQ$91,40,0)</f>
        <v>0</v>
      </c>
    </row>
    <row r="43" ht="15.75" customHeight="1" s="51" customFormat="1">
      <c r="A43" s="80">
        <f t="shared" si="29"/>
        <v>10</v>
      </c>
      <c r="B43" s="54" t="s">
        <v>340</v>
      </c>
      <c r="C43" s="17" t="s">
        <v>118</v>
      </c>
      <c r="D43" s="54" t="s">
        <v>15</v>
      </c>
      <c r="E43" s="54" t="s">
        <v>17</v>
      </c>
      <c r="F43" s="54"/>
      <c r="G43" s="54"/>
      <c r="H43" s="139" t="str">
        <f t="shared" si="30"/>
        <v>FULL</v>
      </c>
      <c r="I43" s="126"/>
      <c r="J43" s="126"/>
      <c r="K43" s="126"/>
      <c r="L43" s="79">
        <f t="shared" si="31"/>
        <v>0</v>
      </c>
      <c r="M43" s="28">
        <f t="shared" si="32"/>
        <v>4498962</v>
      </c>
      <c r="N43" s="37">
        <f t="shared" si="33"/>
        <v>0</v>
      </c>
      <c r="O43" s="65"/>
      <c r="P43" s="78">
        <f t="shared" si="34"/>
        <v>234321.1716</v>
      </c>
      <c r="Q43" s="78">
        <f t="shared" si="35"/>
        <v>191673.76</v>
      </c>
      <c r="R43" s="78">
        <f t="shared" si="36"/>
        <v>95836.88</v>
      </c>
      <c r="S43" s="77">
        <f t="shared" si="37"/>
        <v>521831.8116</v>
      </c>
      <c r="T43" s="77">
        <v>374913.5</v>
      </c>
      <c r="U43" s="67"/>
      <c r="V43" s="79">
        <f t="shared" si="38"/>
        <v>4498962</v>
      </c>
      <c r="W43" s="53"/>
      <c r="X43" s="54"/>
      <c r="Y43" s="80">
        <f t="shared" si="39"/>
        <v>10</v>
      </c>
      <c r="Z43" s="76" t="str">
        <f t="shared" si="40"/>
        <v>SAEPUL HAMAMI</v>
      </c>
      <c r="AA43" s="75" t="s">
        <v>216</v>
      </c>
      <c r="AB43" s="74">
        <f t="shared" si="41"/>
        <v>4498962</v>
      </c>
      <c r="AC43" s="74">
        <f t="shared" si="42"/>
        <v>95836.88</v>
      </c>
      <c r="AD43" s="74">
        <f t="shared" si="43"/>
        <v>47918.44</v>
      </c>
      <c r="AE43" s="74">
        <f t="shared" si="43"/>
        <v>47918.44</v>
      </c>
      <c r="AF43" s="74">
        <f t="shared" si="44"/>
        <v>4307288.239999999</v>
      </c>
      <c r="AG43" s="74">
        <f t="shared" si="45"/>
        <v>4875000</v>
      </c>
      <c r="AH43" s="74">
        <f t="shared" si="46"/>
        <v>-567711.7600000007</v>
      </c>
      <c r="AI43" s="74">
        <f t="shared" si="47"/>
        <v>0</v>
      </c>
      <c r="AJ43" s="73">
        <f t="shared" si="48"/>
        <v>4307288.239999999</v>
      </c>
      <c r="AK43" s="62"/>
      <c r="AL43" s="62"/>
      <c r="AM43" s="62"/>
      <c r="AN43" s="62"/>
      <c r="AO43" s="62"/>
      <c r="AP43" s="62"/>
      <c r="AQ43" s="62">
        <f t="shared" si="49"/>
        <v>0</v>
      </c>
      <c r="AR43" s="62">
        <f t="shared" si="50"/>
        <v>0</v>
      </c>
      <c r="AS43" s="62">
        <f t="shared" si="51"/>
        <v>4307288.239999999</v>
      </c>
      <c r="AT43" s="72"/>
      <c r="AU43" s="71">
        <f t="shared" si="52"/>
        <v>10</v>
      </c>
      <c r="AV43" s="52" t="str">
        <f t="shared" si="53"/>
        <v>SAEPUL HAMAMI</v>
      </c>
      <c r="AW43" s="60">
        <f t="shared" si="54"/>
        <v>4307288.239999999</v>
      </c>
      <c r="AX43" s="69"/>
      <c r="AY43" s="54"/>
      <c r="AZ43" s="54"/>
      <c r="BA43" s="72">
        <f>+VLOOKUP(C43,'tanda terima  (2)'!$C$4:$G$106,5,0)</f>
        <v>4307288.239999999</v>
      </c>
      <c r="BB43" s="72"/>
      <c r="BG43" s="105">
        <f>+VLOOKUP(C43,[1]ALL!$C$26:$AQ$91,40,0)</f>
        <v>0</v>
      </c>
    </row>
    <row r="44" ht="15.75" customHeight="1" s="48" customFormat="1">
      <c r="A44" s="80">
        <f t="shared" si="29"/>
        <v>11</v>
      </c>
      <c r="B44" s="264" t="s">
        <v>341</v>
      </c>
      <c r="C44" s="17" t="s">
        <v>143</v>
      </c>
      <c r="D44" s="54" t="s">
        <v>15</v>
      </c>
      <c r="E44" s="54" t="s">
        <v>17</v>
      </c>
      <c r="F44" s="54"/>
      <c r="G44" s="54"/>
      <c r="H44" s="139" t="str">
        <f t="shared" si="30"/>
        <v>FULL</v>
      </c>
      <c r="I44" s="126"/>
      <c r="J44" s="126"/>
      <c r="K44" s="126"/>
      <c r="L44" s="79"/>
      <c r="M44" s="28">
        <f t="shared" si="32"/>
        <v>4498962</v>
      </c>
      <c r="N44" s="37">
        <f t="shared" si="33"/>
        <v>0</v>
      </c>
      <c r="O44" s="65"/>
      <c r="P44" s="78">
        <f t="shared" si="34"/>
        <v>234321.1716</v>
      </c>
      <c r="Q44" s="78">
        <f t="shared" si="35"/>
        <v>191673.76</v>
      </c>
      <c r="R44" s="78">
        <f t="shared" si="36"/>
        <v>95836.88</v>
      </c>
      <c r="S44" s="77">
        <f t="shared" si="37"/>
        <v>521831.8116</v>
      </c>
      <c r="T44" s="77">
        <v>374913.5</v>
      </c>
      <c r="U44" s="67"/>
      <c r="V44" s="79">
        <f t="shared" si="38"/>
        <v>4498962</v>
      </c>
      <c r="W44" s="53"/>
      <c r="X44" s="54"/>
      <c r="Y44" s="80">
        <f t="shared" si="39"/>
        <v>11</v>
      </c>
      <c r="Z44" s="76" t="str">
        <f t="shared" si="40"/>
        <v>HENDRA</v>
      </c>
      <c r="AA44" s="276" t="s">
        <v>218</v>
      </c>
      <c r="AB44" s="74">
        <f t="shared" si="41"/>
        <v>4498962</v>
      </c>
      <c r="AC44" s="74">
        <f t="shared" si="42"/>
        <v>95836.88</v>
      </c>
      <c r="AD44" s="74">
        <f t="shared" si="43"/>
        <v>47918.44</v>
      </c>
      <c r="AE44" s="74">
        <f t="shared" si="43"/>
        <v>47918.44</v>
      </c>
      <c r="AF44" s="74">
        <f t="shared" si="44"/>
        <v>4307288.239999999</v>
      </c>
      <c r="AG44" s="74">
        <f t="shared" si="45"/>
        <v>5625000</v>
      </c>
      <c r="AH44" s="74">
        <f t="shared" si="46"/>
        <v>-1317711.7600000007</v>
      </c>
      <c r="AI44" s="74"/>
      <c r="AJ44" s="73">
        <f t="shared" si="48"/>
        <v>4307288.239999999</v>
      </c>
      <c r="AK44" s="62"/>
      <c r="AL44" s="62"/>
      <c r="AM44" s="62"/>
      <c r="AN44" s="62"/>
      <c r="AO44" s="62"/>
      <c r="AP44" s="62"/>
      <c r="AQ44" s="62">
        <f t="shared" si="49"/>
        <v>0</v>
      </c>
      <c r="AR44" s="62">
        <f t="shared" si="50"/>
        <v>0</v>
      </c>
      <c r="AS44" s="62">
        <f t="shared" si="51"/>
        <v>4307288.239999999</v>
      </c>
      <c r="AT44" s="72"/>
      <c r="AU44" s="71"/>
      <c r="AV44" s="52" t="str">
        <f t="shared" si="53"/>
        <v>HENDRA</v>
      </c>
      <c r="AW44" s="60">
        <f t="shared" si="54"/>
        <v>4307288.239999999</v>
      </c>
      <c r="AX44" s="69"/>
      <c r="AY44" s="54"/>
      <c r="AZ44" s="54"/>
      <c r="BA44" s="72">
        <f>+VLOOKUP(C44,'tanda terima  (2)'!$C$4:$G$106,5,0)</f>
        <v>4307288.239999999</v>
      </c>
      <c r="BB44" s="72"/>
      <c r="BC44" s="51"/>
      <c r="BD44" s="51"/>
      <c r="BE44" s="51"/>
      <c r="BF44" s="51"/>
      <c r="BG44" s="105"/>
    </row>
    <row r="45" ht="15.75" customHeight="1" s="51" customFormat="1">
      <c r="A45" s="80">
        <f t="shared" si="29"/>
        <v>12</v>
      </c>
      <c r="B45" s="54" t="s">
        <v>338</v>
      </c>
      <c r="C45" s="17" t="s">
        <v>20</v>
      </c>
      <c r="D45" s="54" t="s">
        <v>15</v>
      </c>
      <c r="E45" s="54" t="s">
        <v>17</v>
      </c>
      <c r="F45" s="54"/>
      <c r="G45" s="54"/>
      <c r="H45" s="139" t="str">
        <f t="shared" si="30"/>
        <v>FULL</v>
      </c>
      <c r="I45" s="126"/>
      <c r="J45" s="126"/>
      <c r="K45" s="126"/>
      <c r="L45" s="79">
        <f ref="L45:L76" t="shared" si="55">SUM(I45:K45)</f>
        <v>0</v>
      </c>
      <c r="M45" s="28">
        <f t="shared" si="32"/>
        <v>4498962</v>
      </c>
      <c r="N45" s="37">
        <f t="shared" si="33"/>
        <v>0</v>
      </c>
      <c r="O45" s="65"/>
      <c r="P45" s="78">
        <f t="shared" si="34"/>
        <v>234321.1716</v>
      </c>
      <c r="Q45" s="78">
        <f t="shared" si="35"/>
        <v>191673.76</v>
      </c>
      <c r="R45" s="78">
        <f t="shared" si="36"/>
        <v>95836.88</v>
      </c>
      <c r="S45" s="77">
        <f t="shared" si="37"/>
        <v>521831.8116</v>
      </c>
      <c r="T45" s="77">
        <v>374913.5</v>
      </c>
      <c r="U45" s="67"/>
      <c r="V45" s="79">
        <f t="shared" si="38"/>
        <v>4498962</v>
      </c>
      <c r="W45" s="53"/>
      <c r="X45" s="54"/>
      <c r="Y45" s="80">
        <f t="shared" si="39"/>
        <v>12</v>
      </c>
      <c r="Z45" s="76" t="str">
        <f t="shared" si="40"/>
        <v>ACEP TARUNA </v>
      </c>
      <c r="AA45" s="75" t="str">
        <f>+VLOOKUP(C45,[1]MILKRUN!$C$4:$R$70,16,0)</f>
        <v>K1</v>
      </c>
      <c r="AB45" s="74">
        <f t="shared" si="41"/>
        <v>4498962</v>
      </c>
      <c r="AC45" s="74">
        <f t="shared" si="42"/>
        <v>95836.88</v>
      </c>
      <c r="AD45" s="74">
        <f t="shared" si="43"/>
        <v>47918.44</v>
      </c>
      <c r="AE45" s="74">
        <f t="shared" si="43"/>
        <v>47918.44</v>
      </c>
      <c r="AF45" s="74">
        <f t="shared" si="44"/>
        <v>4307288.239999999</v>
      </c>
      <c r="AG45" s="74">
        <f t="shared" si="45"/>
        <v>5250000</v>
      </c>
      <c r="AH45" s="74">
        <f t="shared" si="46"/>
        <v>-942711.7600000007</v>
      </c>
      <c r="AI45" s="74">
        <f ref="AI45:AI76" t="shared" si="56">+IF(AH45&gt;0,AH45*5%,0)</f>
        <v>0</v>
      </c>
      <c r="AJ45" s="73">
        <f t="shared" si="48"/>
        <v>4307288.239999999</v>
      </c>
      <c r="AK45" s="62"/>
      <c r="AL45" s="62"/>
      <c r="AM45" s="62"/>
      <c r="AN45" s="62"/>
      <c r="AO45" s="62"/>
      <c r="AP45" s="62"/>
      <c r="AQ45" s="62">
        <f t="shared" si="49"/>
        <v>0</v>
      </c>
      <c r="AR45" s="62">
        <f t="shared" si="50"/>
        <v>0</v>
      </c>
      <c r="AS45" s="62">
        <f t="shared" si="51"/>
        <v>4307288.239999999</v>
      </c>
      <c r="AT45" s="72"/>
      <c r="AU45" s="71">
        <f ref="AU45:AU76" t="shared" si="57">+A45</f>
        <v>12</v>
      </c>
      <c r="AV45" s="52" t="str">
        <f t="shared" si="53"/>
        <v>ACEP TARUNA </v>
      </c>
      <c r="AW45" s="60">
        <f t="shared" si="54"/>
        <v>4307288.239999999</v>
      </c>
      <c r="AX45" s="69"/>
      <c r="AY45" s="54"/>
      <c r="AZ45" s="54"/>
      <c r="BA45" s="72">
        <f>+VLOOKUP(C45,'tanda terima  (2)'!$C$4:$G$106,5,0)</f>
        <v>4307288.239999999</v>
      </c>
      <c r="BB45" s="72"/>
      <c r="BG45" s="105">
        <f>+VLOOKUP(C45,[1]ALL!$C$26:$AQ$91,40,0)</f>
        <v>0</v>
      </c>
    </row>
    <row r="46" ht="15.75" customHeight="1" s="51" customFormat="1">
      <c r="A46" s="80">
        <f t="shared" si="29"/>
        <v>13</v>
      </c>
      <c r="B46" s="39" t="s">
        <v>342</v>
      </c>
      <c r="C46" s="17" t="s">
        <v>138</v>
      </c>
      <c r="D46" s="39" t="s">
        <v>15</v>
      </c>
      <c r="E46" s="39" t="s">
        <v>17</v>
      </c>
      <c r="F46" s="39"/>
      <c r="G46" s="39"/>
      <c r="H46" s="139" t="str">
        <f t="shared" si="30"/>
        <v>FULL</v>
      </c>
      <c r="I46" s="266"/>
      <c r="J46" s="266"/>
      <c r="K46" s="266"/>
      <c r="L46" s="67">
        <f t="shared" si="55"/>
        <v>0</v>
      </c>
      <c r="M46" s="28">
        <f t="shared" si="32"/>
        <v>4498962</v>
      </c>
      <c r="N46" s="37">
        <f t="shared" si="33"/>
        <v>0</v>
      </c>
      <c r="O46" s="65"/>
      <c r="P46" s="66">
        <f t="shared" si="34"/>
        <v>234321.1716</v>
      </c>
      <c r="Q46" s="66">
        <f t="shared" si="35"/>
        <v>191673.76</v>
      </c>
      <c r="R46" s="66">
        <f t="shared" si="36"/>
        <v>95836.88</v>
      </c>
      <c r="S46" s="65">
        <f t="shared" si="37"/>
        <v>521831.8116</v>
      </c>
      <c r="T46" s="77">
        <v>374913.5</v>
      </c>
      <c r="U46" s="67"/>
      <c r="V46" s="67">
        <f t="shared" si="38"/>
        <v>4498962</v>
      </c>
      <c r="W46" s="38"/>
      <c r="X46" s="39"/>
      <c r="Y46" s="68">
        <f t="shared" si="39"/>
        <v>13</v>
      </c>
      <c r="Z46" s="36" t="str">
        <f t="shared" si="40"/>
        <v>SUWANDI </v>
      </c>
      <c r="AA46" s="75" t="str">
        <f>+VLOOKUP(C46,[1]MILKRUN!$C$4:$R$70,16,0)</f>
        <v>K3</v>
      </c>
      <c r="AB46" s="63">
        <f t="shared" si="41"/>
        <v>4498962</v>
      </c>
      <c r="AC46" s="63">
        <f t="shared" si="42"/>
        <v>95836.88</v>
      </c>
      <c r="AD46" s="74">
        <f t="shared" si="43"/>
        <v>47918.44</v>
      </c>
      <c r="AE46" s="63">
        <f t="shared" si="43"/>
        <v>47918.44</v>
      </c>
      <c r="AF46" s="63">
        <f t="shared" si="44"/>
        <v>4307288.239999999</v>
      </c>
      <c r="AG46" s="34">
        <f t="shared" si="45"/>
        <v>6000000</v>
      </c>
      <c r="AH46" s="34">
        <f t="shared" si="46"/>
        <v>-1692711.7600000007</v>
      </c>
      <c r="AI46" s="63">
        <f t="shared" si="56"/>
        <v>0</v>
      </c>
      <c r="AJ46" s="33">
        <f t="shared" si="48"/>
        <v>4307288.239999999</v>
      </c>
      <c r="AK46" s="62"/>
      <c r="AL46" s="62"/>
      <c r="AM46" s="62"/>
      <c r="AN46" s="62"/>
      <c r="AO46" s="62"/>
      <c r="AP46" s="62"/>
      <c r="AQ46" s="62">
        <f t="shared" si="49"/>
        <v>0</v>
      </c>
      <c r="AR46" s="62">
        <f t="shared" si="50"/>
        <v>0</v>
      </c>
      <c r="AS46" s="62">
        <f t="shared" si="51"/>
        <v>4307288.239999999</v>
      </c>
      <c r="AT46" s="59"/>
      <c r="AU46" s="234">
        <f t="shared" si="57"/>
        <v>13</v>
      </c>
      <c r="AV46" s="61" t="str">
        <f t="shared" si="53"/>
        <v>SUWANDI </v>
      </c>
      <c r="AW46" s="60">
        <f t="shared" si="54"/>
        <v>4307288.239999999</v>
      </c>
      <c r="AX46" s="64"/>
      <c r="AY46" s="68"/>
      <c r="AZ46" s="68"/>
      <c r="BA46" s="72">
        <f>+VLOOKUP(C46,'tanda terima  (2)'!$C$4:$G$106,5,0)</f>
        <v>4307288.239999999</v>
      </c>
      <c r="BB46" s="59"/>
      <c r="BC46" s="58"/>
      <c r="BD46" s="58"/>
      <c r="BE46" s="58"/>
      <c r="BF46" s="58"/>
      <c r="BG46" s="105">
        <f>+VLOOKUP(C46,[1]ALL!$C$26:$AQ$91,40,0)</f>
        <v>0</v>
      </c>
    </row>
    <row r="47" ht="15.75" customHeight="1" s="51" customFormat="1">
      <c r="A47" s="80">
        <f t="shared" si="29"/>
        <v>14</v>
      </c>
      <c r="B47" s="47" t="s">
        <v>343</v>
      </c>
      <c r="C47" s="17" t="s">
        <v>45</v>
      </c>
      <c r="D47" s="47" t="s">
        <v>15</v>
      </c>
      <c r="E47" s="47" t="s">
        <v>17</v>
      </c>
      <c r="F47" s="47"/>
      <c r="G47" s="47"/>
      <c r="H47" s="139" t="str">
        <f t="shared" si="30"/>
        <v>FULL</v>
      </c>
      <c r="I47" s="125"/>
      <c r="J47" s="125"/>
      <c r="K47" s="125"/>
      <c r="L47" s="79">
        <f t="shared" si="55"/>
        <v>0</v>
      </c>
      <c r="M47" s="28">
        <f t="shared" si="32"/>
        <v>4498962</v>
      </c>
      <c r="N47" s="37">
        <f t="shared" si="33"/>
        <v>0</v>
      </c>
      <c r="O47" s="65"/>
      <c r="P47" s="78">
        <f t="shared" si="34"/>
        <v>234321.1716</v>
      </c>
      <c r="Q47" s="78">
        <f t="shared" si="35"/>
        <v>191673.76</v>
      </c>
      <c r="R47" s="78">
        <f t="shared" si="36"/>
        <v>95836.88</v>
      </c>
      <c r="S47" s="77">
        <f t="shared" si="37"/>
        <v>521831.8116</v>
      </c>
      <c r="T47" s="77">
        <v>374913.5</v>
      </c>
      <c r="U47" s="67"/>
      <c r="V47" s="79">
        <f t="shared" si="38"/>
        <v>4498962</v>
      </c>
      <c r="W47" s="46"/>
      <c r="X47" s="47"/>
      <c r="Y47" s="80">
        <f t="shared" si="39"/>
        <v>14</v>
      </c>
      <c r="Z47" s="45" t="str">
        <f t="shared" si="40"/>
        <v>CAWAN KURNIAWAN </v>
      </c>
      <c r="AA47" s="75" t="s">
        <v>216</v>
      </c>
      <c r="AB47" s="74">
        <f t="shared" si="41"/>
        <v>4498962</v>
      </c>
      <c r="AC47" s="74">
        <f t="shared" si="42"/>
        <v>95836.88</v>
      </c>
      <c r="AD47" s="74">
        <f t="shared" si="43"/>
        <v>47918.44</v>
      </c>
      <c r="AE47" s="74">
        <f t="shared" si="43"/>
        <v>47918.44</v>
      </c>
      <c r="AF47" s="74">
        <f t="shared" si="44"/>
        <v>4307288.239999999</v>
      </c>
      <c r="AG47" s="43">
        <f t="shared" si="45"/>
        <v>4875000</v>
      </c>
      <c r="AH47" s="43">
        <f t="shared" si="46"/>
        <v>-567711.7600000007</v>
      </c>
      <c r="AI47" s="74">
        <f t="shared" si="56"/>
        <v>0</v>
      </c>
      <c r="AJ47" s="57">
        <f t="shared" si="48"/>
        <v>4307288.239999999</v>
      </c>
      <c r="AK47" s="62"/>
      <c r="AL47" s="62"/>
      <c r="AM47" s="62"/>
      <c r="AN47" s="62"/>
      <c r="AO47" s="62"/>
      <c r="AP47" s="62"/>
      <c r="AQ47" s="62">
        <f t="shared" si="49"/>
        <v>0</v>
      </c>
      <c r="AR47" s="62">
        <f t="shared" si="50"/>
        <v>0</v>
      </c>
      <c r="AS47" s="62">
        <f t="shared" si="51"/>
        <v>4307288.239999999</v>
      </c>
      <c r="AT47" s="72"/>
      <c r="AU47" s="71">
        <f t="shared" si="57"/>
        <v>14</v>
      </c>
      <c r="AV47" s="52" t="str">
        <f t="shared" si="53"/>
        <v>CAWAN KURNIAWAN </v>
      </c>
      <c r="AW47" s="60">
        <f t="shared" si="54"/>
        <v>4307288.239999999</v>
      </c>
      <c r="AX47" s="69"/>
      <c r="AY47" s="54"/>
      <c r="AZ47" s="54"/>
      <c r="BA47" s="72">
        <f>+VLOOKUP(C47,'tanda terima  (2)'!$C$4:$G$106,5,0)</f>
        <v>4307288.239999999</v>
      </c>
      <c r="BB47" s="72"/>
      <c r="BG47" s="105">
        <f>+VLOOKUP(C47,[1]ALL!$C$26:$AQ$91,40,0)</f>
        <v>0</v>
      </c>
    </row>
    <row r="48" s="51" customFormat="1">
      <c r="A48" s="80">
        <f t="shared" si="29"/>
        <v>15</v>
      </c>
      <c r="B48" s="54" t="s">
        <v>344</v>
      </c>
      <c r="C48" s="17" t="s">
        <v>28</v>
      </c>
      <c r="D48" s="54" t="s">
        <v>15</v>
      </c>
      <c r="E48" s="54" t="s">
        <v>17</v>
      </c>
      <c r="F48" s="54"/>
      <c r="G48" s="54"/>
      <c r="H48" s="139" t="str">
        <f t="shared" si="30"/>
        <v>FULL</v>
      </c>
      <c r="I48" s="126"/>
      <c r="J48" s="126"/>
      <c r="K48" s="126"/>
      <c r="L48" s="79">
        <f t="shared" si="55"/>
        <v>0</v>
      </c>
      <c r="M48" s="28">
        <f t="shared" si="32"/>
        <v>4498962</v>
      </c>
      <c r="N48" s="37">
        <f t="shared" si="33"/>
        <v>0</v>
      </c>
      <c r="O48" s="65"/>
      <c r="P48" s="78">
        <f t="shared" si="34"/>
        <v>234321.1716</v>
      </c>
      <c r="Q48" s="78">
        <f t="shared" si="35"/>
        <v>191673.76</v>
      </c>
      <c r="R48" s="78">
        <f t="shared" si="36"/>
        <v>95836.88</v>
      </c>
      <c r="S48" s="77">
        <f t="shared" si="37"/>
        <v>521831.8116</v>
      </c>
      <c r="T48" s="77">
        <v>374913.5</v>
      </c>
      <c r="U48" s="67"/>
      <c r="V48" s="79">
        <f t="shared" si="38"/>
        <v>4498962</v>
      </c>
      <c r="W48" s="53"/>
      <c r="X48" s="54"/>
      <c r="Y48" s="80">
        <f t="shared" si="39"/>
        <v>15</v>
      </c>
      <c r="Z48" s="76" t="str">
        <f t="shared" si="40"/>
        <v>AHDI </v>
      </c>
      <c r="AA48" s="75" t="str">
        <f>+VLOOKUP(C48,[1]MILKRUN!$C$4:$R$70,16,0)</f>
        <v>K3</v>
      </c>
      <c r="AB48" s="74">
        <f t="shared" si="41"/>
        <v>4498962</v>
      </c>
      <c r="AC48" s="74">
        <f t="shared" si="42"/>
        <v>95836.88</v>
      </c>
      <c r="AD48" s="74">
        <f t="shared" si="43"/>
        <v>47918.44</v>
      </c>
      <c r="AE48" s="74">
        <f t="shared" si="43"/>
        <v>47918.44</v>
      </c>
      <c r="AF48" s="74">
        <f t="shared" si="44"/>
        <v>4307288.239999999</v>
      </c>
      <c r="AG48" s="74">
        <f t="shared" si="45"/>
        <v>6000000</v>
      </c>
      <c r="AH48" s="74">
        <f t="shared" si="46"/>
        <v>-1692711.7600000007</v>
      </c>
      <c r="AI48" s="74">
        <f t="shared" si="56"/>
        <v>0</v>
      </c>
      <c r="AJ48" s="73">
        <f t="shared" si="48"/>
        <v>4307288.239999999</v>
      </c>
      <c r="AK48" s="62"/>
      <c r="AL48" s="62"/>
      <c r="AM48" s="62"/>
      <c r="AN48" s="62"/>
      <c r="AO48" s="62"/>
      <c r="AP48" s="62"/>
      <c r="AQ48" s="62">
        <f t="shared" si="49"/>
        <v>0</v>
      </c>
      <c r="AR48" s="62">
        <f t="shared" si="50"/>
        <v>0</v>
      </c>
      <c r="AS48" s="62">
        <f t="shared" si="51"/>
        <v>4307288.239999999</v>
      </c>
      <c r="AT48" s="72"/>
      <c r="AU48" s="71">
        <f t="shared" si="57"/>
        <v>15</v>
      </c>
      <c r="AV48" s="52" t="str">
        <f t="shared" si="53"/>
        <v>AHDI </v>
      </c>
      <c r="AW48" s="60">
        <f t="shared" si="54"/>
        <v>4307288.239999999</v>
      </c>
      <c r="AX48" s="69"/>
      <c r="AY48" s="54"/>
      <c r="AZ48" s="54"/>
      <c r="BA48" s="72">
        <f>+VLOOKUP(C48,'tanda terima  (2)'!$C$4:$G$106,5,0)</f>
        <v>4307288.239999999</v>
      </c>
      <c r="BB48" s="72"/>
      <c r="BG48" s="105">
        <f>+VLOOKUP(C48,[1]ALL!$C$26:$AQ$91,40,0)</f>
        <v>0</v>
      </c>
    </row>
    <row r="49" s="51" customFormat="1">
      <c r="A49" s="80">
        <f t="shared" si="29"/>
        <v>16</v>
      </c>
      <c r="B49" s="47" t="s">
        <v>334</v>
      </c>
      <c r="C49" s="252" t="s">
        <v>110</v>
      </c>
      <c r="D49" s="47" t="s">
        <v>15</v>
      </c>
      <c r="E49" s="47" t="s">
        <v>17</v>
      </c>
      <c r="F49" s="47"/>
      <c r="G49" s="47"/>
      <c r="H49" s="139" t="str">
        <f t="shared" si="30"/>
        <v>FULL</v>
      </c>
      <c r="I49" s="125"/>
      <c r="J49" s="125"/>
      <c r="K49" s="125"/>
      <c r="L49" s="79">
        <f t="shared" si="55"/>
        <v>0</v>
      </c>
      <c r="M49" s="28">
        <f t="shared" si="32"/>
        <v>4498962</v>
      </c>
      <c r="N49" s="37">
        <f t="shared" si="33"/>
        <v>0</v>
      </c>
      <c r="O49" s="65"/>
      <c r="P49" s="78">
        <f t="shared" si="34"/>
        <v>234321.1716</v>
      </c>
      <c r="Q49" s="78">
        <f t="shared" si="35"/>
        <v>191673.76</v>
      </c>
      <c r="R49" s="78">
        <f t="shared" si="36"/>
        <v>95836.88</v>
      </c>
      <c r="S49" s="77">
        <f t="shared" si="37"/>
        <v>521831.8116</v>
      </c>
      <c r="T49" s="77">
        <v>374913.5</v>
      </c>
      <c r="U49" s="67"/>
      <c r="V49" s="79">
        <f t="shared" si="38"/>
        <v>4498962</v>
      </c>
      <c r="W49" s="46"/>
      <c r="X49" s="47"/>
      <c r="Y49" s="80">
        <f t="shared" si="39"/>
        <v>16</v>
      </c>
      <c r="Z49" s="45" t="str">
        <f t="shared" si="40"/>
        <v>RAMDANI MANAON PAKPAHAN </v>
      </c>
      <c r="AA49" s="75" t="str">
        <f>+VLOOKUP(C49,[1]MILKRUN!$C$4:$R$70,16,0)</f>
        <v>L</v>
      </c>
      <c r="AB49" s="74">
        <f t="shared" si="41"/>
        <v>4498962</v>
      </c>
      <c r="AC49" s="74">
        <f t="shared" si="42"/>
        <v>95836.88</v>
      </c>
      <c r="AD49" s="74">
        <f t="shared" si="43"/>
        <v>47918.44</v>
      </c>
      <c r="AE49" s="74">
        <f t="shared" si="43"/>
        <v>47918.44</v>
      </c>
      <c r="AF49" s="74">
        <f t="shared" si="44"/>
        <v>4307288.239999999</v>
      </c>
      <c r="AG49" s="43">
        <f t="shared" si="45"/>
        <v>4500000</v>
      </c>
      <c r="AH49" s="43">
        <f t="shared" si="46"/>
        <v>-192711.7600000007</v>
      </c>
      <c r="AI49" s="43">
        <f t="shared" si="56"/>
        <v>0</v>
      </c>
      <c r="AJ49" s="57">
        <f t="shared" si="48"/>
        <v>4307288.239999999</v>
      </c>
      <c r="AK49" s="62"/>
      <c r="AL49" s="62"/>
      <c r="AM49" s="62">
        <v>500000</v>
      </c>
      <c r="AN49" s="62"/>
      <c r="AO49" s="62"/>
      <c r="AP49" s="62"/>
      <c r="AQ49" s="62">
        <f t="shared" si="49"/>
        <v>0</v>
      </c>
      <c r="AR49" s="62">
        <f t="shared" si="50"/>
        <v>500000</v>
      </c>
      <c r="AS49" s="62">
        <f t="shared" si="51"/>
        <v>3807288.2399999993</v>
      </c>
      <c r="AT49" s="72"/>
      <c r="AU49" s="71">
        <f t="shared" si="57"/>
        <v>16</v>
      </c>
      <c r="AV49" s="52" t="str">
        <f t="shared" si="53"/>
        <v>RAMDANI MANAON PAKPAHAN </v>
      </c>
      <c r="AW49" s="60">
        <f t="shared" si="54"/>
        <v>3807288.2399999993</v>
      </c>
      <c r="AX49" s="69"/>
      <c r="AY49" s="54"/>
      <c r="AZ49" s="54"/>
      <c r="BA49" s="72">
        <f>+VLOOKUP(C49,'tanda terima  (2)'!$C$4:$G$106,5,0)</f>
        <v>3807288.2399999993</v>
      </c>
      <c r="BB49" s="72"/>
      <c r="BG49" s="105">
        <f>+VLOOKUP(C49,[1]ALL!$C$26:$AQ$91,40,0)</f>
        <v>0</v>
      </c>
    </row>
    <row r="50" s="51" customFormat="1">
      <c r="A50" s="80">
        <f t="shared" si="29"/>
        <v>17</v>
      </c>
      <c r="B50" s="54" t="s">
        <v>345</v>
      </c>
      <c r="C50" s="17" t="s">
        <v>154</v>
      </c>
      <c r="D50" s="47" t="s">
        <v>15</v>
      </c>
      <c r="E50" s="47" t="s">
        <v>17</v>
      </c>
      <c r="F50" s="54"/>
      <c r="G50" s="54"/>
      <c r="H50" s="139" t="str">
        <f t="shared" si="30"/>
        <v>FULL</v>
      </c>
      <c r="I50" s="125"/>
      <c r="J50" s="125"/>
      <c r="K50" s="125"/>
      <c r="L50" s="79">
        <f t="shared" si="55"/>
        <v>0</v>
      </c>
      <c r="M50" s="28">
        <f t="shared" si="32"/>
        <v>4498962</v>
      </c>
      <c r="N50" s="37">
        <f t="shared" si="33"/>
        <v>0</v>
      </c>
      <c r="O50" s="65"/>
      <c r="P50" s="78">
        <f t="shared" si="34"/>
        <v>234321.1716</v>
      </c>
      <c r="Q50" s="78">
        <f t="shared" si="35"/>
        <v>191673.76</v>
      </c>
      <c r="R50" s="78">
        <f t="shared" si="36"/>
        <v>95836.88</v>
      </c>
      <c r="S50" s="77">
        <f t="shared" si="37"/>
        <v>521831.8116</v>
      </c>
      <c r="T50" s="77">
        <v>374913.5</v>
      </c>
      <c r="U50" s="67"/>
      <c r="V50" s="79">
        <f t="shared" si="38"/>
        <v>4498962</v>
      </c>
      <c r="W50" s="53"/>
      <c r="X50" s="54"/>
      <c r="Y50" s="80">
        <f t="shared" si="39"/>
        <v>17</v>
      </c>
      <c r="Z50" s="45" t="str">
        <f t="shared" si="40"/>
        <v>YUSUF AKHAMDI</v>
      </c>
      <c r="AA50" s="75" t="str">
        <f>+VLOOKUP(C50,[1]MILKRUN!$C$4:$R$70,16,0)</f>
        <v>K1</v>
      </c>
      <c r="AB50" s="74">
        <f t="shared" si="41"/>
        <v>4498962</v>
      </c>
      <c r="AC50" s="74">
        <f t="shared" si="42"/>
        <v>95836.88</v>
      </c>
      <c r="AD50" s="74">
        <f t="shared" si="43"/>
        <v>47918.44</v>
      </c>
      <c r="AE50" s="74">
        <f t="shared" si="43"/>
        <v>47918.44</v>
      </c>
      <c r="AF50" s="74">
        <f t="shared" si="44"/>
        <v>4307288.239999999</v>
      </c>
      <c r="AG50" s="43">
        <f t="shared" si="45"/>
        <v>5250000</v>
      </c>
      <c r="AH50" s="43">
        <f t="shared" si="46"/>
        <v>-942711.7600000007</v>
      </c>
      <c r="AI50" s="74">
        <f t="shared" si="56"/>
        <v>0</v>
      </c>
      <c r="AJ50" s="57">
        <f t="shared" si="48"/>
        <v>4307288.239999999</v>
      </c>
      <c r="AK50" s="62"/>
      <c r="AL50" s="62"/>
      <c r="AM50" s="62"/>
      <c r="AN50" s="62"/>
      <c r="AO50" s="62"/>
      <c r="AP50" s="62"/>
      <c r="AQ50" s="62">
        <f t="shared" si="49"/>
        <v>0</v>
      </c>
      <c r="AR50" s="62">
        <f t="shared" si="50"/>
        <v>0</v>
      </c>
      <c r="AS50" s="62">
        <f t="shared" si="51"/>
        <v>4307288.239999999</v>
      </c>
      <c r="AT50" s="72"/>
      <c r="AU50" s="71">
        <f t="shared" si="57"/>
        <v>17</v>
      </c>
      <c r="AV50" s="52" t="str">
        <f t="shared" si="53"/>
        <v>YUSUF AKHAMDI</v>
      </c>
      <c r="AW50" s="60">
        <f t="shared" si="54"/>
        <v>4307288.239999999</v>
      </c>
      <c r="AX50" s="69"/>
      <c r="AY50" s="54"/>
      <c r="AZ50" s="54"/>
      <c r="BA50" s="72">
        <f>+VLOOKUP(C50,'tanda terima  (2)'!$C$4:$G$106,5,0)</f>
        <v>4307288.239999999</v>
      </c>
      <c r="BB50" s="72"/>
      <c r="BG50" s="105" t="e">
        <f>+VLOOKUP(C50,[1]ALL!$C$26:$AQ$91,40,0)</f>
        <v>#N/A</v>
      </c>
    </row>
    <row r="51" s="51" customFormat="1">
      <c r="A51" s="80">
        <f t="shared" si="29"/>
        <v>18</v>
      </c>
      <c r="B51" s="47" t="s">
        <v>346</v>
      </c>
      <c r="C51" s="17" t="s">
        <v>93</v>
      </c>
      <c r="D51" s="47" t="s">
        <v>15</v>
      </c>
      <c r="E51" s="47" t="s">
        <v>17</v>
      </c>
      <c r="F51" s="47"/>
      <c r="G51" s="47"/>
      <c r="H51" s="139" t="str">
        <f t="shared" si="30"/>
        <v>FULL</v>
      </c>
      <c r="I51" s="125"/>
      <c r="J51" s="125"/>
      <c r="K51" s="125"/>
      <c r="L51" s="79">
        <f t="shared" si="55"/>
        <v>0</v>
      </c>
      <c r="M51" s="28">
        <f t="shared" si="32"/>
        <v>4498962</v>
      </c>
      <c r="N51" s="37">
        <f t="shared" si="33"/>
        <v>0</v>
      </c>
      <c r="O51" s="65"/>
      <c r="P51" s="78">
        <f t="shared" si="34"/>
        <v>234321.1716</v>
      </c>
      <c r="Q51" s="78">
        <f t="shared" si="35"/>
        <v>191673.76</v>
      </c>
      <c r="R51" s="78">
        <f t="shared" si="36"/>
        <v>95836.88</v>
      </c>
      <c r="S51" s="77">
        <f t="shared" si="37"/>
        <v>521831.8116</v>
      </c>
      <c r="T51" s="77">
        <v>374913.5</v>
      </c>
      <c r="U51" s="67"/>
      <c r="V51" s="79">
        <f t="shared" si="38"/>
        <v>4498962</v>
      </c>
      <c r="W51" s="53"/>
      <c r="X51" s="54"/>
      <c r="Y51" s="80">
        <f t="shared" si="39"/>
        <v>18</v>
      </c>
      <c r="Z51" s="76" t="str">
        <f t="shared" si="40"/>
        <v>JAYA PERMANA </v>
      </c>
      <c r="AA51" s="75" t="str">
        <f>+VLOOKUP(C51,[1]MILKRUN!$C$4:$R$70,16,0)</f>
        <v>K1</v>
      </c>
      <c r="AB51" s="74">
        <f t="shared" si="41"/>
        <v>4498962</v>
      </c>
      <c r="AC51" s="74">
        <f t="shared" si="42"/>
        <v>95836.88</v>
      </c>
      <c r="AD51" s="74">
        <f t="shared" si="43"/>
        <v>47918.44</v>
      </c>
      <c r="AE51" s="74">
        <f t="shared" si="43"/>
        <v>47918.44</v>
      </c>
      <c r="AF51" s="74">
        <f t="shared" si="44"/>
        <v>4307288.239999999</v>
      </c>
      <c r="AG51" s="74">
        <f t="shared" si="45"/>
        <v>5250000</v>
      </c>
      <c r="AH51" s="74">
        <f t="shared" si="46"/>
        <v>-942711.7600000007</v>
      </c>
      <c r="AI51" s="74">
        <f t="shared" si="56"/>
        <v>0</v>
      </c>
      <c r="AJ51" s="73">
        <f t="shared" si="48"/>
        <v>4307288.239999999</v>
      </c>
      <c r="AK51" s="62"/>
      <c r="AL51" s="62"/>
      <c r="AM51" s="62"/>
      <c r="AN51" s="62"/>
      <c r="AO51" s="62"/>
      <c r="AP51" s="62"/>
      <c r="AQ51" s="62">
        <f t="shared" si="49"/>
        <v>0</v>
      </c>
      <c r="AR51" s="62">
        <f t="shared" si="50"/>
        <v>0</v>
      </c>
      <c r="AS51" s="62">
        <f t="shared" si="51"/>
        <v>4307288.239999999</v>
      </c>
      <c r="AT51" s="72"/>
      <c r="AU51" s="71">
        <f t="shared" si="57"/>
        <v>18</v>
      </c>
      <c r="AV51" s="52" t="str">
        <f t="shared" si="53"/>
        <v>JAYA PERMANA </v>
      </c>
      <c r="AW51" s="60">
        <f t="shared" si="54"/>
        <v>4307288.239999999</v>
      </c>
      <c r="AX51" s="69"/>
      <c r="AY51" s="54"/>
      <c r="AZ51" s="54"/>
      <c r="BA51" s="72">
        <f>+VLOOKUP(C51,'tanda terima  (2)'!$C$4:$G$106,5,0)</f>
        <v>4307288.239999999</v>
      </c>
      <c r="BB51" s="72"/>
      <c r="BG51" s="105" t="s">
        <v>347</v>
      </c>
    </row>
    <row r="52" s="51" customFormat="1">
      <c r="A52" s="80">
        <f t="shared" si="29"/>
        <v>19</v>
      </c>
      <c r="B52" s="54" t="s">
        <v>348</v>
      </c>
      <c r="C52" s="26" t="s">
        <v>14</v>
      </c>
      <c r="D52" s="47" t="s">
        <v>15</v>
      </c>
      <c r="E52" s="47" t="s">
        <v>17</v>
      </c>
      <c r="F52" s="54"/>
      <c r="G52" s="54"/>
      <c r="H52" s="139" t="str">
        <f t="shared" si="30"/>
        <v>FULL</v>
      </c>
      <c r="I52" s="125"/>
      <c r="J52" s="125"/>
      <c r="K52" s="125"/>
      <c r="L52" s="79">
        <f t="shared" si="55"/>
        <v>0</v>
      </c>
      <c r="M52" s="28">
        <f t="shared" si="32"/>
        <v>4498962</v>
      </c>
      <c r="N52" s="37">
        <f t="shared" si="33"/>
        <v>0</v>
      </c>
      <c r="O52" s="65"/>
      <c r="P52" s="78">
        <f t="shared" si="34"/>
        <v>234321.1716</v>
      </c>
      <c r="Q52" s="78">
        <f t="shared" si="35"/>
        <v>191673.76</v>
      </c>
      <c r="R52" s="78">
        <f t="shared" si="36"/>
        <v>95836.88</v>
      </c>
      <c r="S52" s="77">
        <f t="shared" si="37"/>
        <v>521831.8116</v>
      </c>
      <c r="T52" s="77">
        <v>374913.5</v>
      </c>
      <c r="U52" s="67"/>
      <c r="V52" s="79">
        <f t="shared" si="38"/>
        <v>4498962</v>
      </c>
      <c r="W52" s="53"/>
      <c r="X52" s="54"/>
      <c r="Y52" s="80">
        <f t="shared" si="39"/>
        <v>19</v>
      </c>
      <c r="Z52" s="45" t="str">
        <f t="shared" si="40"/>
        <v>ABDUL RAHMAN </v>
      </c>
      <c r="AA52" s="75" t="s">
        <v>216</v>
      </c>
      <c r="AB52" s="74">
        <f t="shared" si="41"/>
        <v>4498962</v>
      </c>
      <c r="AC52" s="74">
        <f t="shared" si="42"/>
        <v>95836.88</v>
      </c>
      <c r="AD52" s="74">
        <f t="shared" si="43"/>
        <v>47918.44</v>
      </c>
      <c r="AE52" s="74">
        <f t="shared" si="43"/>
        <v>47918.44</v>
      </c>
      <c r="AF52" s="74">
        <f t="shared" si="44"/>
        <v>4307288.239999999</v>
      </c>
      <c r="AG52" s="43">
        <f t="shared" si="45"/>
        <v>4875000</v>
      </c>
      <c r="AH52" s="43">
        <f t="shared" si="46"/>
        <v>-567711.7600000007</v>
      </c>
      <c r="AI52" s="74">
        <f t="shared" si="56"/>
        <v>0</v>
      </c>
      <c r="AJ52" s="57">
        <f t="shared" si="48"/>
        <v>4307288.239999999</v>
      </c>
      <c r="AK52" s="62"/>
      <c r="AL52" s="62"/>
      <c r="AM52" s="62"/>
      <c r="AN52" s="62"/>
      <c r="AO52" s="62"/>
      <c r="AP52" s="62"/>
      <c r="AQ52" s="62">
        <f t="shared" si="49"/>
        <v>0</v>
      </c>
      <c r="AR52" s="62">
        <f t="shared" si="50"/>
        <v>0</v>
      </c>
      <c r="AS52" s="62">
        <f t="shared" si="51"/>
        <v>4307288.239999999</v>
      </c>
      <c r="AT52" s="72"/>
      <c r="AU52" s="71">
        <f t="shared" si="57"/>
        <v>19</v>
      </c>
      <c r="AV52" s="52" t="str">
        <f t="shared" si="53"/>
        <v>ABDUL RAHMAN </v>
      </c>
      <c r="AW52" s="60">
        <f t="shared" si="54"/>
        <v>4307288.239999999</v>
      </c>
      <c r="AX52" s="69"/>
      <c r="AY52" s="54"/>
      <c r="AZ52" s="54"/>
      <c r="BA52" s="72">
        <f>+VLOOKUP(C52,'tanda terima  (2)'!$C$4:$G$106,5,0)</f>
        <v>4307288.239999999</v>
      </c>
      <c r="BB52" s="72"/>
      <c r="BG52" s="105">
        <f>+VLOOKUP(C52,[1]ALL!$C$26:$AQ$91,40,0)</f>
        <v>0</v>
      </c>
    </row>
    <row r="53" s="51" customFormat="1">
      <c r="A53" s="80">
        <f t="shared" si="29"/>
        <v>20</v>
      </c>
      <c r="B53" s="54" t="s">
        <v>349</v>
      </c>
      <c r="C53" s="26" t="s">
        <v>124</v>
      </c>
      <c r="D53" s="47" t="s">
        <v>15</v>
      </c>
      <c r="E53" s="47" t="s">
        <v>17</v>
      </c>
      <c r="F53" s="54"/>
      <c r="G53" s="54"/>
      <c r="H53" s="139" t="str">
        <f t="shared" si="30"/>
        <v>FULL</v>
      </c>
      <c r="I53" s="125"/>
      <c r="J53" s="125"/>
      <c r="K53" s="125"/>
      <c r="L53" s="79">
        <f t="shared" si="55"/>
        <v>0</v>
      </c>
      <c r="M53" s="28">
        <f t="shared" si="32"/>
        <v>4498962</v>
      </c>
      <c r="N53" s="37">
        <f t="shared" si="33"/>
        <v>0</v>
      </c>
      <c r="O53" s="65"/>
      <c r="P53" s="78">
        <f t="shared" si="34"/>
        <v>234321.1716</v>
      </c>
      <c r="Q53" s="78">
        <f t="shared" si="35"/>
        <v>191673.76</v>
      </c>
      <c r="R53" s="78">
        <f t="shared" si="36"/>
        <v>95836.88</v>
      </c>
      <c r="S53" s="77">
        <f t="shared" si="37"/>
        <v>521831.8116</v>
      </c>
      <c r="T53" s="77">
        <v>374913.5</v>
      </c>
      <c r="U53" s="67"/>
      <c r="V53" s="79">
        <f t="shared" si="38"/>
        <v>4498962</v>
      </c>
      <c r="W53" s="53"/>
      <c r="X53" s="54"/>
      <c r="Y53" s="80">
        <f t="shared" si="39"/>
        <v>20</v>
      </c>
      <c r="Z53" s="45" t="str">
        <f t="shared" si="40"/>
        <v>SE SURYADI</v>
      </c>
      <c r="AA53" s="75" t="str">
        <f>+VLOOKUP(C53,[1]MILKRUN!$C$4:$R$70,16,0)</f>
        <v>K2</v>
      </c>
      <c r="AB53" s="74">
        <f t="shared" si="41"/>
        <v>4498962</v>
      </c>
      <c r="AC53" s="74">
        <f t="shared" si="42"/>
        <v>95836.88</v>
      </c>
      <c r="AD53" s="74">
        <f t="shared" si="43"/>
        <v>47918.44</v>
      </c>
      <c r="AE53" s="74">
        <f t="shared" si="43"/>
        <v>47918.44</v>
      </c>
      <c r="AF53" s="74">
        <f t="shared" si="44"/>
        <v>4307288.239999999</v>
      </c>
      <c r="AG53" s="43">
        <f t="shared" si="45"/>
        <v>5625000</v>
      </c>
      <c r="AH53" s="43">
        <f t="shared" si="46"/>
        <v>-1317711.7600000007</v>
      </c>
      <c r="AI53" s="74">
        <f t="shared" si="56"/>
        <v>0</v>
      </c>
      <c r="AJ53" s="57">
        <f t="shared" si="48"/>
        <v>4307288.239999999</v>
      </c>
      <c r="AK53" s="62"/>
      <c r="AL53" s="62"/>
      <c r="AM53" s="33"/>
      <c r="AN53" s="62"/>
      <c r="AO53" s="62"/>
      <c r="AP53" s="62"/>
      <c r="AQ53" s="62">
        <f t="shared" si="49"/>
        <v>0</v>
      </c>
      <c r="AR53" s="62">
        <f t="shared" si="50"/>
        <v>0</v>
      </c>
      <c r="AS53" s="62">
        <f t="shared" si="51"/>
        <v>4307288.239999999</v>
      </c>
      <c r="AT53" s="72"/>
      <c r="AU53" s="71">
        <f t="shared" si="57"/>
        <v>20</v>
      </c>
      <c r="AV53" s="52" t="str">
        <f t="shared" si="53"/>
        <v>SE SURYADI</v>
      </c>
      <c r="AW53" s="60">
        <f t="shared" si="54"/>
        <v>4307288.239999999</v>
      </c>
      <c r="AX53" s="69"/>
      <c r="AY53" s="54"/>
      <c r="AZ53" s="54"/>
      <c r="BA53" s="72">
        <f>+VLOOKUP(C53,'tanda terima  (2)'!$C$4:$G$106,5,0)</f>
        <v>4307288.239999999</v>
      </c>
      <c r="BB53" s="72"/>
      <c r="BG53" s="105" t="e">
        <f>+VLOOKUP(C53,[1]ALL!$C$26:$AQ$91,40,0)</f>
        <v>#N/A</v>
      </c>
    </row>
    <row r="54" ht="15.75" customHeight="1" s="51" customFormat="1">
      <c r="A54" s="80">
        <f t="shared" si="29"/>
        <v>21</v>
      </c>
      <c r="B54" s="47" t="s">
        <v>350</v>
      </c>
      <c r="C54" s="17" t="s">
        <v>57</v>
      </c>
      <c r="D54" s="47" t="s">
        <v>15</v>
      </c>
      <c r="E54" s="47" t="s">
        <v>17</v>
      </c>
      <c r="F54" s="47"/>
      <c r="G54" s="47"/>
      <c r="H54" s="139" t="str">
        <f t="shared" si="30"/>
        <v>FULL</v>
      </c>
      <c r="I54" s="125"/>
      <c r="J54" s="125"/>
      <c r="K54" s="125"/>
      <c r="L54" s="79">
        <f t="shared" si="55"/>
        <v>0</v>
      </c>
      <c r="M54" s="28">
        <f t="shared" si="32"/>
        <v>4498962</v>
      </c>
      <c r="N54" s="37">
        <f t="shared" si="33"/>
        <v>0</v>
      </c>
      <c r="O54" s="65"/>
      <c r="P54" s="78">
        <f t="shared" si="34"/>
        <v>234321.1716</v>
      </c>
      <c r="Q54" s="78">
        <f t="shared" si="35"/>
        <v>191673.76</v>
      </c>
      <c r="R54" s="78">
        <f t="shared" si="36"/>
        <v>95836.88</v>
      </c>
      <c r="S54" s="77">
        <f t="shared" si="37"/>
        <v>521831.8116</v>
      </c>
      <c r="T54" s="77">
        <v>374913.5</v>
      </c>
      <c r="U54" s="67"/>
      <c r="V54" s="79">
        <f t="shared" si="38"/>
        <v>4498962</v>
      </c>
      <c r="W54" s="53"/>
      <c r="X54" s="54"/>
      <c r="Y54" s="80">
        <f t="shared" si="39"/>
        <v>21</v>
      </c>
      <c r="Z54" s="45" t="str">
        <f t="shared" si="40"/>
        <v>DIAN JUHYANDI</v>
      </c>
      <c r="AA54" s="75" t="str">
        <f>+VLOOKUP(C54,[1]MILKRUN!$C$4:$R$70,16,0)</f>
        <v>K1</v>
      </c>
      <c r="AB54" s="74">
        <f t="shared" si="41"/>
        <v>4498962</v>
      </c>
      <c r="AC54" s="74">
        <f t="shared" si="42"/>
        <v>95836.88</v>
      </c>
      <c r="AD54" s="74">
        <f ref="AD54:AE73" t="shared" si="58">4791844*1%</f>
        <v>47918.44</v>
      </c>
      <c r="AE54" s="74">
        <f t="shared" si="58"/>
        <v>47918.44</v>
      </c>
      <c r="AF54" s="74">
        <f t="shared" si="44"/>
        <v>4307288.239999999</v>
      </c>
      <c r="AG54" s="43">
        <f t="shared" si="45"/>
        <v>5250000</v>
      </c>
      <c r="AH54" s="43">
        <f t="shared" si="46"/>
        <v>-942711.7600000007</v>
      </c>
      <c r="AI54" s="74">
        <f t="shared" si="56"/>
        <v>0</v>
      </c>
      <c r="AJ54" s="57">
        <f t="shared" si="48"/>
        <v>4307288.239999999</v>
      </c>
      <c r="AK54" s="62"/>
      <c r="AL54" s="62"/>
      <c r="AM54" s="62"/>
      <c r="AN54" s="62"/>
      <c r="AO54" s="62"/>
      <c r="AP54" s="62"/>
      <c r="AQ54" s="62">
        <f t="shared" si="49"/>
        <v>0</v>
      </c>
      <c r="AR54" s="62">
        <f t="shared" si="50"/>
        <v>0</v>
      </c>
      <c r="AS54" s="62">
        <f t="shared" si="51"/>
        <v>4307288.239999999</v>
      </c>
      <c r="AT54" s="72"/>
      <c r="AU54" s="71">
        <f t="shared" si="57"/>
        <v>21</v>
      </c>
      <c r="AV54" s="52" t="str">
        <f t="shared" si="53"/>
        <v>DIAN JUHYANDI</v>
      </c>
      <c r="AW54" s="60">
        <f t="shared" si="54"/>
        <v>4307288.239999999</v>
      </c>
      <c r="AX54" s="69"/>
      <c r="AY54" s="54"/>
      <c r="AZ54" s="54"/>
      <c r="BA54" s="72">
        <f>+VLOOKUP(C54,'tanda terima  (2)'!$C$4:$G$106,5,0)</f>
        <v>4307288.239999999</v>
      </c>
      <c r="BB54" s="72"/>
      <c r="BG54" s="105" t="s">
        <v>343</v>
      </c>
    </row>
    <row r="55" ht="15.75" customHeight="1" s="51" customFormat="1">
      <c r="A55" s="80">
        <f t="shared" si="29"/>
        <v>22</v>
      </c>
      <c r="B55" s="39" t="s">
        <v>351</v>
      </c>
      <c r="C55" s="17" t="s">
        <v>120</v>
      </c>
      <c r="D55" s="47" t="s">
        <v>15</v>
      </c>
      <c r="E55" s="47" t="s">
        <v>17</v>
      </c>
      <c r="F55" s="47"/>
      <c r="G55" s="47"/>
      <c r="H55" s="139" t="str">
        <f t="shared" si="30"/>
        <v>FULL</v>
      </c>
      <c r="I55" s="125"/>
      <c r="J55" s="125"/>
      <c r="K55" s="125"/>
      <c r="L55" s="79">
        <f t="shared" si="55"/>
        <v>0</v>
      </c>
      <c r="M55" s="28">
        <f t="shared" si="32"/>
        <v>4498962</v>
      </c>
      <c r="N55" s="37">
        <f t="shared" si="33"/>
        <v>0</v>
      </c>
      <c r="O55" s="65"/>
      <c r="P55" s="78">
        <f t="shared" si="34"/>
        <v>234321.1716</v>
      </c>
      <c r="Q55" s="78">
        <f t="shared" si="35"/>
        <v>191673.76</v>
      </c>
      <c r="R55" s="78">
        <f t="shared" si="36"/>
        <v>95836.88</v>
      </c>
      <c r="S55" s="77">
        <f t="shared" si="37"/>
        <v>521831.8116</v>
      </c>
      <c r="T55" s="77">
        <v>374913.5</v>
      </c>
      <c r="U55" s="67"/>
      <c r="V55" s="79">
        <f t="shared" si="38"/>
        <v>4498962</v>
      </c>
      <c r="W55" s="53"/>
      <c r="X55" s="54"/>
      <c r="Y55" s="80">
        <f t="shared" si="39"/>
        <v>22</v>
      </c>
      <c r="Z55" s="45" t="str">
        <f t="shared" si="40"/>
        <v>SAMSUL MUARIPIN</v>
      </c>
      <c r="AA55" s="75" t="s">
        <v>216</v>
      </c>
      <c r="AB55" s="74">
        <f t="shared" si="41"/>
        <v>4498962</v>
      </c>
      <c r="AC55" s="74">
        <f t="shared" si="42"/>
        <v>95836.88</v>
      </c>
      <c r="AD55" s="74">
        <f t="shared" si="58"/>
        <v>47918.44</v>
      </c>
      <c r="AE55" s="74">
        <f t="shared" si="58"/>
        <v>47918.44</v>
      </c>
      <c r="AF55" s="74">
        <f t="shared" si="44"/>
        <v>4307288.239999999</v>
      </c>
      <c r="AG55" s="43">
        <f t="shared" si="45"/>
        <v>4875000</v>
      </c>
      <c r="AH55" s="43">
        <f t="shared" si="46"/>
        <v>-567711.7600000007</v>
      </c>
      <c r="AI55" s="74">
        <f t="shared" si="56"/>
        <v>0</v>
      </c>
      <c r="AJ55" s="57">
        <f t="shared" si="48"/>
        <v>4307288.239999999</v>
      </c>
      <c r="AK55" s="62"/>
      <c r="AL55" s="62"/>
      <c r="AM55" s="62"/>
      <c r="AN55" s="62"/>
      <c r="AO55" s="62"/>
      <c r="AP55" s="62"/>
      <c r="AQ55" s="62">
        <f t="shared" si="49"/>
        <v>0</v>
      </c>
      <c r="AR55" s="62">
        <f t="shared" si="50"/>
        <v>0</v>
      </c>
      <c r="AS55" s="62">
        <f t="shared" si="51"/>
        <v>4307288.239999999</v>
      </c>
      <c r="AT55" s="72"/>
      <c r="AU55" s="71">
        <f t="shared" si="57"/>
        <v>22</v>
      </c>
      <c r="AV55" s="52" t="str">
        <f t="shared" si="53"/>
        <v>SAMSUL MUARIPIN</v>
      </c>
      <c r="AW55" s="60">
        <f t="shared" si="54"/>
        <v>4307288.239999999</v>
      </c>
      <c r="AX55" s="69"/>
      <c r="AY55" s="54"/>
      <c r="AZ55" s="54"/>
      <c r="BA55" s="72">
        <f>+VLOOKUP(C55,'tanda terima  (2)'!$C$4:$G$106,5,0)</f>
        <v>4307288.239999999</v>
      </c>
      <c r="BB55" s="72"/>
      <c r="BC55" s="105"/>
      <c r="BG55" s="105">
        <f>+VLOOKUP(C55,[1]ALL!$C$26:$AQ$91,40,0)</f>
        <v>0</v>
      </c>
    </row>
    <row r="56" s="51" customFormat="1">
      <c r="A56" s="80">
        <f t="shared" si="29"/>
        <v>23</v>
      </c>
      <c r="B56" s="68" t="s">
        <v>352</v>
      </c>
      <c r="C56" s="17" t="s">
        <v>150</v>
      </c>
      <c r="D56" s="68" t="s">
        <v>15</v>
      </c>
      <c r="E56" s="68" t="s">
        <v>17</v>
      </c>
      <c r="F56" s="68"/>
      <c r="G56" s="68"/>
      <c r="H56" s="139" t="str">
        <f t="shared" si="30"/>
        <v>FULL</v>
      </c>
      <c r="I56" s="28"/>
      <c r="J56" s="28"/>
      <c r="K56" s="28"/>
      <c r="L56" s="67">
        <f t="shared" si="55"/>
        <v>0</v>
      </c>
      <c r="M56" s="28">
        <f t="shared" si="32"/>
        <v>4498962</v>
      </c>
      <c r="N56" s="37">
        <f t="shared" si="33"/>
        <v>0</v>
      </c>
      <c r="O56" s="65"/>
      <c r="P56" s="66">
        <f t="shared" si="34"/>
        <v>234321.1716</v>
      </c>
      <c r="Q56" s="66">
        <f t="shared" si="35"/>
        <v>191673.76</v>
      </c>
      <c r="R56" s="66">
        <f t="shared" si="36"/>
        <v>95836.88</v>
      </c>
      <c r="S56" s="65">
        <f t="shared" si="37"/>
        <v>521831.8116</v>
      </c>
      <c r="T56" s="77">
        <v>374913.5</v>
      </c>
      <c r="U56" s="67"/>
      <c r="V56" s="67">
        <f t="shared" si="38"/>
        <v>4498962</v>
      </c>
      <c r="W56" s="67"/>
      <c r="X56" s="68"/>
      <c r="Y56" s="68">
        <f t="shared" si="39"/>
        <v>23</v>
      </c>
      <c r="Z56" s="233" t="str">
        <f t="shared" si="40"/>
        <v>YAKUB</v>
      </c>
      <c r="AA56" s="75" t="s">
        <v>216</v>
      </c>
      <c r="AB56" s="63">
        <f t="shared" si="41"/>
        <v>4498962</v>
      </c>
      <c r="AC56" s="63">
        <f t="shared" si="42"/>
        <v>95836.88</v>
      </c>
      <c r="AD56" s="74">
        <f t="shared" si="58"/>
        <v>47918.44</v>
      </c>
      <c r="AE56" s="63">
        <f t="shared" si="58"/>
        <v>47918.44</v>
      </c>
      <c r="AF56" s="63">
        <f t="shared" si="44"/>
        <v>4307288.239999999</v>
      </c>
      <c r="AG56" s="63">
        <f t="shared" si="45"/>
        <v>4875000</v>
      </c>
      <c r="AH56" s="63">
        <f t="shared" si="46"/>
        <v>-567711.7600000007</v>
      </c>
      <c r="AI56" s="63">
        <f t="shared" si="56"/>
        <v>0</v>
      </c>
      <c r="AJ56" s="62">
        <f t="shared" si="48"/>
        <v>4307288.239999999</v>
      </c>
      <c r="AK56" s="62"/>
      <c r="AL56" s="62"/>
      <c r="AM56" s="62"/>
      <c r="AN56" s="62"/>
      <c r="AO56" s="62"/>
      <c r="AP56" s="62"/>
      <c r="AQ56" s="62">
        <f t="shared" si="49"/>
        <v>0</v>
      </c>
      <c r="AR56" s="62">
        <f t="shared" si="50"/>
        <v>0</v>
      </c>
      <c r="AS56" s="62">
        <f t="shared" si="51"/>
        <v>4307288.239999999</v>
      </c>
      <c r="AT56" s="59"/>
      <c r="AU56" s="234">
        <f t="shared" si="57"/>
        <v>23</v>
      </c>
      <c r="AV56" s="61" t="str">
        <f t="shared" si="53"/>
        <v>YAKUB</v>
      </c>
      <c r="AW56" s="60">
        <f t="shared" si="54"/>
        <v>4307288.239999999</v>
      </c>
      <c r="AX56" s="64"/>
      <c r="AY56" s="68"/>
      <c r="AZ56" s="68"/>
      <c r="BA56" s="72">
        <f>+VLOOKUP(C56,'tanda terima  (2)'!$C$4:$G$106,5,0)</f>
        <v>4307288.239999999</v>
      </c>
      <c r="BB56" s="59"/>
      <c r="BC56" s="58"/>
      <c r="BD56" s="58"/>
      <c r="BE56" s="58"/>
      <c r="BF56" s="58"/>
      <c r="BG56" s="105">
        <f>+VLOOKUP(C56,[1]ALL!$C$26:$AQ$91,40,0)</f>
        <v>0</v>
      </c>
    </row>
    <row r="57" s="51" customFormat="1">
      <c r="A57" s="80">
        <f t="shared" si="29"/>
        <v>24</v>
      </c>
      <c r="B57" s="54" t="s">
        <v>353</v>
      </c>
      <c r="C57" s="17" t="s">
        <v>103</v>
      </c>
      <c r="D57" s="54" t="s">
        <v>15</v>
      </c>
      <c r="E57" s="54" t="s">
        <v>17</v>
      </c>
      <c r="F57" s="54"/>
      <c r="G57" s="54">
        <v>23</v>
      </c>
      <c r="H57" s="139" t="str">
        <f t="shared" si="30"/>
        <v>PRORATE</v>
      </c>
      <c r="I57" s="126"/>
      <c r="J57" s="126"/>
      <c r="K57" s="126"/>
      <c r="L57" s="79">
        <f t="shared" si="55"/>
        <v>0</v>
      </c>
      <c r="M57" s="28">
        <f t="shared" si="32"/>
        <v>4139045.04</v>
      </c>
      <c r="N57" s="37">
        <f t="shared" si="33"/>
        <v>0</v>
      </c>
      <c r="O57" s="65"/>
      <c r="P57" s="78">
        <f t="shared" si="34"/>
        <v>234321.1716</v>
      </c>
      <c r="Q57" s="78">
        <f t="shared" si="35"/>
        <v>191673.76</v>
      </c>
      <c r="R57" s="78">
        <f t="shared" si="36"/>
        <v>95836.88</v>
      </c>
      <c r="S57" s="77">
        <f t="shared" si="37"/>
        <v>521831.8116</v>
      </c>
      <c r="T57" s="77">
        <v>374913.5</v>
      </c>
      <c r="U57" s="67"/>
      <c r="V57" s="79">
        <f t="shared" si="38"/>
        <v>4139045.04</v>
      </c>
      <c r="W57" s="53"/>
      <c r="X57" s="54"/>
      <c r="Y57" s="80">
        <f t="shared" si="39"/>
        <v>24</v>
      </c>
      <c r="Z57" s="76" t="str">
        <f t="shared" si="40"/>
        <v>MUHAMAD AMINNULLAH</v>
      </c>
      <c r="AA57" s="75" t="str">
        <f>+VLOOKUP(C57,[1]MILKRUN!$C$4:$R$70,16,0)</f>
        <v>L</v>
      </c>
      <c r="AB57" s="74">
        <f t="shared" si="41"/>
        <v>4139045.04</v>
      </c>
      <c r="AC57" s="74">
        <f t="shared" si="42"/>
        <v>95836.88</v>
      </c>
      <c r="AD57" s="74">
        <f t="shared" si="58"/>
        <v>47918.44</v>
      </c>
      <c r="AE57" s="74">
        <f t="shared" si="58"/>
        <v>47918.44</v>
      </c>
      <c r="AF57" s="74">
        <f t="shared" si="44"/>
        <v>3947371.2800000003</v>
      </c>
      <c r="AG57" s="74">
        <f t="shared" si="45"/>
        <v>4500000</v>
      </c>
      <c r="AH57" s="74">
        <f t="shared" si="46"/>
        <v>-552628.7199999997</v>
      </c>
      <c r="AI57" s="74">
        <f t="shared" si="56"/>
        <v>0</v>
      </c>
      <c r="AJ57" s="73">
        <f t="shared" si="48"/>
        <v>3947371.2800000003</v>
      </c>
      <c r="AK57" s="62"/>
      <c r="AL57" s="62"/>
      <c r="AM57" s="62"/>
      <c r="AN57" s="62"/>
      <c r="AO57" s="62"/>
      <c r="AP57" s="62"/>
      <c r="AQ57" s="62">
        <f t="shared" si="49"/>
        <v>0</v>
      </c>
      <c r="AR57" s="62">
        <f t="shared" si="50"/>
        <v>0</v>
      </c>
      <c r="AS57" s="62">
        <f t="shared" si="51"/>
        <v>3947371.2800000003</v>
      </c>
      <c r="AT57" s="72"/>
      <c r="AU57" s="71">
        <f t="shared" si="57"/>
        <v>24</v>
      </c>
      <c r="AV57" s="52" t="str">
        <f t="shared" si="53"/>
        <v>MUHAMAD AMINNULLAH</v>
      </c>
      <c r="AW57" s="60">
        <f t="shared" si="54"/>
        <v>3947371.2800000003</v>
      </c>
      <c r="AX57" s="69"/>
      <c r="AY57" s="54"/>
      <c r="AZ57" s="54"/>
      <c r="BA57" s="72">
        <f>+VLOOKUP(C57,'tanda terima  (2)'!$C$4:$G$106,5,0)</f>
        <v>3947371.2800000003</v>
      </c>
      <c r="BB57" s="72"/>
      <c r="BG57" s="105" t="e">
        <f>+VLOOKUP(C57,[1]ALL!$C$26:$AQ$91,40,0)</f>
        <v>#N/A</v>
      </c>
    </row>
    <row r="58" s="51" customFormat="1">
      <c r="A58" s="80">
        <f t="shared" si="29"/>
        <v>25</v>
      </c>
      <c r="B58" s="54" t="s">
        <v>354</v>
      </c>
      <c r="C58" s="17" t="s">
        <v>41</v>
      </c>
      <c r="D58" s="54" t="s">
        <v>15</v>
      </c>
      <c r="E58" s="54" t="s">
        <v>17</v>
      </c>
      <c r="F58" s="54"/>
      <c r="G58" s="54"/>
      <c r="H58" s="139" t="str">
        <f t="shared" si="30"/>
        <v>FULL</v>
      </c>
      <c r="I58" s="126"/>
      <c r="J58" s="126"/>
      <c r="K58" s="126"/>
      <c r="L58" s="79">
        <f t="shared" si="55"/>
        <v>0</v>
      </c>
      <c r="M58" s="28">
        <f t="shared" si="32"/>
        <v>4498962</v>
      </c>
      <c r="N58" s="37">
        <f t="shared" si="33"/>
        <v>0</v>
      </c>
      <c r="O58" s="65"/>
      <c r="P58" s="78">
        <f t="shared" si="34"/>
        <v>234321.1716</v>
      </c>
      <c r="Q58" s="78">
        <f t="shared" si="35"/>
        <v>191673.76</v>
      </c>
      <c r="R58" s="78">
        <f t="shared" si="36"/>
        <v>95836.88</v>
      </c>
      <c r="S58" s="77">
        <f t="shared" si="37"/>
        <v>521831.8116</v>
      </c>
      <c r="T58" s="77">
        <v>374913.5</v>
      </c>
      <c r="U58" s="67"/>
      <c r="V58" s="79">
        <f t="shared" si="38"/>
        <v>4498962</v>
      </c>
      <c r="W58" s="53"/>
      <c r="X58" s="54"/>
      <c r="Y58" s="80">
        <f t="shared" si="39"/>
        <v>25</v>
      </c>
      <c r="Z58" s="76" t="str">
        <f t="shared" si="40"/>
        <v>ATDI YUSHADI</v>
      </c>
      <c r="AA58" s="75" t="s">
        <v>216</v>
      </c>
      <c r="AB58" s="74">
        <f t="shared" si="41"/>
        <v>4498962</v>
      </c>
      <c r="AC58" s="74">
        <f t="shared" si="42"/>
        <v>95836.88</v>
      </c>
      <c r="AD58" s="74">
        <f t="shared" si="58"/>
        <v>47918.44</v>
      </c>
      <c r="AE58" s="74">
        <f t="shared" si="58"/>
        <v>47918.44</v>
      </c>
      <c r="AF58" s="74">
        <f t="shared" si="44"/>
        <v>4307288.239999999</v>
      </c>
      <c r="AG58" s="74">
        <f t="shared" si="45"/>
        <v>4875000</v>
      </c>
      <c r="AH58" s="74">
        <f t="shared" si="46"/>
        <v>-567711.7600000007</v>
      </c>
      <c r="AI58" s="74">
        <f t="shared" si="56"/>
        <v>0</v>
      </c>
      <c r="AJ58" s="73">
        <f t="shared" si="48"/>
        <v>4307288.239999999</v>
      </c>
      <c r="AK58" s="62"/>
      <c r="AL58" s="62"/>
      <c r="AM58" s="62"/>
      <c r="AN58" s="62"/>
      <c r="AO58" s="62"/>
      <c r="AP58" s="62"/>
      <c r="AQ58" s="62">
        <f t="shared" si="49"/>
        <v>0</v>
      </c>
      <c r="AR58" s="62">
        <f t="shared" si="50"/>
        <v>0</v>
      </c>
      <c r="AS58" s="62">
        <f t="shared" si="51"/>
        <v>4307288.239999999</v>
      </c>
      <c r="AT58" s="72"/>
      <c r="AU58" s="71">
        <f t="shared" si="57"/>
        <v>25</v>
      </c>
      <c r="AV58" s="52" t="str">
        <f t="shared" si="53"/>
        <v>ATDI YUSHADI</v>
      </c>
      <c r="AW58" s="60">
        <f t="shared" si="54"/>
        <v>4307288.239999999</v>
      </c>
      <c r="AX58" s="69"/>
      <c r="AY58" s="54"/>
      <c r="AZ58" s="54"/>
      <c r="BA58" s="72">
        <f>+VLOOKUP(C58,'tanda terima  (2)'!$C$4:$G$106,5,0)</f>
        <v>4307288.239999999</v>
      </c>
      <c r="BB58" s="72"/>
      <c r="BG58" s="105">
        <f>+VLOOKUP(C58,[1]ALL!$C$26:$AQ$91,40,0)</f>
        <v>0</v>
      </c>
    </row>
    <row r="59" s="51" customFormat="1">
      <c r="A59" s="80">
        <f t="shared" si="29"/>
        <v>26</v>
      </c>
      <c r="B59" s="54" t="s">
        <v>355</v>
      </c>
      <c r="C59" s="17" t="s">
        <v>114</v>
      </c>
      <c r="D59" s="54" t="s">
        <v>15</v>
      </c>
      <c r="E59" s="54" t="s">
        <v>17</v>
      </c>
      <c r="F59" s="54"/>
      <c r="G59" s="54"/>
      <c r="H59" s="139" t="str">
        <f t="shared" si="30"/>
        <v>FULL</v>
      </c>
      <c r="I59" s="126"/>
      <c r="J59" s="126"/>
      <c r="K59" s="126"/>
      <c r="L59" s="79">
        <f t="shared" si="55"/>
        <v>0</v>
      </c>
      <c r="M59" s="28">
        <f t="shared" si="32"/>
        <v>4498962</v>
      </c>
      <c r="N59" s="37">
        <f t="shared" si="33"/>
        <v>0</v>
      </c>
      <c r="O59" s="65"/>
      <c r="P59" s="78">
        <f t="shared" si="34"/>
        <v>234321.1716</v>
      </c>
      <c r="Q59" s="78">
        <f t="shared" si="35"/>
        <v>191673.76</v>
      </c>
      <c r="R59" s="78">
        <f t="shared" si="36"/>
        <v>95836.88</v>
      </c>
      <c r="S59" s="77">
        <f t="shared" si="37"/>
        <v>521831.8116</v>
      </c>
      <c r="T59" s="77">
        <v>374913.5</v>
      </c>
      <c r="U59" s="67"/>
      <c r="V59" s="79">
        <f t="shared" si="38"/>
        <v>4498962</v>
      </c>
      <c r="W59" s="53"/>
      <c r="X59" s="54"/>
      <c r="Y59" s="80">
        <f t="shared" si="39"/>
        <v>26</v>
      </c>
      <c r="Z59" s="76" t="str">
        <f t="shared" si="40"/>
        <v>RASDI SUMASDI </v>
      </c>
      <c r="AA59" s="75" t="str">
        <f>+VLOOKUP(C59,[1]MILKRUN!$C$4:$R$70,16,0)</f>
        <v>K1</v>
      </c>
      <c r="AB59" s="74">
        <f t="shared" si="41"/>
        <v>4498962</v>
      </c>
      <c r="AC59" s="74">
        <f t="shared" si="42"/>
        <v>95836.88</v>
      </c>
      <c r="AD59" s="74">
        <f t="shared" si="58"/>
        <v>47918.44</v>
      </c>
      <c r="AE59" s="74">
        <f t="shared" si="58"/>
        <v>47918.44</v>
      </c>
      <c r="AF59" s="74">
        <f t="shared" si="44"/>
        <v>4307288.239999999</v>
      </c>
      <c r="AG59" s="74">
        <f t="shared" si="45"/>
        <v>5250000</v>
      </c>
      <c r="AH59" s="74">
        <f t="shared" si="46"/>
        <v>-942711.7600000007</v>
      </c>
      <c r="AI59" s="74">
        <f t="shared" si="56"/>
        <v>0</v>
      </c>
      <c r="AJ59" s="73">
        <f t="shared" si="48"/>
        <v>4307288.239999999</v>
      </c>
      <c r="AK59" s="62"/>
      <c r="AL59" s="62"/>
      <c r="AM59" s="62"/>
      <c r="AN59" s="62"/>
      <c r="AO59" s="62"/>
      <c r="AP59" s="62"/>
      <c r="AQ59" s="62">
        <f t="shared" si="49"/>
        <v>0</v>
      </c>
      <c r="AR59" s="62">
        <f t="shared" si="50"/>
        <v>0</v>
      </c>
      <c r="AS59" s="62">
        <f t="shared" si="51"/>
        <v>4307288.239999999</v>
      </c>
      <c r="AT59" s="72"/>
      <c r="AU59" s="71">
        <f t="shared" si="57"/>
        <v>26</v>
      </c>
      <c r="AV59" s="52" t="str">
        <f t="shared" si="53"/>
        <v>RASDI SUMASDI </v>
      </c>
      <c r="AW59" s="60">
        <f t="shared" si="54"/>
        <v>4307288.239999999</v>
      </c>
      <c r="AX59" s="69"/>
      <c r="AY59" s="54"/>
      <c r="AZ59" s="54"/>
      <c r="BA59" s="72">
        <f>+VLOOKUP(C59,'tanda terima  (2)'!$C$4:$G$106,5,0)</f>
        <v>4307288.239999999</v>
      </c>
      <c r="BB59" s="72"/>
      <c r="BG59" s="105">
        <f>+VLOOKUP(C59,[1]ALL!$C$26:$AQ$91,40,0)</f>
        <v>0</v>
      </c>
    </row>
    <row r="60" s="51" customFormat="1">
      <c r="A60" s="80">
        <f t="shared" si="29"/>
        <v>27</v>
      </c>
      <c r="B60" s="54" t="s">
        <v>347</v>
      </c>
      <c r="C60" s="17" t="s">
        <v>112</v>
      </c>
      <c r="D60" s="54" t="s">
        <v>15</v>
      </c>
      <c r="E60" s="54" t="s">
        <v>17</v>
      </c>
      <c r="F60" s="54"/>
      <c r="G60" s="54">
        <v>23</v>
      </c>
      <c r="H60" s="139" t="str">
        <f t="shared" si="30"/>
        <v>PRORATE</v>
      </c>
      <c r="I60" s="126"/>
      <c r="J60" s="126"/>
      <c r="K60" s="126"/>
      <c r="L60" s="79">
        <f t="shared" si="55"/>
        <v>0</v>
      </c>
      <c r="M60" s="28">
        <f t="shared" si="32"/>
        <v>4139045.04</v>
      </c>
      <c r="N60" s="37">
        <f t="shared" si="33"/>
        <v>0</v>
      </c>
      <c r="O60" s="65"/>
      <c r="P60" s="78">
        <f t="shared" si="34"/>
        <v>234321.1716</v>
      </c>
      <c r="Q60" s="78">
        <f t="shared" si="35"/>
        <v>191673.76</v>
      </c>
      <c r="R60" s="78">
        <f t="shared" si="36"/>
        <v>95836.88</v>
      </c>
      <c r="S60" s="77">
        <f t="shared" si="37"/>
        <v>521831.8116</v>
      </c>
      <c r="T60" s="77">
        <v>374913.5</v>
      </c>
      <c r="U60" s="67"/>
      <c r="V60" s="79">
        <f t="shared" si="38"/>
        <v>4139045.04</v>
      </c>
      <c r="W60" s="53"/>
      <c r="X60" s="54"/>
      <c r="Y60" s="80">
        <f t="shared" si="39"/>
        <v>27</v>
      </c>
      <c r="Z60" s="76" t="str">
        <f t="shared" si="40"/>
        <v>RANO KARNO </v>
      </c>
      <c r="AA60" s="75" t="str">
        <f>+VLOOKUP(C60,[1]MILKRUN!$C$4:$R$70,16,0)</f>
        <v>K2</v>
      </c>
      <c r="AB60" s="74">
        <f t="shared" si="41"/>
        <v>4139045.04</v>
      </c>
      <c r="AC60" s="74">
        <f t="shared" si="42"/>
        <v>95836.88</v>
      </c>
      <c r="AD60" s="74">
        <f t="shared" si="58"/>
        <v>47918.44</v>
      </c>
      <c r="AE60" s="74">
        <f t="shared" si="58"/>
        <v>47918.44</v>
      </c>
      <c r="AF60" s="74">
        <f t="shared" si="44"/>
        <v>3947371.2800000003</v>
      </c>
      <c r="AG60" s="74">
        <f t="shared" si="45"/>
        <v>5625000</v>
      </c>
      <c r="AH60" s="74">
        <f t="shared" si="46"/>
        <v>-1677628.7199999997</v>
      </c>
      <c r="AI60" s="74">
        <f t="shared" si="56"/>
        <v>0</v>
      </c>
      <c r="AJ60" s="73">
        <f t="shared" si="48"/>
        <v>3947371.2800000003</v>
      </c>
      <c r="AK60" s="62"/>
      <c r="AL60" s="62"/>
      <c r="AM60" s="62"/>
      <c r="AN60" s="62"/>
      <c r="AO60" s="62"/>
      <c r="AP60" s="62"/>
      <c r="AQ60" s="62">
        <f t="shared" si="49"/>
        <v>0</v>
      </c>
      <c r="AR60" s="62">
        <f t="shared" si="50"/>
        <v>0</v>
      </c>
      <c r="AS60" s="62">
        <f t="shared" si="51"/>
        <v>3947371.2800000003</v>
      </c>
      <c r="AT60" s="72"/>
      <c r="AU60" s="71">
        <f t="shared" si="57"/>
        <v>27</v>
      </c>
      <c r="AV60" s="52" t="str">
        <f t="shared" si="53"/>
        <v>RANO KARNO </v>
      </c>
      <c r="AW60" s="60">
        <f t="shared" si="54"/>
        <v>3947371.2800000003</v>
      </c>
      <c r="AX60" s="69"/>
      <c r="AY60" s="54"/>
      <c r="AZ60" s="54"/>
      <c r="BA60" s="72">
        <f>+VLOOKUP(C60,'tanda terima  (2)'!$C$4:$G$106,5,0)</f>
        <v>3947371.2800000003</v>
      </c>
      <c r="BB60" s="72"/>
      <c r="BG60" s="105" t="s">
        <v>356</v>
      </c>
    </row>
    <row r="61" s="51" customFormat="1">
      <c r="A61" s="80">
        <f t="shared" si="29"/>
        <v>28</v>
      </c>
      <c r="B61" s="80" t="s">
        <v>357</v>
      </c>
      <c r="C61" s="17" t="s">
        <v>63</v>
      </c>
      <c r="D61" s="80" t="s">
        <v>15</v>
      </c>
      <c r="E61" s="80" t="s">
        <v>17</v>
      </c>
      <c r="F61" s="80"/>
      <c r="G61" s="80"/>
      <c r="H61" s="139" t="str">
        <f t="shared" si="30"/>
        <v>FULL</v>
      </c>
      <c r="I61" s="16"/>
      <c r="J61" s="16"/>
      <c r="K61" s="16"/>
      <c r="L61" s="79">
        <f t="shared" si="55"/>
        <v>0</v>
      </c>
      <c r="M61" s="28">
        <f t="shared" si="32"/>
        <v>4498962</v>
      </c>
      <c r="N61" s="37">
        <f t="shared" si="33"/>
        <v>0</v>
      </c>
      <c r="O61" s="65"/>
      <c r="P61" s="78">
        <f t="shared" si="34"/>
        <v>234321.1716</v>
      </c>
      <c r="Q61" s="78">
        <f t="shared" si="35"/>
        <v>191673.76</v>
      </c>
      <c r="R61" s="78">
        <f t="shared" si="36"/>
        <v>95836.88</v>
      </c>
      <c r="S61" s="77">
        <f t="shared" si="37"/>
        <v>521831.8116</v>
      </c>
      <c r="T61" s="77">
        <v>374913.5</v>
      </c>
      <c r="U61" s="67"/>
      <c r="V61" s="79">
        <f t="shared" si="38"/>
        <v>4498962</v>
      </c>
      <c r="W61" s="79"/>
      <c r="X61" s="80"/>
      <c r="Y61" s="80">
        <f t="shared" si="39"/>
        <v>28</v>
      </c>
      <c r="Z61" s="76" t="str">
        <f t="shared" si="40"/>
        <v>FAHMI MATROTIN</v>
      </c>
      <c r="AA61" s="75" t="s">
        <v>216</v>
      </c>
      <c r="AB61" s="74">
        <f t="shared" si="41"/>
        <v>4498962</v>
      </c>
      <c r="AC61" s="74">
        <f t="shared" si="42"/>
        <v>95836.88</v>
      </c>
      <c r="AD61" s="74">
        <f t="shared" si="58"/>
        <v>47918.44</v>
      </c>
      <c r="AE61" s="74">
        <f t="shared" si="58"/>
        <v>47918.44</v>
      </c>
      <c r="AF61" s="74">
        <f t="shared" si="44"/>
        <v>4307288.239999999</v>
      </c>
      <c r="AG61" s="74">
        <f t="shared" si="45"/>
        <v>4875000</v>
      </c>
      <c r="AH61" s="74">
        <f t="shared" si="46"/>
        <v>-567711.7600000007</v>
      </c>
      <c r="AI61" s="74">
        <f t="shared" si="56"/>
        <v>0</v>
      </c>
      <c r="AJ61" s="73">
        <f t="shared" si="48"/>
        <v>4307288.239999999</v>
      </c>
      <c r="AK61" s="62"/>
      <c r="AL61" s="62"/>
      <c r="AM61" s="62"/>
      <c r="AN61" s="62"/>
      <c r="AO61" s="62"/>
      <c r="AP61" s="62"/>
      <c r="AQ61" s="62">
        <f t="shared" si="49"/>
        <v>0</v>
      </c>
      <c r="AR61" s="62">
        <f t="shared" si="50"/>
        <v>0</v>
      </c>
      <c r="AS61" s="62">
        <f t="shared" si="51"/>
        <v>4307288.239999999</v>
      </c>
      <c r="AT61" s="72"/>
      <c r="AU61" s="71">
        <f t="shared" si="57"/>
        <v>28</v>
      </c>
      <c r="AV61" s="70" t="str">
        <f t="shared" si="53"/>
        <v>FAHMI MATROTIN</v>
      </c>
      <c r="AW61" s="60">
        <f t="shared" si="54"/>
        <v>4307288.239999999</v>
      </c>
      <c r="AX61" s="69"/>
      <c r="AY61" s="80"/>
      <c r="AZ61" s="80"/>
      <c r="BA61" s="72">
        <f>+VLOOKUP(C61,'tanda terima  (2)'!$C$4:$G$106,5,0)</f>
        <v>4307288.239999999</v>
      </c>
      <c r="BB61" s="72"/>
      <c r="BC61" s="105"/>
      <c r="BD61" s="105"/>
      <c r="BE61" s="105"/>
      <c r="BF61" s="105"/>
      <c r="BG61" s="105" t="s">
        <v>344</v>
      </c>
    </row>
    <row r="62" s="51" customFormat="1">
      <c r="A62" s="80">
        <f t="shared" si="29"/>
        <v>29</v>
      </c>
      <c r="B62" s="54" t="s">
        <v>332</v>
      </c>
      <c r="C62" s="17" t="s">
        <v>73</v>
      </c>
      <c r="D62" s="54" t="s">
        <v>15</v>
      </c>
      <c r="E62" s="54" t="s">
        <v>17</v>
      </c>
      <c r="F62" s="54"/>
      <c r="G62" s="54"/>
      <c r="H62" s="139" t="str">
        <f t="shared" si="30"/>
        <v>FULL</v>
      </c>
      <c r="I62" s="126"/>
      <c r="J62" s="126"/>
      <c r="K62" s="126"/>
      <c r="L62" s="79">
        <f t="shared" si="55"/>
        <v>0</v>
      </c>
      <c r="M62" s="28">
        <f t="shared" si="32"/>
        <v>4498962</v>
      </c>
      <c r="N62" s="37">
        <f t="shared" si="33"/>
        <v>0</v>
      </c>
      <c r="O62" s="65"/>
      <c r="P62" s="78">
        <f t="shared" si="34"/>
        <v>234321.1716</v>
      </c>
      <c r="Q62" s="78">
        <f t="shared" si="35"/>
        <v>191673.76</v>
      </c>
      <c r="R62" s="78">
        <f t="shared" si="36"/>
        <v>95836.88</v>
      </c>
      <c r="S62" s="77">
        <f t="shared" si="37"/>
        <v>521831.8116</v>
      </c>
      <c r="T62" s="77">
        <v>374913.5</v>
      </c>
      <c r="U62" s="67"/>
      <c r="V62" s="79">
        <f t="shared" si="38"/>
        <v>4498962</v>
      </c>
      <c r="W62" s="53"/>
      <c r="X62" s="54"/>
      <c r="Y62" s="80">
        <f t="shared" si="39"/>
        <v>29</v>
      </c>
      <c r="Z62" s="76" t="str">
        <f t="shared" si="40"/>
        <v>HERI PRASETIO </v>
      </c>
      <c r="AA62" s="75" t="s">
        <v>216</v>
      </c>
      <c r="AB62" s="74">
        <f t="shared" si="41"/>
        <v>4498962</v>
      </c>
      <c r="AC62" s="74">
        <f t="shared" si="42"/>
        <v>95836.88</v>
      </c>
      <c r="AD62" s="74">
        <f t="shared" si="58"/>
        <v>47918.44</v>
      </c>
      <c r="AE62" s="74">
        <f t="shared" si="58"/>
        <v>47918.44</v>
      </c>
      <c r="AF62" s="74">
        <f t="shared" si="44"/>
        <v>4307288.239999999</v>
      </c>
      <c r="AG62" s="74">
        <f t="shared" si="45"/>
        <v>4875000</v>
      </c>
      <c r="AH62" s="74">
        <f t="shared" si="46"/>
        <v>-567711.7600000007</v>
      </c>
      <c r="AI62" s="74">
        <f t="shared" si="56"/>
        <v>0</v>
      </c>
      <c r="AJ62" s="73">
        <f t="shared" si="48"/>
        <v>4307288.239999999</v>
      </c>
      <c r="AK62" s="62"/>
      <c r="AL62" s="62"/>
      <c r="AM62" s="62"/>
      <c r="AN62" s="62"/>
      <c r="AO62" s="62"/>
      <c r="AP62" s="218">
        <v>97000</v>
      </c>
      <c r="AQ62" s="62">
        <f t="shared" si="49"/>
        <v>0</v>
      </c>
      <c r="AR62" s="62">
        <f t="shared" si="50"/>
        <v>97000</v>
      </c>
      <c r="AS62" s="62">
        <f t="shared" si="51"/>
        <v>4210288.239999999</v>
      </c>
      <c r="AT62" s="72"/>
      <c r="AU62" s="71">
        <f t="shared" si="57"/>
        <v>29</v>
      </c>
      <c r="AV62" s="52" t="str">
        <f t="shared" si="53"/>
        <v>HERI PRASETIO </v>
      </c>
      <c r="AW62" s="60">
        <f t="shared" si="54"/>
        <v>4210288.239999999</v>
      </c>
      <c r="AX62" s="69"/>
      <c r="AY62" s="54"/>
      <c r="AZ62" s="54"/>
      <c r="BA62" s="72">
        <f>+VLOOKUP(C62,'tanda terima  (2)'!$C$4:$G$106,5,0)</f>
        <v>4210288.239999999</v>
      </c>
      <c r="BB62" s="72"/>
      <c r="BG62" s="105" t="s">
        <v>346</v>
      </c>
    </row>
    <row r="63" s="51" customFormat="1">
      <c r="A63" s="80">
        <f t="shared" si="29"/>
        <v>30</v>
      </c>
      <c r="B63" s="54" t="s">
        <v>358</v>
      </c>
      <c r="C63" s="17" t="s">
        <v>136</v>
      </c>
      <c r="D63" s="54" t="s">
        <v>15</v>
      </c>
      <c r="E63" s="54" t="s">
        <v>17</v>
      </c>
      <c r="F63" s="54"/>
      <c r="G63" s="54"/>
      <c r="H63" s="139" t="str">
        <f t="shared" si="30"/>
        <v>FULL</v>
      </c>
      <c r="I63" s="126"/>
      <c r="J63" s="126"/>
      <c r="K63" s="126"/>
      <c r="L63" s="79">
        <f t="shared" si="55"/>
        <v>0</v>
      </c>
      <c r="M63" s="28">
        <f t="shared" si="32"/>
        <v>4498962</v>
      </c>
      <c r="N63" s="37">
        <f t="shared" si="33"/>
        <v>0</v>
      </c>
      <c r="O63" s="65"/>
      <c r="P63" s="78">
        <f t="shared" si="34"/>
        <v>234321.1716</v>
      </c>
      <c r="Q63" s="78">
        <f t="shared" si="35"/>
        <v>191673.76</v>
      </c>
      <c r="R63" s="78">
        <f t="shared" si="36"/>
        <v>95836.88</v>
      </c>
      <c r="S63" s="77">
        <f t="shared" si="37"/>
        <v>521831.8116</v>
      </c>
      <c r="T63" s="77">
        <v>374913.5</v>
      </c>
      <c r="U63" s="67"/>
      <c r="V63" s="79">
        <f t="shared" si="38"/>
        <v>4498962</v>
      </c>
      <c r="W63" s="53"/>
      <c r="X63" s="54"/>
      <c r="Y63" s="80">
        <f t="shared" si="39"/>
        <v>30</v>
      </c>
      <c r="Z63" s="76" t="str">
        <f t="shared" si="40"/>
        <v>SURYANA</v>
      </c>
      <c r="AA63" s="75" t="str">
        <f>+VLOOKUP(C63,[1]MILKRUN!$C$4:$R$70,16,0)</f>
        <v>K2</v>
      </c>
      <c r="AB63" s="74">
        <f t="shared" si="41"/>
        <v>4498962</v>
      </c>
      <c r="AC63" s="74">
        <f t="shared" si="42"/>
        <v>95836.88</v>
      </c>
      <c r="AD63" s="74">
        <f t="shared" si="58"/>
        <v>47918.44</v>
      </c>
      <c r="AE63" s="74">
        <f t="shared" si="58"/>
        <v>47918.44</v>
      </c>
      <c r="AF63" s="74">
        <f t="shared" si="44"/>
        <v>4307288.239999999</v>
      </c>
      <c r="AG63" s="74">
        <f t="shared" si="45"/>
        <v>5625000</v>
      </c>
      <c r="AH63" s="74">
        <f t="shared" si="46"/>
        <v>-1317711.7600000007</v>
      </c>
      <c r="AI63" s="74">
        <f t="shared" si="56"/>
        <v>0</v>
      </c>
      <c r="AJ63" s="73">
        <f t="shared" si="48"/>
        <v>4307288.239999999</v>
      </c>
      <c r="AK63" s="62"/>
      <c r="AL63" s="62"/>
      <c r="AM63" s="62"/>
      <c r="AN63" s="62"/>
      <c r="AO63" s="62"/>
      <c r="AP63" s="62"/>
      <c r="AQ63" s="62">
        <f t="shared" si="49"/>
        <v>0</v>
      </c>
      <c r="AR63" s="62">
        <f t="shared" si="50"/>
        <v>0</v>
      </c>
      <c r="AS63" s="62">
        <f t="shared" si="51"/>
        <v>4307288.239999999</v>
      </c>
      <c r="AT63" s="72"/>
      <c r="AU63" s="71">
        <f t="shared" si="57"/>
        <v>30</v>
      </c>
      <c r="AV63" s="52" t="str">
        <f t="shared" si="53"/>
        <v>SURYANA</v>
      </c>
      <c r="AW63" s="60">
        <f t="shared" si="54"/>
        <v>4307288.239999999</v>
      </c>
      <c r="AX63" s="69"/>
      <c r="AY63" s="54"/>
      <c r="AZ63" s="54"/>
      <c r="BA63" s="72">
        <f>+VLOOKUP(C63,'tanda terima  (2)'!$C$4:$G$106,5,0)</f>
        <v>4307288.239999999</v>
      </c>
      <c r="BB63" s="72"/>
      <c r="BG63" s="105">
        <f>+VLOOKUP(C63,[1]ALL!$C$26:$AQ$91,40,0)</f>
        <v>0</v>
      </c>
    </row>
    <row r="64" s="51" customFormat="1">
      <c r="A64" s="80">
        <f t="shared" si="29"/>
        <v>31</v>
      </c>
      <c r="B64" s="68" t="s">
        <v>359</v>
      </c>
      <c r="C64" s="17" t="s">
        <v>140</v>
      </c>
      <c r="D64" s="68" t="s">
        <v>15</v>
      </c>
      <c r="E64" s="68" t="s">
        <v>17</v>
      </c>
      <c r="F64" s="68"/>
      <c r="G64" s="68"/>
      <c r="H64" s="139" t="str">
        <f t="shared" si="30"/>
        <v>FULL</v>
      </c>
      <c r="I64" s="28"/>
      <c r="J64" s="28"/>
      <c r="K64" s="28"/>
      <c r="L64" s="67">
        <f t="shared" si="55"/>
        <v>0</v>
      </c>
      <c r="M64" s="28">
        <f t="shared" si="32"/>
        <v>4498962</v>
      </c>
      <c r="N64" s="37">
        <f t="shared" si="33"/>
        <v>0</v>
      </c>
      <c r="O64" s="65"/>
      <c r="P64" s="66">
        <f t="shared" si="34"/>
        <v>234321.1716</v>
      </c>
      <c r="Q64" s="66">
        <f t="shared" si="35"/>
        <v>191673.76</v>
      </c>
      <c r="R64" s="66">
        <f t="shared" si="36"/>
        <v>95836.88</v>
      </c>
      <c r="S64" s="65">
        <f t="shared" si="37"/>
        <v>521831.8116</v>
      </c>
      <c r="T64" s="77">
        <v>374913.5</v>
      </c>
      <c r="U64" s="67"/>
      <c r="V64" s="67">
        <f t="shared" si="38"/>
        <v>4498962</v>
      </c>
      <c r="W64" s="67"/>
      <c r="X64" s="68"/>
      <c r="Y64" s="68">
        <f t="shared" si="39"/>
        <v>31</v>
      </c>
      <c r="Z64" s="233" t="str">
        <f t="shared" si="40"/>
        <v>TANTOSO </v>
      </c>
      <c r="AA64" s="75" t="s">
        <v>216</v>
      </c>
      <c r="AB64" s="63">
        <f t="shared" si="41"/>
        <v>4498962</v>
      </c>
      <c r="AC64" s="63">
        <f t="shared" si="42"/>
        <v>95836.88</v>
      </c>
      <c r="AD64" s="74">
        <f t="shared" si="58"/>
        <v>47918.44</v>
      </c>
      <c r="AE64" s="63">
        <f t="shared" si="58"/>
        <v>47918.44</v>
      </c>
      <c r="AF64" s="63">
        <f t="shared" si="44"/>
        <v>4307288.239999999</v>
      </c>
      <c r="AG64" s="63">
        <f t="shared" si="45"/>
        <v>4875000</v>
      </c>
      <c r="AH64" s="63">
        <f t="shared" si="46"/>
        <v>-567711.7600000007</v>
      </c>
      <c r="AI64" s="63">
        <f t="shared" si="56"/>
        <v>0</v>
      </c>
      <c r="AJ64" s="62">
        <f t="shared" si="48"/>
        <v>4307288.239999999</v>
      </c>
      <c r="AK64" s="62"/>
      <c r="AL64" s="62"/>
      <c r="AM64" s="62"/>
      <c r="AN64" s="62"/>
      <c r="AO64" s="62"/>
      <c r="AP64" s="62"/>
      <c r="AQ64" s="62">
        <f t="shared" si="49"/>
        <v>0</v>
      </c>
      <c r="AR64" s="62">
        <f t="shared" si="50"/>
        <v>0</v>
      </c>
      <c r="AS64" s="62">
        <f t="shared" si="51"/>
        <v>4307288.239999999</v>
      </c>
      <c r="AT64" s="59"/>
      <c r="AU64" s="234">
        <f t="shared" si="57"/>
        <v>31</v>
      </c>
      <c r="AV64" s="61" t="str">
        <f t="shared" si="53"/>
        <v>TANTOSO </v>
      </c>
      <c r="AW64" s="60">
        <f t="shared" si="54"/>
        <v>4307288.239999999</v>
      </c>
      <c r="AX64" s="64"/>
      <c r="AY64" s="68"/>
      <c r="AZ64" s="68"/>
      <c r="BA64" s="72">
        <f>+VLOOKUP(C64,'tanda terima  (2)'!$C$4:$G$106,5,0)</f>
        <v>4307288.239999999</v>
      </c>
      <c r="BB64" s="59"/>
      <c r="BC64" s="58"/>
      <c r="BD64" s="58"/>
      <c r="BE64" s="58"/>
      <c r="BF64" s="58"/>
      <c r="BG64" s="105">
        <f>+VLOOKUP(C64,[1]ALL!$C$26:$AQ$91,40,0)</f>
        <v>0</v>
      </c>
    </row>
    <row r="65" s="51" customFormat="1">
      <c r="A65" s="80">
        <f t="shared" si="29"/>
        <v>32</v>
      </c>
      <c r="B65" s="54" t="s">
        <v>360</v>
      </c>
      <c r="C65" s="17" t="s">
        <v>85</v>
      </c>
      <c r="D65" s="54" t="s">
        <v>15</v>
      </c>
      <c r="E65" s="54" t="s">
        <v>17</v>
      </c>
      <c r="F65" s="54"/>
      <c r="G65" s="54"/>
      <c r="H65" s="139" t="str">
        <f t="shared" si="30"/>
        <v>FULL</v>
      </c>
      <c r="I65" s="126"/>
      <c r="J65" s="126"/>
      <c r="K65" s="126"/>
      <c r="L65" s="79">
        <f t="shared" si="55"/>
        <v>0</v>
      </c>
      <c r="M65" s="28">
        <f t="shared" si="32"/>
        <v>4498962</v>
      </c>
      <c r="N65" s="37">
        <f t="shared" si="33"/>
        <v>0</v>
      </c>
      <c r="O65" s="65"/>
      <c r="P65" s="78">
        <f t="shared" si="34"/>
        <v>234321.1716</v>
      </c>
      <c r="Q65" s="78">
        <f t="shared" si="35"/>
        <v>191673.76</v>
      </c>
      <c r="R65" s="78">
        <f t="shared" si="36"/>
        <v>95836.88</v>
      </c>
      <c r="S65" s="77">
        <f t="shared" si="37"/>
        <v>521831.8116</v>
      </c>
      <c r="T65" s="77">
        <v>374913.5</v>
      </c>
      <c r="U65" s="67"/>
      <c r="V65" s="79">
        <f t="shared" si="38"/>
        <v>4498962</v>
      </c>
      <c r="W65" s="53"/>
      <c r="X65" s="54"/>
      <c r="Y65" s="80">
        <f t="shared" si="39"/>
        <v>32</v>
      </c>
      <c r="Z65" s="76" t="str">
        <f t="shared" si="40"/>
        <v>IRFAN SEPTIAN </v>
      </c>
      <c r="AA65" s="75" t="s">
        <v>216</v>
      </c>
      <c r="AB65" s="74">
        <f t="shared" si="41"/>
        <v>4498962</v>
      </c>
      <c r="AC65" s="74">
        <f t="shared" si="42"/>
        <v>95836.88</v>
      </c>
      <c r="AD65" s="74">
        <f t="shared" si="58"/>
        <v>47918.44</v>
      </c>
      <c r="AE65" s="74">
        <f t="shared" si="58"/>
        <v>47918.44</v>
      </c>
      <c r="AF65" s="74">
        <f t="shared" si="44"/>
        <v>4307288.239999999</v>
      </c>
      <c r="AG65" s="74">
        <f t="shared" si="45"/>
        <v>4875000</v>
      </c>
      <c r="AH65" s="74">
        <f t="shared" si="46"/>
        <v>-567711.7600000007</v>
      </c>
      <c r="AI65" s="74">
        <f t="shared" si="56"/>
        <v>0</v>
      </c>
      <c r="AJ65" s="73">
        <f t="shared" si="48"/>
        <v>4307288.239999999</v>
      </c>
      <c r="AK65" s="62"/>
      <c r="AL65" s="62"/>
      <c r="AM65" s="33"/>
      <c r="AN65" s="62"/>
      <c r="AO65" s="62"/>
      <c r="AP65" s="62"/>
      <c r="AQ65" s="62">
        <f t="shared" si="49"/>
        <v>0</v>
      </c>
      <c r="AR65" s="62">
        <f t="shared" si="50"/>
        <v>0</v>
      </c>
      <c r="AS65" s="62">
        <f t="shared" si="51"/>
        <v>4307288.239999999</v>
      </c>
      <c r="AT65" s="72"/>
      <c r="AU65" s="71">
        <f t="shared" si="57"/>
        <v>32</v>
      </c>
      <c r="AV65" s="52" t="str">
        <f t="shared" si="53"/>
        <v>IRFAN SEPTIAN </v>
      </c>
      <c r="AW65" s="60">
        <f t="shared" si="54"/>
        <v>4307288.239999999</v>
      </c>
      <c r="AX65" s="69"/>
      <c r="AY65" s="54"/>
      <c r="AZ65" s="54"/>
      <c r="BA65" s="72">
        <f>+VLOOKUP(C65,'tanda terima  (2)'!$C$4:$G$106,5,0)</f>
        <v>4307288.239999999</v>
      </c>
      <c r="BB65" s="72"/>
      <c r="BG65" s="105">
        <f>+VLOOKUP(C65,[1]ALL!$C$26:$AQ$91,40,0)</f>
        <v>0</v>
      </c>
    </row>
    <row r="66" s="51" customFormat="1">
      <c r="A66" s="80">
        <f ref="A66:A97" t="shared" si="59">+A65+1</f>
        <v>33</v>
      </c>
      <c r="B66" s="54" t="s">
        <v>361</v>
      </c>
      <c r="C66" s="17" t="s">
        <v>87</v>
      </c>
      <c r="D66" s="54" t="s">
        <v>15</v>
      </c>
      <c r="E66" s="54" t="s">
        <v>17</v>
      </c>
      <c r="F66" s="54"/>
      <c r="G66" s="54"/>
      <c r="H66" s="139" t="str">
        <f ref="H66:H97" t="shared" si="60">+IF(G66&gt;=1,"PRORATE",IF(G66=0,"FULL"))</f>
        <v>FULL</v>
      </c>
      <c r="I66" s="126"/>
      <c r="J66" s="126"/>
      <c r="K66" s="126"/>
      <c r="L66" s="79">
        <f t="shared" si="55"/>
        <v>0</v>
      </c>
      <c r="M66" s="28">
        <f ref="M66:M97" t="shared" si="61">+IF(G66&gt;=1,$N$4*G66,IF(L66=0,4498962))</f>
        <v>4498962</v>
      </c>
      <c r="N66" s="37">
        <f ref="N66:N97" t="shared" si="62">+F66*100000</f>
        <v>0</v>
      </c>
      <c r="O66" s="65"/>
      <c r="P66" s="78">
        <f ref="P66:P97" t="shared" si="63">0.0489*4791844</f>
        <v>234321.1716</v>
      </c>
      <c r="Q66" s="78">
        <f ref="Q66:Q97" t="shared" si="64">0.04*4791844</f>
        <v>191673.76</v>
      </c>
      <c r="R66" s="78">
        <f ref="R66:R97" t="shared" si="65">4791844*2%</f>
        <v>95836.88</v>
      </c>
      <c r="S66" s="77">
        <f ref="S66:S97" t="shared" si="66">SUM(P66:R66)</f>
        <v>521831.8116</v>
      </c>
      <c r="T66" s="77">
        <v>374913.5</v>
      </c>
      <c r="U66" s="67"/>
      <c r="V66" s="79">
        <f ref="V66:V97" t="shared" si="67">+M66+N66+O66+U66</f>
        <v>4498962</v>
      </c>
      <c r="W66" s="53"/>
      <c r="X66" s="54"/>
      <c r="Y66" s="80">
        <f ref="Y66:Y97" t="shared" si="68">+A66</f>
        <v>33</v>
      </c>
      <c r="Z66" s="76" t="str">
        <f ref="Z66:Z97" t="shared" si="69">+C66</f>
        <v>IRFANI</v>
      </c>
      <c r="AA66" s="75" t="str">
        <f>+VLOOKUP(C66,[1]MILKRUN!$C$4:$R$70,16,0)</f>
        <v>L</v>
      </c>
      <c r="AB66" s="74">
        <f ref="AB66:AB97" t="shared" si="70">+M66+N66+O66+U66</f>
        <v>4498962</v>
      </c>
      <c r="AC66" s="74">
        <f ref="AC66:AC97" t="shared" si="71">4791844*2%</f>
        <v>95836.88</v>
      </c>
      <c r="AD66" s="74">
        <f t="shared" si="58"/>
        <v>47918.44</v>
      </c>
      <c r="AE66" s="74">
        <f t="shared" si="58"/>
        <v>47918.44</v>
      </c>
      <c r="AF66" s="74">
        <f ref="AF66:AF97" t="shared" si="72">+AB66-AC66-AD66-AE66</f>
        <v>4307288.239999999</v>
      </c>
      <c r="AG66" s="74">
        <f ref="AG66:AG97" t="shared" si="73">VLOOKUP(AA66,$AC$1:$AD$5,2,0)</f>
        <v>4500000</v>
      </c>
      <c r="AH66" s="74">
        <f ref="AH66:AH97" t="shared" si="74">+AF66-AG66</f>
        <v>-192711.7600000007</v>
      </c>
      <c r="AI66" s="74">
        <f t="shared" si="56"/>
        <v>0</v>
      </c>
      <c r="AJ66" s="73">
        <f ref="AJ66:AJ97" t="shared" si="75">+AB66-AC66-AD66-AE66-AI66</f>
        <v>4307288.239999999</v>
      </c>
      <c r="AK66" s="62"/>
      <c r="AL66" s="62"/>
      <c r="AM66" s="62"/>
      <c r="AN66" s="62">
        <v>200000</v>
      </c>
      <c r="AO66" s="62"/>
      <c r="AP66" s="62"/>
      <c r="AQ66" s="62">
        <f ref="AQ66:AQ84" t="shared" si="76">+J66*150000</f>
        <v>0</v>
      </c>
      <c r="AR66" s="62">
        <f ref="AR66:AR97" t="shared" si="77">SUM(AK66:AQ66)</f>
        <v>200000</v>
      </c>
      <c r="AS66" s="62">
        <f ref="AS66:AS97" t="shared" si="78">+AJ66-AK66-AL66-AM66-AP66-AO66-AN66-AQ66</f>
        <v>4107288.2399999993</v>
      </c>
      <c r="AT66" s="72"/>
      <c r="AU66" s="71">
        <f t="shared" si="57"/>
        <v>33</v>
      </c>
      <c r="AV66" s="52" t="str">
        <f ref="AV66:AV97" t="shared" si="79">+C66</f>
        <v>IRFANI</v>
      </c>
      <c r="AW66" s="60">
        <f ref="AW66:AW97" t="shared" si="80">+AS66</f>
        <v>4107288.2399999993</v>
      </c>
      <c r="AX66" s="69"/>
      <c r="AY66" s="54"/>
      <c r="AZ66" s="54"/>
      <c r="BA66" s="72">
        <f>+VLOOKUP(C66,'tanda terima  (2)'!$C$4:$G$106,5,0)</f>
        <v>4107288.2399999993</v>
      </c>
      <c r="BB66" s="72"/>
      <c r="BG66" s="105" t="s">
        <v>353</v>
      </c>
    </row>
    <row r="67" s="51" customFormat="1">
      <c r="A67" s="80">
        <f t="shared" si="59"/>
        <v>34</v>
      </c>
      <c r="B67" s="255" t="s">
        <v>362</v>
      </c>
      <c r="C67" s="17" t="s">
        <v>144</v>
      </c>
      <c r="D67" s="68" t="s">
        <v>15</v>
      </c>
      <c r="E67" s="68" t="s">
        <v>17</v>
      </c>
      <c r="F67" s="68"/>
      <c r="G67" s="68"/>
      <c r="H67" s="139" t="str">
        <f t="shared" si="60"/>
        <v>FULL</v>
      </c>
      <c r="I67" s="28"/>
      <c r="J67" s="28"/>
      <c r="K67" s="28"/>
      <c r="L67" s="67">
        <f t="shared" si="55"/>
        <v>0</v>
      </c>
      <c r="M67" s="28">
        <f t="shared" si="61"/>
        <v>4498962</v>
      </c>
      <c r="N67" s="37">
        <f t="shared" si="62"/>
        <v>0</v>
      </c>
      <c r="O67" s="65"/>
      <c r="P67" s="66">
        <f t="shared" si="63"/>
        <v>234321.1716</v>
      </c>
      <c r="Q67" s="66">
        <f t="shared" si="64"/>
        <v>191673.76</v>
      </c>
      <c r="R67" s="66">
        <f t="shared" si="65"/>
        <v>95836.88</v>
      </c>
      <c r="S67" s="65">
        <f t="shared" si="66"/>
        <v>521831.8116</v>
      </c>
      <c r="T67" s="77">
        <v>374913.5</v>
      </c>
      <c r="U67" s="67"/>
      <c r="V67" s="67">
        <f t="shared" si="67"/>
        <v>4498962</v>
      </c>
      <c r="W67" s="67"/>
      <c r="X67" s="68"/>
      <c r="Y67" s="68">
        <f t="shared" si="68"/>
        <v>34</v>
      </c>
      <c r="Z67" s="233" t="str">
        <f t="shared" si="69"/>
        <v>VICKY ARMEDO PRASETYO</v>
      </c>
      <c r="AA67" s="75" t="str">
        <f>+VLOOKUP(C67,[1]MILKRUN!$C$4:$R$70,16,0)</f>
        <v>L</v>
      </c>
      <c r="AB67" s="63">
        <f t="shared" si="70"/>
        <v>4498962</v>
      </c>
      <c r="AC67" s="63">
        <f t="shared" si="71"/>
        <v>95836.88</v>
      </c>
      <c r="AD67" s="74">
        <f t="shared" si="58"/>
        <v>47918.44</v>
      </c>
      <c r="AE67" s="63">
        <f t="shared" si="58"/>
        <v>47918.44</v>
      </c>
      <c r="AF67" s="63">
        <f t="shared" si="72"/>
        <v>4307288.239999999</v>
      </c>
      <c r="AG67" s="63">
        <f t="shared" si="73"/>
        <v>4500000</v>
      </c>
      <c r="AH67" s="63">
        <f t="shared" si="74"/>
        <v>-192711.7600000007</v>
      </c>
      <c r="AI67" s="63">
        <f t="shared" si="56"/>
        <v>0</v>
      </c>
      <c r="AJ67" s="62">
        <f t="shared" si="75"/>
        <v>4307288.239999999</v>
      </c>
      <c r="AK67" s="62"/>
      <c r="AL67" s="62"/>
      <c r="AM67" s="62"/>
      <c r="AN67" s="62"/>
      <c r="AO67" s="62"/>
      <c r="AP67" s="62"/>
      <c r="AQ67" s="62">
        <f t="shared" si="76"/>
        <v>0</v>
      </c>
      <c r="AR67" s="62">
        <f t="shared" si="77"/>
        <v>0</v>
      </c>
      <c r="AS67" s="62">
        <f t="shared" si="78"/>
        <v>4307288.239999999</v>
      </c>
      <c r="AT67" s="59"/>
      <c r="AU67" s="234">
        <f t="shared" si="57"/>
        <v>34</v>
      </c>
      <c r="AV67" s="61" t="str">
        <f t="shared" si="79"/>
        <v>VICKY ARMEDO PRASETYO</v>
      </c>
      <c r="AW67" s="60">
        <f t="shared" si="80"/>
        <v>4307288.239999999</v>
      </c>
      <c r="AX67" s="64"/>
      <c r="AY67" s="68"/>
      <c r="AZ67" s="68"/>
      <c r="BA67" s="72">
        <f>+VLOOKUP(C67,'tanda terima  (2)'!$C$4:$G$106,5,0)</f>
        <v>4307288.239999999</v>
      </c>
      <c r="BB67" s="59"/>
      <c r="BC67" s="58"/>
      <c r="BD67" s="58"/>
      <c r="BE67" s="58"/>
      <c r="BF67" s="58"/>
      <c r="BG67" s="105" t="s">
        <v>363</v>
      </c>
    </row>
    <row r="68" s="51" customFormat="1">
      <c r="A68" s="80">
        <f t="shared" si="59"/>
        <v>35</v>
      </c>
      <c r="B68" s="54" t="s">
        <v>329</v>
      </c>
      <c r="C68" s="17" t="s">
        <v>30</v>
      </c>
      <c r="D68" s="54" t="s">
        <v>15</v>
      </c>
      <c r="E68" s="54" t="s">
        <v>17</v>
      </c>
      <c r="F68" s="54"/>
      <c r="G68" s="54"/>
      <c r="H68" s="139" t="str">
        <f t="shared" si="60"/>
        <v>FULL</v>
      </c>
      <c r="I68" s="126"/>
      <c r="J68" s="126"/>
      <c r="K68" s="126"/>
      <c r="L68" s="79">
        <f t="shared" si="55"/>
        <v>0</v>
      </c>
      <c r="M68" s="28">
        <f t="shared" si="61"/>
        <v>4498962</v>
      </c>
      <c r="N68" s="37">
        <f t="shared" si="62"/>
        <v>0</v>
      </c>
      <c r="O68" s="65"/>
      <c r="P68" s="78">
        <f t="shared" si="63"/>
        <v>234321.1716</v>
      </c>
      <c r="Q68" s="78">
        <f t="shared" si="64"/>
        <v>191673.76</v>
      </c>
      <c r="R68" s="78">
        <f t="shared" si="65"/>
        <v>95836.88</v>
      </c>
      <c r="S68" s="77">
        <f t="shared" si="66"/>
        <v>521831.8116</v>
      </c>
      <c r="T68" s="77">
        <v>374913.5</v>
      </c>
      <c r="U68" s="67"/>
      <c r="V68" s="79">
        <f t="shared" si="67"/>
        <v>4498962</v>
      </c>
      <c r="W68" s="53"/>
      <c r="X68" s="54"/>
      <c r="Y68" s="80">
        <f t="shared" si="68"/>
        <v>35</v>
      </c>
      <c r="Z68" s="76" t="str">
        <f t="shared" si="69"/>
        <v>AJI IRAWAN </v>
      </c>
      <c r="AA68" s="75" t="s">
        <v>216</v>
      </c>
      <c r="AB68" s="74">
        <f t="shared" si="70"/>
        <v>4498962</v>
      </c>
      <c r="AC68" s="74">
        <f t="shared" si="71"/>
        <v>95836.88</v>
      </c>
      <c r="AD68" s="74">
        <f t="shared" si="58"/>
        <v>47918.44</v>
      </c>
      <c r="AE68" s="74">
        <f t="shared" si="58"/>
        <v>47918.44</v>
      </c>
      <c r="AF68" s="74">
        <f t="shared" si="72"/>
        <v>4307288.239999999</v>
      </c>
      <c r="AG68" s="74">
        <f t="shared" si="73"/>
        <v>4875000</v>
      </c>
      <c r="AH68" s="74">
        <f t="shared" si="74"/>
        <v>-567711.7600000007</v>
      </c>
      <c r="AI68" s="74">
        <f t="shared" si="56"/>
        <v>0</v>
      </c>
      <c r="AJ68" s="73">
        <f t="shared" si="75"/>
        <v>4307288.239999999</v>
      </c>
      <c r="AK68" s="62"/>
      <c r="AL68" s="62"/>
      <c r="AM68" s="62"/>
      <c r="AN68" s="62"/>
      <c r="AO68" s="62"/>
      <c r="AP68" s="62"/>
      <c r="AQ68" s="62">
        <f t="shared" si="76"/>
        <v>0</v>
      </c>
      <c r="AR68" s="62">
        <f t="shared" si="77"/>
        <v>0</v>
      </c>
      <c r="AS68" s="62">
        <f t="shared" si="78"/>
        <v>4307288.239999999</v>
      </c>
      <c r="AT68" s="72"/>
      <c r="AU68" s="71">
        <f t="shared" si="57"/>
        <v>35</v>
      </c>
      <c r="AV68" s="52" t="str">
        <f t="shared" si="79"/>
        <v>AJI IRAWAN </v>
      </c>
      <c r="AW68" s="60">
        <f t="shared" si="80"/>
        <v>4307288.239999999</v>
      </c>
      <c r="AX68" s="69"/>
      <c r="AY68" s="54"/>
      <c r="AZ68" s="54"/>
      <c r="BA68" s="72">
        <f>+VLOOKUP(C68,'tanda terima  (2)'!$C$4:$G$106,5,0)</f>
        <v>4307288.239999999</v>
      </c>
      <c r="BB68" s="72"/>
      <c r="BG68" s="105" t="s">
        <v>333</v>
      </c>
    </row>
    <row r="69" s="51" customFormat="1">
      <c r="A69" s="80">
        <f t="shared" si="59"/>
        <v>36</v>
      </c>
      <c r="B69" s="54" t="s">
        <v>364</v>
      </c>
      <c r="C69" s="17" t="s">
        <v>135</v>
      </c>
      <c r="D69" s="54" t="s">
        <v>15</v>
      </c>
      <c r="E69" s="54" t="s">
        <v>17</v>
      </c>
      <c r="F69" s="54"/>
      <c r="G69" s="54"/>
      <c r="H69" s="139" t="str">
        <f t="shared" si="60"/>
        <v>FULL</v>
      </c>
      <c r="I69" s="126"/>
      <c r="J69" s="126"/>
      <c r="K69" s="126"/>
      <c r="L69" s="79">
        <f t="shared" si="55"/>
        <v>0</v>
      </c>
      <c r="M69" s="28">
        <f t="shared" si="61"/>
        <v>4498962</v>
      </c>
      <c r="N69" s="37">
        <f t="shared" si="62"/>
        <v>0</v>
      </c>
      <c r="O69" s="65"/>
      <c r="P69" s="78">
        <f t="shared" si="63"/>
        <v>234321.1716</v>
      </c>
      <c r="Q69" s="78">
        <f t="shared" si="64"/>
        <v>191673.76</v>
      </c>
      <c r="R69" s="78">
        <f t="shared" si="65"/>
        <v>95836.88</v>
      </c>
      <c r="S69" s="77">
        <f t="shared" si="66"/>
        <v>521831.8116</v>
      </c>
      <c r="T69" s="77">
        <v>374913.5</v>
      </c>
      <c r="U69" s="67">
        <v>179958</v>
      </c>
      <c r="V69" s="79">
        <f t="shared" si="67"/>
        <v>4678920</v>
      </c>
      <c r="W69" s="53"/>
      <c r="X69" s="54"/>
      <c r="Y69" s="80">
        <f t="shared" si="68"/>
        <v>36</v>
      </c>
      <c r="Z69" s="76" t="str">
        <f t="shared" si="69"/>
        <v>SUPRIYANTO</v>
      </c>
      <c r="AA69" s="75" t="s">
        <v>216</v>
      </c>
      <c r="AB69" s="74">
        <f t="shared" si="70"/>
        <v>4678920</v>
      </c>
      <c r="AC69" s="74">
        <f t="shared" si="71"/>
        <v>95836.88</v>
      </c>
      <c r="AD69" s="74">
        <f t="shared" si="58"/>
        <v>47918.44</v>
      </c>
      <c r="AE69" s="74">
        <f t="shared" si="58"/>
        <v>47918.44</v>
      </c>
      <c r="AF69" s="74">
        <f t="shared" si="72"/>
        <v>4487246.239999999</v>
      </c>
      <c r="AG69" s="74">
        <f t="shared" si="73"/>
        <v>4875000</v>
      </c>
      <c r="AH69" s="74">
        <f t="shared" si="74"/>
        <v>-387753.7600000007</v>
      </c>
      <c r="AI69" s="74">
        <f t="shared" si="56"/>
        <v>0</v>
      </c>
      <c r="AJ69" s="73">
        <f t="shared" si="75"/>
        <v>4487246.239999999</v>
      </c>
      <c r="AK69" s="62"/>
      <c r="AL69" s="62"/>
      <c r="AM69" s="62"/>
      <c r="AN69" s="62"/>
      <c r="AO69" s="62"/>
      <c r="AP69" s="62"/>
      <c r="AQ69" s="62">
        <f t="shared" si="76"/>
        <v>0</v>
      </c>
      <c r="AR69" s="62">
        <f t="shared" si="77"/>
        <v>0</v>
      </c>
      <c r="AS69" s="62">
        <f t="shared" si="78"/>
        <v>4487246.239999999</v>
      </c>
      <c r="AT69" s="72"/>
      <c r="AU69" s="71">
        <f t="shared" si="57"/>
        <v>36</v>
      </c>
      <c r="AV69" s="52" t="str">
        <f t="shared" si="79"/>
        <v>SUPRIYANTO</v>
      </c>
      <c r="AW69" s="60">
        <f t="shared" si="80"/>
        <v>4487246.239999999</v>
      </c>
      <c r="AX69" s="69"/>
      <c r="AY69" s="54"/>
      <c r="AZ69" s="54"/>
      <c r="BA69" s="72">
        <f>+VLOOKUP(C69,'tanda terima  (2)'!$C$4:$G$106,5,0)</f>
        <v>4487246.239999999</v>
      </c>
      <c r="BB69" s="72"/>
      <c r="BG69" s="105" t="s">
        <v>365</v>
      </c>
    </row>
    <row r="70" s="51" customFormat="1">
      <c r="A70" s="80">
        <f t="shared" si="59"/>
        <v>37</v>
      </c>
      <c r="B70" s="50" t="s">
        <v>366</v>
      </c>
      <c r="C70" s="107" t="s">
        <v>38</v>
      </c>
      <c r="D70" s="80" t="s">
        <v>15</v>
      </c>
      <c r="E70" s="80" t="s">
        <v>17</v>
      </c>
      <c r="F70" s="49"/>
      <c r="G70" s="49"/>
      <c r="H70" s="139" t="str">
        <f t="shared" si="60"/>
        <v>FULL</v>
      </c>
      <c r="I70" s="126"/>
      <c r="J70" s="126"/>
      <c r="K70" s="126"/>
      <c r="L70" s="79">
        <f t="shared" si="55"/>
        <v>0</v>
      </c>
      <c r="M70" s="28">
        <f t="shared" si="61"/>
        <v>4498962</v>
      </c>
      <c r="N70" s="37">
        <f t="shared" si="62"/>
        <v>0</v>
      </c>
      <c r="O70" s="65"/>
      <c r="P70" s="78">
        <f t="shared" si="63"/>
        <v>234321.1716</v>
      </c>
      <c r="Q70" s="78">
        <f t="shared" si="64"/>
        <v>191673.76</v>
      </c>
      <c r="R70" s="78">
        <f t="shared" si="65"/>
        <v>95836.88</v>
      </c>
      <c r="S70" s="77">
        <f t="shared" si="66"/>
        <v>521831.8116</v>
      </c>
      <c r="T70" s="77">
        <v>374913.5</v>
      </c>
      <c r="U70" s="67"/>
      <c r="V70" s="79">
        <f t="shared" si="67"/>
        <v>4498962</v>
      </c>
      <c r="W70" s="53"/>
      <c r="X70" s="54"/>
      <c r="Y70" s="80">
        <f t="shared" si="68"/>
        <v>37</v>
      </c>
      <c r="Z70" s="76" t="str">
        <f t="shared" si="69"/>
        <v>ARMAN</v>
      </c>
      <c r="AA70" s="75" t="str">
        <f>+VLOOKUP(C70,[1]MILKRUN!$C$4:$R$70,16,0)</f>
        <v>K2</v>
      </c>
      <c r="AB70" s="74">
        <f t="shared" si="70"/>
        <v>4498962</v>
      </c>
      <c r="AC70" s="74">
        <f t="shared" si="71"/>
        <v>95836.88</v>
      </c>
      <c r="AD70" s="74">
        <f t="shared" si="58"/>
        <v>47918.44</v>
      </c>
      <c r="AE70" s="74">
        <f t="shared" si="58"/>
        <v>47918.44</v>
      </c>
      <c r="AF70" s="74">
        <f t="shared" si="72"/>
        <v>4307288.239999999</v>
      </c>
      <c r="AG70" s="74">
        <f t="shared" si="73"/>
        <v>5625000</v>
      </c>
      <c r="AH70" s="74">
        <f t="shared" si="74"/>
        <v>-1317711.7600000007</v>
      </c>
      <c r="AI70" s="74">
        <f t="shared" si="56"/>
        <v>0</v>
      </c>
      <c r="AJ70" s="73">
        <f t="shared" si="75"/>
        <v>4307288.239999999</v>
      </c>
      <c r="AK70" s="62"/>
      <c r="AL70" s="62"/>
      <c r="AM70" s="62"/>
      <c r="AN70" s="62"/>
      <c r="AO70" s="62"/>
      <c r="AP70" s="62"/>
      <c r="AQ70" s="62">
        <f t="shared" si="76"/>
        <v>0</v>
      </c>
      <c r="AR70" s="62">
        <f t="shared" si="77"/>
        <v>0</v>
      </c>
      <c r="AS70" s="62">
        <f t="shared" si="78"/>
        <v>4307288.239999999</v>
      </c>
      <c r="AT70" s="72"/>
      <c r="AU70" s="71">
        <f t="shared" si="57"/>
        <v>37</v>
      </c>
      <c r="AV70" s="52" t="str">
        <f t="shared" si="79"/>
        <v>ARMAN</v>
      </c>
      <c r="AW70" s="60">
        <f t="shared" si="80"/>
        <v>4307288.239999999</v>
      </c>
      <c r="AX70" s="69"/>
      <c r="AY70" s="54"/>
      <c r="AZ70" s="54"/>
      <c r="BA70" s="72">
        <f>+VLOOKUP(C70,'tanda terima  (2)'!$C$4:$G$106,5,0)</f>
        <v>4307288.239999999</v>
      </c>
      <c r="BB70" s="72"/>
      <c r="BC70" s="48"/>
      <c r="BD70" s="48"/>
      <c r="BE70" s="48"/>
      <c r="BF70" s="48"/>
      <c r="BG70" s="105">
        <f>+VLOOKUP(C70,[1]ALL!$C$26:$AQ$91,40,0)</f>
        <v>0</v>
      </c>
    </row>
    <row r="71" s="58" customFormat="1">
      <c r="A71" s="68">
        <f t="shared" si="59"/>
        <v>38</v>
      </c>
      <c r="B71" s="68" t="s">
        <v>356</v>
      </c>
      <c r="C71" s="17" t="s">
        <v>69</v>
      </c>
      <c r="D71" s="68" t="s">
        <v>15</v>
      </c>
      <c r="E71" s="68" t="s">
        <v>17</v>
      </c>
      <c r="F71" s="68"/>
      <c r="G71" s="68">
        <v>20</v>
      </c>
      <c r="H71" s="265" t="str">
        <f t="shared" si="60"/>
        <v>PRORATE</v>
      </c>
      <c r="I71" s="28"/>
      <c r="J71" s="28"/>
      <c r="K71" s="28"/>
      <c r="L71" s="67">
        <f t="shared" si="55"/>
        <v>0</v>
      </c>
      <c r="M71" s="28">
        <f t="shared" si="61"/>
        <v>3599169.6</v>
      </c>
      <c r="N71" s="37">
        <f t="shared" si="62"/>
        <v>0</v>
      </c>
      <c r="O71" s="65"/>
      <c r="P71" s="66">
        <f t="shared" si="63"/>
        <v>234321.1716</v>
      </c>
      <c r="Q71" s="66">
        <f t="shared" si="64"/>
        <v>191673.76</v>
      </c>
      <c r="R71" s="66">
        <f t="shared" si="65"/>
        <v>95836.88</v>
      </c>
      <c r="S71" s="65">
        <f t="shared" si="66"/>
        <v>521831.8116</v>
      </c>
      <c r="T71" s="65">
        <v>374913.5</v>
      </c>
      <c r="U71" s="67"/>
      <c r="V71" s="67">
        <f t="shared" si="67"/>
        <v>3599169.6</v>
      </c>
      <c r="W71" s="67"/>
      <c r="X71" s="68"/>
      <c r="Y71" s="68">
        <f t="shared" si="68"/>
        <v>38</v>
      </c>
      <c r="Z71" s="233" t="str">
        <f t="shared" si="69"/>
        <v>HANDRI PLANI </v>
      </c>
      <c r="AA71" s="64" t="s">
        <v>216</v>
      </c>
      <c r="AB71" s="63">
        <f t="shared" si="70"/>
        <v>3599169.6</v>
      </c>
      <c r="AC71" s="63">
        <f t="shared" si="71"/>
        <v>95836.88</v>
      </c>
      <c r="AD71" s="63">
        <f t="shared" si="58"/>
        <v>47918.44</v>
      </c>
      <c r="AE71" s="63">
        <f t="shared" si="58"/>
        <v>47918.44</v>
      </c>
      <c r="AF71" s="63">
        <f t="shared" si="72"/>
        <v>3407495.8400000003</v>
      </c>
      <c r="AG71" s="63">
        <f t="shared" si="73"/>
        <v>4875000</v>
      </c>
      <c r="AH71" s="63">
        <f t="shared" si="74"/>
        <v>-1467504.1599999997</v>
      </c>
      <c r="AI71" s="63">
        <f t="shared" si="56"/>
        <v>0</v>
      </c>
      <c r="AJ71" s="62">
        <f t="shared" si="75"/>
        <v>3407495.8400000003</v>
      </c>
      <c r="AK71" s="62"/>
      <c r="AL71" s="62"/>
      <c r="AM71" s="62"/>
      <c r="AN71" s="62"/>
      <c r="AO71" s="62"/>
      <c r="AP71" s="62">
        <v>97000</v>
      </c>
      <c r="AQ71" s="62">
        <f t="shared" si="76"/>
        <v>0</v>
      </c>
      <c r="AR71" s="62">
        <f t="shared" si="77"/>
        <v>97000</v>
      </c>
      <c r="AS71" s="62">
        <f t="shared" si="78"/>
        <v>3310495.8400000003</v>
      </c>
      <c r="AT71" s="59"/>
      <c r="AU71" s="234">
        <f t="shared" si="57"/>
        <v>38</v>
      </c>
      <c r="AV71" s="61" t="str">
        <f t="shared" si="79"/>
        <v>HANDRI PLANI </v>
      </c>
      <c r="AW71" s="60">
        <f t="shared" si="80"/>
        <v>3310495.8400000003</v>
      </c>
      <c r="AX71" s="64"/>
      <c r="AY71" s="68"/>
      <c r="AZ71" s="68"/>
      <c r="BA71" s="59">
        <f>+VLOOKUP(C71,'tanda terima  (2)'!$C$4:$G$106,5,0)</f>
        <v>3310495.8400000003</v>
      </c>
      <c r="BB71" s="59"/>
      <c r="BG71" s="58" t="s">
        <v>345</v>
      </c>
    </row>
    <row r="72" s="58" customFormat="1">
      <c r="A72" s="68">
        <f t="shared" si="59"/>
        <v>39</v>
      </c>
      <c r="B72" s="68" t="s">
        <v>367</v>
      </c>
      <c r="C72" s="17" t="s">
        <v>108</v>
      </c>
      <c r="D72" s="68" t="s">
        <v>15</v>
      </c>
      <c r="E72" s="68" t="s">
        <v>17</v>
      </c>
      <c r="F72" s="68"/>
      <c r="G72" s="68"/>
      <c r="H72" s="265" t="str">
        <f t="shared" si="60"/>
        <v>FULL</v>
      </c>
      <c r="I72" s="28"/>
      <c r="J72" s="28"/>
      <c r="K72" s="28"/>
      <c r="L72" s="67">
        <f t="shared" si="55"/>
        <v>0</v>
      </c>
      <c r="M72" s="28">
        <f t="shared" si="61"/>
        <v>4498962</v>
      </c>
      <c r="N72" s="37">
        <f t="shared" si="62"/>
        <v>0</v>
      </c>
      <c r="O72" s="65"/>
      <c r="P72" s="66">
        <f t="shared" si="63"/>
        <v>234321.1716</v>
      </c>
      <c r="Q72" s="66">
        <f t="shared" si="64"/>
        <v>191673.76</v>
      </c>
      <c r="R72" s="66">
        <f t="shared" si="65"/>
        <v>95836.88</v>
      </c>
      <c r="S72" s="65">
        <f t="shared" si="66"/>
        <v>521831.8116</v>
      </c>
      <c r="T72" s="65">
        <v>374913.5</v>
      </c>
      <c r="U72" s="67"/>
      <c r="V72" s="67">
        <f t="shared" si="67"/>
        <v>4498962</v>
      </c>
      <c r="W72" s="67"/>
      <c r="X72" s="68"/>
      <c r="Y72" s="68">
        <f t="shared" si="68"/>
        <v>39</v>
      </c>
      <c r="Z72" s="233" t="str">
        <f t="shared" si="69"/>
        <v>NUR ALAMSYAH</v>
      </c>
      <c r="AA72" s="64" t="s">
        <v>216</v>
      </c>
      <c r="AB72" s="63">
        <f t="shared" si="70"/>
        <v>4498962</v>
      </c>
      <c r="AC72" s="63">
        <f t="shared" si="71"/>
        <v>95836.88</v>
      </c>
      <c r="AD72" s="63">
        <f t="shared" si="58"/>
        <v>47918.44</v>
      </c>
      <c r="AE72" s="63">
        <f t="shared" si="58"/>
        <v>47918.44</v>
      </c>
      <c r="AF72" s="63">
        <f t="shared" si="72"/>
        <v>4307288.239999999</v>
      </c>
      <c r="AG72" s="63">
        <f t="shared" si="73"/>
        <v>4875000</v>
      </c>
      <c r="AH72" s="63">
        <f t="shared" si="74"/>
        <v>-567711.7600000007</v>
      </c>
      <c r="AI72" s="63">
        <f t="shared" si="56"/>
        <v>0</v>
      </c>
      <c r="AJ72" s="62">
        <f t="shared" si="75"/>
        <v>4307288.239999999</v>
      </c>
      <c r="AK72" s="62"/>
      <c r="AL72" s="62"/>
      <c r="AM72" s="62"/>
      <c r="AN72" s="62"/>
      <c r="AO72" s="62"/>
      <c r="AP72" s="62"/>
      <c r="AQ72" s="62">
        <f t="shared" si="76"/>
        <v>0</v>
      </c>
      <c r="AR72" s="62">
        <f t="shared" si="77"/>
        <v>0</v>
      </c>
      <c r="AS72" s="62">
        <f t="shared" si="78"/>
        <v>4307288.239999999</v>
      </c>
      <c r="AT72" s="59"/>
      <c r="AU72" s="234">
        <f t="shared" si="57"/>
        <v>39</v>
      </c>
      <c r="AV72" s="61" t="str">
        <f t="shared" si="79"/>
        <v>NUR ALAMSYAH</v>
      </c>
      <c r="AW72" s="60">
        <f t="shared" si="80"/>
        <v>4307288.239999999</v>
      </c>
      <c r="AX72" s="64"/>
      <c r="AY72" s="68"/>
      <c r="AZ72" s="68"/>
      <c r="BA72" s="59">
        <f>+VLOOKUP(C72,'tanda terima  (2)'!$C$4:$G$106,5,0)</f>
        <v>4307288.239999999</v>
      </c>
      <c r="BB72" s="59"/>
      <c r="BG72" s="58">
        <f>+VLOOKUP(C72,[1]ALL!$C$26:$AQ$91,40,0)</f>
        <v>0</v>
      </c>
    </row>
    <row r="73" s="58" customFormat="1">
      <c r="A73" s="68">
        <f t="shared" si="59"/>
        <v>40</v>
      </c>
      <c r="B73" s="68" t="s">
        <v>368</v>
      </c>
      <c r="C73" s="17" t="s">
        <v>24</v>
      </c>
      <c r="D73" s="68" t="s">
        <v>15</v>
      </c>
      <c r="E73" s="68" t="s">
        <v>17</v>
      </c>
      <c r="F73" s="68"/>
      <c r="G73" s="68"/>
      <c r="H73" s="265" t="str">
        <f t="shared" si="60"/>
        <v>FULL</v>
      </c>
      <c r="I73" s="28"/>
      <c r="J73" s="28"/>
      <c r="K73" s="28"/>
      <c r="L73" s="67">
        <f t="shared" si="55"/>
        <v>0</v>
      </c>
      <c r="M73" s="28">
        <f t="shared" si="61"/>
        <v>4498962</v>
      </c>
      <c r="N73" s="37">
        <f t="shared" si="62"/>
        <v>0</v>
      </c>
      <c r="O73" s="65"/>
      <c r="P73" s="66">
        <f t="shared" si="63"/>
        <v>234321.1716</v>
      </c>
      <c r="Q73" s="66">
        <f t="shared" si="64"/>
        <v>191673.76</v>
      </c>
      <c r="R73" s="66">
        <f t="shared" si="65"/>
        <v>95836.88</v>
      </c>
      <c r="S73" s="65">
        <f t="shared" si="66"/>
        <v>521831.8116</v>
      </c>
      <c r="T73" s="65">
        <v>374913.5</v>
      </c>
      <c r="U73" s="67"/>
      <c r="V73" s="67">
        <f t="shared" si="67"/>
        <v>4498962</v>
      </c>
      <c r="W73" s="67"/>
      <c r="X73" s="68"/>
      <c r="Y73" s="68">
        <f t="shared" si="68"/>
        <v>40</v>
      </c>
      <c r="Z73" s="233" t="str">
        <f t="shared" si="69"/>
        <v>ADE RAHMAT</v>
      </c>
      <c r="AA73" s="64" t="s">
        <v>216</v>
      </c>
      <c r="AB73" s="63">
        <f t="shared" si="70"/>
        <v>4498962</v>
      </c>
      <c r="AC73" s="63">
        <f t="shared" si="71"/>
        <v>95836.88</v>
      </c>
      <c r="AD73" s="63">
        <f t="shared" si="58"/>
        <v>47918.44</v>
      </c>
      <c r="AE73" s="63">
        <f t="shared" si="58"/>
        <v>47918.44</v>
      </c>
      <c r="AF73" s="63">
        <f t="shared" si="72"/>
        <v>4307288.239999999</v>
      </c>
      <c r="AG73" s="63">
        <f t="shared" si="73"/>
        <v>4875000</v>
      </c>
      <c r="AH73" s="63">
        <f t="shared" si="74"/>
        <v>-567711.7600000007</v>
      </c>
      <c r="AI73" s="63">
        <f t="shared" si="56"/>
        <v>0</v>
      </c>
      <c r="AJ73" s="62">
        <f t="shared" si="75"/>
        <v>4307288.239999999</v>
      </c>
      <c r="AK73" s="62"/>
      <c r="AL73" s="62"/>
      <c r="AM73" s="62"/>
      <c r="AN73" s="62"/>
      <c r="AO73" s="62"/>
      <c r="AP73" s="62"/>
      <c r="AQ73" s="62">
        <f t="shared" si="76"/>
        <v>0</v>
      </c>
      <c r="AR73" s="62">
        <f t="shared" si="77"/>
        <v>0</v>
      </c>
      <c r="AS73" s="62">
        <f t="shared" si="78"/>
        <v>4307288.239999999</v>
      </c>
      <c r="AT73" s="59"/>
      <c r="AU73" s="234">
        <f t="shared" si="57"/>
        <v>40</v>
      </c>
      <c r="AV73" s="61" t="str">
        <f t="shared" si="79"/>
        <v>ADE RAHMAT</v>
      </c>
      <c r="AW73" s="60">
        <f t="shared" si="80"/>
        <v>4307288.239999999</v>
      </c>
      <c r="AX73" s="64"/>
      <c r="AY73" s="68"/>
      <c r="AZ73" s="68"/>
      <c r="BA73" s="59">
        <f>+VLOOKUP(C73,'tanda terima  (2)'!$C$4:$G$106,5,0)</f>
        <v>4307288.239999999</v>
      </c>
      <c r="BB73" s="59"/>
      <c r="BG73" s="58" t="s">
        <v>330</v>
      </c>
    </row>
    <row r="74" s="58" customFormat="1">
      <c r="A74" s="68">
        <f t="shared" si="59"/>
        <v>41</v>
      </c>
      <c r="B74" s="68" t="s">
        <v>369</v>
      </c>
      <c r="C74" s="17" t="s">
        <v>83</v>
      </c>
      <c r="D74" s="68" t="s">
        <v>15</v>
      </c>
      <c r="E74" s="68" t="s">
        <v>17</v>
      </c>
      <c r="F74" s="68"/>
      <c r="G74" s="68"/>
      <c r="H74" s="265" t="str">
        <f t="shared" si="60"/>
        <v>FULL</v>
      </c>
      <c r="I74" s="28"/>
      <c r="J74" s="28"/>
      <c r="K74" s="28"/>
      <c r="L74" s="67">
        <f t="shared" si="55"/>
        <v>0</v>
      </c>
      <c r="M74" s="28">
        <f t="shared" si="61"/>
        <v>4498962</v>
      </c>
      <c r="N74" s="37">
        <f t="shared" si="62"/>
        <v>0</v>
      </c>
      <c r="O74" s="65"/>
      <c r="P74" s="66">
        <f t="shared" si="63"/>
        <v>234321.1716</v>
      </c>
      <c r="Q74" s="66">
        <f t="shared" si="64"/>
        <v>191673.76</v>
      </c>
      <c r="R74" s="66">
        <f t="shared" si="65"/>
        <v>95836.88</v>
      </c>
      <c r="S74" s="65">
        <f t="shared" si="66"/>
        <v>521831.8116</v>
      </c>
      <c r="T74" s="65">
        <v>374913.5</v>
      </c>
      <c r="U74" s="67"/>
      <c r="V74" s="67">
        <f t="shared" si="67"/>
        <v>4498962</v>
      </c>
      <c r="W74" s="67"/>
      <c r="X74" s="68"/>
      <c r="Y74" s="68">
        <f t="shared" si="68"/>
        <v>41</v>
      </c>
      <c r="Z74" s="233" t="str">
        <f t="shared" si="69"/>
        <v>INDRAWAN</v>
      </c>
      <c r="AA74" s="64" t="s">
        <v>216</v>
      </c>
      <c r="AB74" s="63">
        <f t="shared" si="70"/>
        <v>4498962</v>
      </c>
      <c r="AC74" s="63">
        <f t="shared" si="71"/>
        <v>95836.88</v>
      </c>
      <c r="AD74" s="63">
        <f ref="AD74:AE93" t="shared" si="81">4791844*1%</f>
        <v>47918.44</v>
      </c>
      <c r="AE74" s="63">
        <f t="shared" si="81"/>
        <v>47918.44</v>
      </c>
      <c r="AF74" s="63">
        <f t="shared" si="72"/>
        <v>4307288.239999999</v>
      </c>
      <c r="AG74" s="63">
        <f t="shared" si="73"/>
        <v>4875000</v>
      </c>
      <c r="AH74" s="63">
        <f t="shared" si="74"/>
        <v>-567711.7600000007</v>
      </c>
      <c r="AI74" s="63">
        <f t="shared" si="56"/>
        <v>0</v>
      </c>
      <c r="AJ74" s="62">
        <f t="shared" si="75"/>
        <v>4307288.239999999</v>
      </c>
      <c r="AK74" s="62"/>
      <c r="AL74" s="62"/>
      <c r="AM74" s="62">
        <v>500000</v>
      </c>
      <c r="AN74" s="62"/>
      <c r="AO74" s="62"/>
      <c r="AP74" s="62"/>
      <c r="AQ74" s="62">
        <f t="shared" si="76"/>
        <v>0</v>
      </c>
      <c r="AR74" s="62">
        <f t="shared" si="77"/>
        <v>500000</v>
      </c>
      <c r="AS74" s="62">
        <f t="shared" si="78"/>
        <v>3807288.2399999993</v>
      </c>
      <c r="AT74" s="59"/>
      <c r="AU74" s="234">
        <f t="shared" si="57"/>
        <v>41</v>
      </c>
      <c r="AV74" s="61" t="str">
        <f t="shared" si="79"/>
        <v>INDRAWAN</v>
      </c>
      <c r="AW74" s="60">
        <f t="shared" si="80"/>
        <v>3807288.2399999993</v>
      </c>
      <c r="AX74" s="64"/>
      <c r="AY74" s="68"/>
      <c r="AZ74" s="68"/>
      <c r="BA74" s="59">
        <f>+VLOOKUP(C74,'tanda terima  (2)'!$C$4:$G$106,5,0)</f>
        <v>3807288.2399999993</v>
      </c>
      <c r="BB74" s="59"/>
      <c r="BG74" s="58" t="s">
        <v>351</v>
      </c>
    </row>
    <row r="75" s="58" customFormat="1">
      <c r="A75" s="68">
        <f t="shared" si="59"/>
        <v>42</v>
      </c>
      <c r="B75" s="68" t="s">
        <v>370</v>
      </c>
      <c r="C75" s="17" t="s">
        <v>55</v>
      </c>
      <c r="D75" s="68" t="s">
        <v>15</v>
      </c>
      <c r="E75" s="68" t="s">
        <v>17</v>
      </c>
      <c r="F75" s="68"/>
      <c r="G75" s="68"/>
      <c r="H75" s="265" t="str">
        <f t="shared" si="60"/>
        <v>FULL</v>
      </c>
      <c r="I75" s="28"/>
      <c r="J75" s="28"/>
      <c r="K75" s="28"/>
      <c r="L75" s="67">
        <f t="shared" si="55"/>
        <v>0</v>
      </c>
      <c r="M75" s="28">
        <f t="shared" si="61"/>
        <v>4498962</v>
      </c>
      <c r="N75" s="37">
        <f t="shared" si="62"/>
        <v>0</v>
      </c>
      <c r="O75" s="65"/>
      <c r="P75" s="66">
        <f t="shared" si="63"/>
        <v>234321.1716</v>
      </c>
      <c r="Q75" s="66">
        <f t="shared" si="64"/>
        <v>191673.76</v>
      </c>
      <c r="R75" s="66">
        <f t="shared" si="65"/>
        <v>95836.88</v>
      </c>
      <c r="S75" s="65">
        <f t="shared" si="66"/>
        <v>521831.8116</v>
      </c>
      <c r="T75" s="65">
        <v>374913.5</v>
      </c>
      <c r="U75" s="67"/>
      <c r="V75" s="67">
        <f t="shared" si="67"/>
        <v>4498962</v>
      </c>
      <c r="W75" s="67"/>
      <c r="X75" s="68"/>
      <c r="Y75" s="68">
        <f t="shared" si="68"/>
        <v>42</v>
      </c>
      <c r="Z75" s="233" t="str">
        <f t="shared" si="69"/>
        <v>DEDI PRIATNA</v>
      </c>
      <c r="AA75" s="64" t="s">
        <v>216</v>
      </c>
      <c r="AB75" s="63">
        <f t="shared" si="70"/>
        <v>4498962</v>
      </c>
      <c r="AC75" s="63">
        <f t="shared" si="71"/>
        <v>95836.88</v>
      </c>
      <c r="AD75" s="63">
        <f t="shared" si="81"/>
        <v>47918.44</v>
      </c>
      <c r="AE75" s="63">
        <f t="shared" si="81"/>
        <v>47918.44</v>
      </c>
      <c r="AF75" s="63">
        <f t="shared" si="72"/>
        <v>4307288.239999999</v>
      </c>
      <c r="AG75" s="63">
        <f t="shared" si="73"/>
        <v>4875000</v>
      </c>
      <c r="AH75" s="63">
        <f t="shared" si="74"/>
        <v>-567711.7600000007</v>
      </c>
      <c r="AI75" s="63">
        <f t="shared" si="56"/>
        <v>0</v>
      </c>
      <c r="AJ75" s="62">
        <f t="shared" si="75"/>
        <v>4307288.239999999</v>
      </c>
      <c r="AK75" s="62"/>
      <c r="AL75" s="62"/>
      <c r="AM75" s="62"/>
      <c r="AN75" s="62"/>
      <c r="AO75" s="62"/>
      <c r="AP75" s="62"/>
      <c r="AQ75" s="62">
        <f t="shared" si="76"/>
        <v>0</v>
      </c>
      <c r="AR75" s="62">
        <f t="shared" si="77"/>
        <v>0</v>
      </c>
      <c r="AS75" s="62">
        <f t="shared" si="78"/>
        <v>4307288.239999999</v>
      </c>
      <c r="AT75" s="59"/>
      <c r="AU75" s="234">
        <f t="shared" si="57"/>
        <v>42</v>
      </c>
      <c r="AV75" s="61" t="str">
        <f t="shared" si="79"/>
        <v>DEDI PRIATNA</v>
      </c>
      <c r="AW75" s="60">
        <f t="shared" si="80"/>
        <v>4307288.239999999</v>
      </c>
      <c r="AX75" s="64"/>
      <c r="AY75" s="68"/>
      <c r="AZ75" s="68"/>
      <c r="BA75" s="59">
        <f>+VLOOKUP(C75,'tanda terima  (2)'!$C$4:$G$106,5,0)</f>
        <v>4307288.239999999</v>
      </c>
      <c r="BB75" s="59"/>
      <c r="BG75" s="58" t="s">
        <v>342</v>
      </c>
    </row>
    <row r="76" s="58" customFormat="1">
      <c r="A76" s="68">
        <f t="shared" si="59"/>
        <v>43</v>
      </c>
      <c r="B76" s="68" t="s">
        <v>371</v>
      </c>
      <c r="C76" s="17" t="s">
        <v>81</v>
      </c>
      <c r="D76" s="68" t="s">
        <v>15</v>
      </c>
      <c r="E76" s="68" t="s">
        <v>17</v>
      </c>
      <c r="F76" s="68"/>
      <c r="G76" s="68"/>
      <c r="H76" s="265" t="str">
        <f t="shared" si="60"/>
        <v>FULL</v>
      </c>
      <c r="I76" s="28"/>
      <c r="J76" s="28"/>
      <c r="K76" s="28"/>
      <c r="L76" s="67">
        <f t="shared" si="55"/>
        <v>0</v>
      </c>
      <c r="M76" s="28">
        <f t="shared" si="61"/>
        <v>4498962</v>
      </c>
      <c r="N76" s="37">
        <f t="shared" si="62"/>
        <v>0</v>
      </c>
      <c r="O76" s="65"/>
      <c r="P76" s="66">
        <f t="shared" si="63"/>
        <v>234321.1716</v>
      </c>
      <c r="Q76" s="66">
        <f t="shared" si="64"/>
        <v>191673.76</v>
      </c>
      <c r="R76" s="66">
        <f t="shared" si="65"/>
        <v>95836.88</v>
      </c>
      <c r="S76" s="65">
        <f t="shared" si="66"/>
        <v>521831.8116</v>
      </c>
      <c r="T76" s="65">
        <v>374913.5</v>
      </c>
      <c r="U76" s="67"/>
      <c r="V76" s="67">
        <f t="shared" si="67"/>
        <v>4498962</v>
      </c>
      <c r="W76" s="67"/>
      <c r="X76" s="68"/>
      <c r="Y76" s="68">
        <f t="shared" si="68"/>
        <v>43</v>
      </c>
      <c r="Z76" s="233" t="str">
        <f t="shared" si="69"/>
        <v>IMAM HARDIAN</v>
      </c>
      <c r="AA76" s="64" t="s">
        <v>216</v>
      </c>
      <c r="AB76" s="63">
        <f t="shared" si="70"/>
        <v>4498962</v>
      </c>
      <c r="AC76" s="63">
        <f t="shared" si="71"/>
        <v>95836.88</v>
      </c>
      <c r="AD76" s="63">
        <f t="shared" si="81"/>
        <v>47918.44</v>
      </c>
      <c r="AE76" s="63">
        <f t="shared" si="81"/>
        <v>47918.44</v>
      </c>
      <c r="AF76" s="63">
        <f t="shared" si="72"/>
        <v>4307288.239999999</v>
      </c>
      <c r="AG76" s="63">
        <f t="shared" si="73"/>
        <v>4875000</v>
      </c>
      <c r="AH76" s="63">
        <f t="shared" si="74"/>
        <v>-567711.7600000007</v>
      </c>
      <c r="AI76" s="63">
        <f t="shared" si="56"/>
        <v>0</v>
      </c>
      <c r="AJ76" s="62">
        <f t="shared" si="75"/>
        <v>4307288.239999999</v>
      </c>
      <c r="AK76" s="62"/>
      <c r="AL76" s="62"/>
      <c r="AM76" s="62"/>
      <c r="AN76" s="62"/>
      <c r="AO76" s="62"/>
      <c r="AP76" s="62"/>
      <c r="AQ76" s="62">
        <f t="shared" si="76"/>
        <v>0</v>
      </c>
      <c r="AR76" s="62">
        <f t="shared" si="77"/>
        <v>0</v>
      </c>
      <c r="AS76" s="62">
        <f t="shared" si="78"/>
        <v>4307288.239999999</v>
      </c>
      <c r="AT76" s="59"/>
      <c r="AU76" s="234">
        <f t="shared" si="57"/>
        <v>43</v>
      </c>
      <c r="AV76" s="61" t="str">
        <f t="shared" si="79"/>
        <v>IMAM HARDIAN</v>
      </c>
      <c r="AW76" s="60">
        <f t="shared" si="80"/>
        <v>4307288.239999999</v>
      </c>
      <c r="AX76" s="64"/>
      <c r="AY76" s="68"/>
      <c r="AZ76" s="68"/>
      <c r="BA76" s="59">
        <f>+VLOOKUP(C76,'tanda terima  (2)'!$C$4:$G$106,5,0)</f>
        <v>4307288.239999999</v>
      </c>
      <c r="BB76" s="59"/>
      <c r="BG76" s="58">
        <f>+VLOOKUP(C76,[1]ALL!$C$26:$AQ$91,40,0)</f>
        <v>0</v>
      </c>
    </row>
    <row r="77" s="58" customFormat="1">
      <c r="A77" s="68">
        <f t="shared" si="59"/>
        <v>44</v>
      </c>
      <c r="B77" s="68" t="s">
        <v>372</v>
      </c>
      <c r="C77" s="17" t="s">
        <v>75</v>
      </c>
      <c r="D77" s="68" t="s">
        <v>15</v>
      </c>
      <c r="E77" s="68" t="s">
        <v>17</v>
      </c>
      <c r="F77" s="68"/>
      <c r="G77" s="68"/>
      <c r="H77" s="265" t="str">
        <f t="shared" si="60"/>
        <v>FULL</v>
      </c>
      <c r="I77" s="28"/>
      <c r="J77" s="28"/>
      <c r="K77" s="28"/>
      <c r="L77" s="67">
        <f ref="L77:L95" t="shared" si="82">SUM(I77:K77)</f>
        <v>0</v>
      </c>
      <c r="M77" s="28">
        <f t="shared" si="61"/>
        <v>4498962</v>
      </c>
      <c r="N77" s="37">
        <f t="shared" si="62"/>
        <v>0</v>
      </c>
      <c r="O77" s="65"/>
      <c r="P77" s="66">
        <f t="shared" si="63"/>
        <v>234321.1716</v>
      </c>
      <c r="Q77" s="66">
        <f t="shared" si="64"/>
        <v>191673.76</v>
      </c>
      <c r="R77" s="66">
        <f t="shared" si="65"/>
        <v>95836.88</v>
      </c>
      <c r="S77" s="65">
        <f t="shared" si="66"/>
        <v>521831.8116</v>
      </c>
      <c r="T77" s="65">
        <v>374913.5</v>
      </c>
      <c r="U77" s="67"/>
      <c r="V77" s="67">
        <f t="shared" si="67"/>
        <v>4498962</v>
      </c>
      <c r="W77" s="67"/>
      <c r="X77" s="68"/>
      <c r="Y77" s="68">
        <f t="shared" si="68"/>
        <v>44</v>
      </c>
      <c r="Z77" s="233" t="str">
        <f t="shared" si="69"/>
        <v>HERI PURNOMO</v>
      </c>
      <c r="AA77" s="64" t="str">
        <f>+VLOOKUP(C77,[1]MILKRUN!$C$4:$R$70,16,0)</f>
        <v>K1</v>
      </c>
      <c r="AB77" s="63">
        <f t="shared" si="70"/>
        <v>4498962</v>
      </c>
      <c r="AC77" s="63">
        <f t="shared" si="71"/>
        <v>95836.88</v>
      </c>
      <c r="AD77" s="63">
        <f t="shared" si="81"/>
        <v>47918.44</v>
      </c>
      <c r="AE77" s="63">
        <f t="shared" si="81"/>
        <v>47918.44</v>
      </c>
      <c r="AF77" s="63">
        <f t="shared" si="72"/>
        <v>4307288.239999999</v>
      </c>
      <c r="AG77" s="63">
        <f t="shared" si="73"/>
        <v>5250000</v>
      </c>
      <c r="AH77" s="63">
        <f t="shared" si="74"/>
        <v>-942711.7600000007</v>
      </c>
      <c r="AI77" s="63">
        <f ref="AI77:AI95" t="shared" si="83">+IF(AH77&gt;0,AH77*5%,0)</f>
        <v>0</v>
      </c>
      <c r="AJ77" s="62">
        <f t="shared" si="75"/>
        <v>4307288.239999999</v>
      </c>
      <c r="AK77" s="62"/>
      <c r="AL77" s="62"/>
      <c r="AM77" s="62"/>
      <c r="AN77" s="62"/>
      <c r="AO77" s="62"/>
      <c r="AP77" s="62"/>
      <c r="AQ77" s="62">
        <f t="shared" si="76"/>
        <v>0</v>
      </c>
      <c r="AR77" s="62">
        <f t="shared" si="77"/>
        <v>0</v>
      </c>
      <c r="AS77" s="62">
        <f t="shared" si="78"/>
        <v>4307288.239999999</v>
      </c>
      <c r="AT77" s="59"/>
      <c r="AU77" s="234">
        <f ref="AU77:AU95" t="shared" si="84">+A77</f>
        <v>44</v>
      </c>
      <c r="AV77" s="61" t="str">
        <f t="shared" si="79"/>
        <v>HERI PURNOMO</v>
      </c>
      <c r="AW77" s="60">
        <f t="shared" si="80"/>
        <v>4307288.239999999</v>
      </c>
      <c r="AX77" s="64"/>
      <c r="AY77" s="68"/>
      <c r="AZ77" s="68"/>
      <c r="BA77" s="59">
        <f>+VLOOKUP(C77,'tanda terima  (2)'!$C$4:$G$106,5,0)</f>
        <v>4307288.239999999</v>
      </c>
      <c r="BB77" s="59"/>
      <c r="BG77" s="58" t="s">
        <v>348</v>
      </c>
    </row>
    <row r="78" s="58" customFormat="1">
      <c r="A78" s="68">
        <f t="shared" si="59"/>
        <v>45</v>
      </c>
      <c r="B78" s="68" t="s">
        <v>373</v>
      </c>
      <c r="C78" s="314" t="s">
        <v>49</v>
      </c>
      <c r="D78" s="68" t="s">
        <v>15</v>
      </c>
      <c r="E78" s="68" t="s">
        <v>17</v>
      </c>
      <c r="F78" s="315"/>
      <c r="G78" s="315"/>
      <c r="H78" s="265" t="str">
        <f t="shared" si="60"/>
        <v>FULL</v>
      </c>
      <c r="I78" s="28"/>
      <c r="J78" s="28"/>
      <c r="K78" s="28"/>
      <c r="L78" s="67">
        <f t="shared" si="82"/>
        <v>0</v>
      </c>
      <c r="M78" s="28">
        <f t="shared" si="61"/>
        <v>4498962</v>
      </c>
      <c r="N78" s="37">
        <f t="shared" si="62"/>
        <v>0</v>
      </c>
      <c r="O78" s="65"/>
      <c r="P78" s="66">
        <f t="shared" si="63"/>
        <v>234321.1716</v>
      </c>
      <c r="Q78" s="66">
        <f t="shared" si="64"/>
        <v>191673.76</v>
      </c>
      <c r="R78" s="66">
        <f t="shared" si="65"/>
        <v>95836.88</v>
      </c>
      <c r="S78" s="65">
        <f t="shared" si="66"/>
        <v>521831.8116</v>
      </c>
      <c r="T78" s="65">
        <v>374913.5</v>
      </c>
      <c r="U78" s="67"/>
      <c r="V78" s="67">
        <f t="shared" si="67"/>
        <v>4498962</v>
      </c>
      <c r="W78" s="67"/>
      <c r="X78" s="68"/>
      <c r="Y78" s="68">
        <f t="shared" si="68"/>
        <v>45</v>
      </c>
      <c r="Z78" s="233" t="str">
        <f t="shared" si="69"/>
        <v>DEDE ROSADI</v>
      </c>
      <c r="AA78" s="64" t="s">
        <v>216</v>
      </c>
      <c r="AB78" s="63">
        <f t="shared" si="70"/>
        <v>4498962</v>
      </c>
      <c r="AC78" s="63">
        <f t="shared" si="71"/>
        <v>95836.88</v>
      </c>
      <c r="AD78" s="63">
        <f t="shared" si="81"/>
        <v>47918.44</v>
      </c>
      <c r="AE78" s="63">
        <f t="shared" si="81"/>
        <v>47918.44</v>
      </c>
      <c r="AF78" s="63">
        <f t="shared" si="72"/>
        <v>4307288.239999999</v>
      </c>
      <c r="AG78" s="63">
        <f t="shared" si="73"/>
        <v>4875000</v>
      </c>
      <c r="AH78" s="63">
        <f t="shared" si="74"/>
        <v>-567711.7600000007</v>
      </c>
      <c r="AI78" s="63">
        <f t="shared" si="83"/>
        <v>0</v>
      </c>
      <c r="AJ78" s="62">
        <f t="shared" si="75"/>
        <v>4307288.239999999</v>
      </c>
      <c r="AK78" s="62"/>
      <c r="AL78" s="62"/>
      <c r="AM78" s="62"/>
      <c r="AN78" s="62"/>
      <c r="AO78" s="62"/>
      <c r="AP78" s="62">
        <v>97000</v>
      </c>
      <c r="AQ78" s="62">
        <f t="shared" si="76"/>
        <v>0</v>
      </c>
      <c r="AR78" s="62">
        <f t="shared" si="77"/>
        <v>97000</v>
      </c>
      <c r="AS78" s="62">
        <f t="shared" si="78"/>
        <v>4210288.239999999</v>
      </c>
      <c r="AT78" s="59"/>
      <c r="AU78" s="234">
        <f t="shared" si="84"/>
        <v>45</v>
      </c>
      <c r="AV78" s="61" t="str">
        <f t="shared" si="79"/>
        <v>DEDE ROSADI</v>
      </c>
      <c r="AW78" s="60">
        <f t="shared" si="80"/>
        <v>4210288.239999999</v>
      </c>
      <c r="AX78" s="64"/>
      <c r="AY78" s="68"/>
      <c r="AZ78" s="68"/>
      <c r="BA78" s="59">
        <f>+VLOOKUP(C78,'tanda terima  (2)'!$C$4:$G$106,5,0)</f>
        <v>4210288.239999999</v>
      </c>
      <c r="BB78" s="59"/>
      <c r="BG78" s="58" t="s">
        <v>341</v>
      </c>
    </row>
    <row r="79" s="58" customFormat="1">
      <c r="A79" s="68">
        <f t="shared" si="59"/>
        <v>46</v>
      </c>
      <c r="B79" s="68" t="s">
        <v>374</v>
      </c>
      <c r="C79" s="17" t="s">
        <v>36</v>
      </c>
      <c r="D79" s="68" t="s">
        <v>15</v>
      </c>
      <c r="E79" s="68" t="s">
        <v>17</v>
      </c>
      <c r="F79" s="315"/>
      <c r="G79" s="315"/>
      <c r="H79" s="265" t="str">
        <f t="shared" si="60"/>
        <v>FULL</v>
      </c>
      <c r="I79" s="28"/>
      <c r="J79" s="28"/>
      <c r="K79" s="28"/>
      <c r="L79" s="67">
        <f t="shared" si="82"/>
        <v>0</v>
      </c>
      <c r="M79" s="28">
        <f t="shared" si="61"/>
        <v>4498962</v>
      </c>
      <c r="N79" s="37">
        <f t="shared" si="62"/>
        <v>0</v>
      </c>
      <c r="O79" s="65"/>
      <c r="P79" s="66">
        <f t="shared" si="63"/>
        <v>234321.1716</v>
      </c>
      <c r="Q79" s="66">
        <f t="shared" si="64"/>
        <v>191673.76</v>
      </c>
      <c r="R79" s="66">
        <f t="shared" si="65"/>
        <v>95836.88</v>
      </c>
      <c r="S79" s="65">
        <f t="shared" si="66"/>
        <v>521831.8116</v>
      </c>
      <c r="T79" s="65">
        <v>374913.5</v>
      </c>
      <c r="U79" s="67"/>
      <c r="V79" s="67">
        <f t="shared" si="67"/>
        <v>4498962</v>
      </c>
      <c r="W79" s="67"/>
      <c r="X79" s="68"/>
      <c r="Y79" s="68">
        <f t="shared" si="68"/>
        <v>46</v>
      </c>
      <c r="Z79" s="233" t="str">
        <f t="shared" si="69"/>
        <v>ARIS RACHMAT KURNIAWAN</v>
      </c>
      <c r="AA79" s="64" t="s">
        <v>216</v>
      </c>
      <c r="AB79" s="63">
        <f t="shared" si="70"/>
        <v>4498962</v>
      </c>
      <c r="AC79" s="63">
        <f t="shared" si="71"/>
        <v>95836.88</v>
      </c>
      <c r="AD79" s="63">
        <f t="shared" si="81"/>
        <v>47918.44</v>
      </c>
      <c r="AE79" s="63">
        <f t="shared" si="81"/>
        <v>47918.44</v>
      </c>
      <c r="AF79" s="63">
        <f t="shared" si="72"/>
        <v>4307288.239999999</v>
      </c>
      <c r="AG79" s="63">
        <f t="shared" si="73"/>
        <v>4875000</v>
      </c>
      <c r="AH79" s="63">
        <f t="shared" si="74"/>
        <v>-567711.7600000007</v>
      </c>
      <c r="AI79" s="63">
        <f t="shared" si="83"/>
        <v>0</v>
      </c>
      <c r="AJ79" s="62">
        <f t="shared" si="75"/>
        <v>4307288.239999999</v>
      </c>
      <c r="AK79" s="62"/>
      <c r="AL79" s="62"/>
      <c r="AM79" s="62"/>
      <c r="AN79" s="62"/>
      <c r="AO79" s="62"/>
      <c r="AP79" s="62"/>
      <c r="AQ79" s="62">
        <f t="shared" si="76"/>
        <v>0</v>
      </c>
      <c r="AR79" s="62">
        <f t="shared" si="77"/>
        <v>0</v>
      </c>
      <c r="AS79" s="62">
        <f t="shared" si="78"/>
        <v>4307288.239999999</v>
      </c>
      <c r="AT79" s="59"/>
      <c r="AU79" s="234">
        <f t="shared" si="84"/>
        <v>46</v>
      </c>
      <c r="AV79" s="61" t="str">
        <f t="shared" si="79"/>
        <v>ARIS RACHMAT KURNIAWAN</v>
      </c>
      <c r="AW79" s="60">
        <f t="shared" si="80"/>
        <v>4307288.239999999</v>
      </c>
      <c r="AX79" s="64"/>
      <c r="AY79" s="68"/>
      <c r="AZ79" s="68"/>
      <c r="BA79" s="59">
        <f>+VLOOKUP(C79,'tanda terima  (2)'!$C$4:$G$106,5,0)</f>
        <v>4307288.239999999</v>
      </c>
      <c r="BB79" s="59"/>
      <c r="BG79" s="58">
        <f>+VLOOKUP(C79,[1]ALL!$C$26:$AQ$91,40,0)</f>
        <v>0</v>
      </c>
    </row>
    <row r="80" s="58" customFormat="1">
      <c r="A80" s="68">
        <f t="shared" si="59"/>
        <v>47</v>
      </c>
      <c r="B80" s="68" t="s">
        <v>375</v>
      </c>
      <c r="C80" s="17" t="s">
        <v>128</v>
      </c>
      <c r="D80" s="68" t="s">
        <v>15</v>
      </c>
      <c r="E80" s="68" t="s">
        <v>17</v>
      </c>
      <c r="F80" s="68"/>
      <c r="G80" s="68"/>
      <c r="H80" s="265" t="str">
        <f t="shared" si="60"/>
        <v>FULL</v>
      </c>
      <c r="I80" s="28"/>
      <c r="J80" s="28"/>
      <c r="K80" s="28"/>
      <c r="L80" s="67">
        <f t="shared" si="82"/>
        <v>0</v>
      </c>
      <c r="M80" s="28">
        <f t="shared" si="61"/>
        <v>4498962</v>
      </c>
      <c r="N80" s="37">
        <f t="shared" si="62"/>
        <v>0</v>
      </c>
      <c r="O80" s="65"/>
      <c r="P80" s="66">
        <f t="shared" si="63"/>
        <v>234321.1716</v>
      </c>
      <c r="Q80" s="66">
        <f t="shared" si="64"/>
        <v>191673.76</v>
      </c>
      <c r="R80" s="66">
        <f t="shared" si="65"/>
        <v>95836.88</v>
      </c>
      <c r="S80" s="65">
        <f t="shared" si="66"/>
        <v>521831.8116</v>
      </c>
      <c r="T80" s="65">
        <v>374913.5</v>
      </c>
      <c r="U80" s="67"/>
      <c r="V80" s="67">
        <f t="shared" si="67"/>
        <v>4498962</v>
      </c>
      <c r="W80" s="67"/>
      <c r="X80" s="68"/>
      <c r="Y80" s="68">
        <f t="shared" si="68"/>
        <v>47</v>
      </c>
      <c r="Z80" s="233" t="str">
        <f t="shared" si="69"/>
        <v>SUGIYARTO</v>
      </c>
      <c r="AA80" s="64" t="s">
        <v>216</v>
      </c>
      <c r="AB80" s="63">
        <f t="shared" si="70"/>
        <v>4498962</v>
      </c>
      <c r="AC80" s="63">
        <f t="shared" si="71"/>
        <v>95836.88</v>
      </c>
      <c r="AD80" s="63">
        <f t="shared" si="81"/>
        <v>47918.44</v>
      </c>
      <c r="AE80" s="63">
        <f t="shared" si="81"/>
        <v>47918.44</v>
      </c>
      <c r="AF80" s="63">
        <f t="shared" si="72"/>
        <v>4307288.239999999</v>
      </c>
      <c r="AG80" s="63">
        <f t="shared" si="73"/>
        <v>4875000</v>
      </c>
      <c r="AH80" s="63">
        <f t="shared" si="74"/>
        <v>-567711.7600000007</v>
      </c>
      <c r="AI80" s="63">
        <f t="shared" si="83"/>
        <v>0</v>
      </c>
      <c r="AJ80" s="62">
        <f t="shared" si="75"/>
        <v>4307288.239999999</v>
      </c>
      <c r="AK80" s="62"/>
      <c r="AL80" s="62"/>
      <c r="AM80" s="62"/>
      <c r="AN80" s="62">
        <v>375000</v>
      </c>
      <c r="AO80" s="62"/>
      <c r="AP80" s="62">
        <v>20000</v>
      </c>
      <c r="AQ80" s="62">
        <f t="shared" si="76"/>
        <v>0</v>
      </c>
      <c r="AR80" s="62">
        <f t="shared" si="77"/>
        <v>395000</v>
      </c>
      <c r="AS80" s="62">
        <f t="shared" si="78"/>
        <v>3912288.2399999993</v>
      </c>
      <c r="AT80" s="59"/>
      <c r="AU80" s="234">
        <f t="shared" si="84"/>
        <v>47</v>
      </c>
      <c r="AV80" s="61" t="str">
        <f t="shared" si="79"/>
        <v>SUGIYARTO</v>
      </c>
      <c r="AW80" s="60">
        <f t="shared" si="80"/>
        <v>3912288.2399999993</v>
      </c>
      <c r="AX80" s="64"/>
      <c r="AY80" s="68"/>
      <c r="AZ80" s="68"/>
      <c r="BA80" s="59">
        <f>+VLOOKUP(C80,'tanda terima  (2)'!$C$4:$G$106,5,0)</f>
        <v>3912288.2399999993</v>
      </c>
      <c r="BB80" s="59"/>
      <c r="BG80" s="58" t="e">
        <f>+VLOOKUP(C80,[1]ALL!$C$26:$AQ$91,40,0)</f>
        <v>#N/A</v>
      </c>
    </row>
    <row r="81" s="58" customFormat="1">
      <c r="A81" s="68">
        <f t="shared" si="59"/>
        <v>48</v>
      </c>
      <c r="B81" s="68" t="s">
        <v>376</v>
      </c>
      <c r="C81" s="17" t="s">
        <v>152</v>
      </c>
      <c r="D81" s="68" t="s">
        <v>15</v>
      </c>
      <c r="E81" s="68" t="s">
        <v>17</v>
      </c>
      <c r="F81" s="68"/>
      <c r="G81" s="68"/>
      <c r="H81" s="265" t="str">
        <f t="shared" si="60"/>
        <v>FULL</v>
      </c>
      <c r="I81" s="28"/>
      <c r="J81" s="28"/>
      <c r="K81" s="28"/>
      <c r="L81" s="67">
        <f t="shared" si="82"/>
        <v>0</v>
      </c>
      <c r="M81" s="28">
        <f t="shared" si="61"/>
        <v>4498962</v>
      </c>
      <c r="N81" s="37">
        <f t="shared" si="62"/>
        <v>0</v>
      </c>
      <c r="O81" s="65"/>
      <c r="P81" s="66">
        <f t="shared" si="63"/>
        <v>234321.1716</v>
      </c>
      <c r="Q81" s="66">
        <f t="shared" si="64"/>
        <v>191673.76</v>
      </c>
      <c r="R81" s="66">
        <f t="shared" si="65"/>
        <v>95836.88</v>
      </c>
      <c r="S81" s="65">
        <f t="shared" si="66"/>
        <v>521831.8116</v>
      </c>
      <c r="T81" s="65">
        <v>374913.5</v>
      </c>
      <c r="U81" s="67"/>
      <c r="V81" s="67">
        <f t="shared" si="67"/>
        <v>4498962</v>
      </c>
      <c r="W81" s="67"/>
      <c r="X81" s="68"/>
      <c r="Y81" s="68">
        <f t="shared" si="68"/>
        <v>48</v>
      </c>
      <c r="Z81" s="233" t="str">
        <f t="shared" si="69"/>
        <v>YOGI</v>
      </c>
      <c r="AA81" s="64" t="str">
        <f>+VLOOKUP(C81,[1]MILKRUN!$C$4:$R$70,16,0)</f>
        <v>K1</v>
      </c>
      <c r="AB81" s="63">
        <f t="shared" si="70"/>
        <v>4498962</v>
      </c>
      <c r="AC81" s="63">
        <f t="shared" si="71"/>
        <v>95836.88</v>
      </c>
      <c r="AD81" s="63">
        <f t="shared" si="81"/>
        <v>47918.44</v>
      </c>
      <c r="AE81" s="63">
        <f t="shared" si="81"/>
        <v>47918.44</v>
      </c>
      <c r="AF81" s="63">
        <f t="shared" si="72"/>
        <v>4307288.239999999</v>
      </c>
      <c r="AG81" s="63">
        <f t="shared" si="73"/>
        <v>5250000</v>
      </c>
      <c r="AH81" s="63">
        <f t="shared" si="74"/>
        <v>-942711.7600000007</v>
      </c>
      <c r="AI81" s="63">
        <f t="shared" si="83"/>
        <v>0</v>
      </c>
      <c r="AJ81" s="62">
        <f t="shared" si="75"/>
        <v>4307288.239999999</v>
      </c>
      <c r="AK81" s="62"/>
      <c r="AL81" s="62"/>
      <c r="AM81" s="62"/>
      <c r="AN81" s="62"/>
      <c r="AO81" s="62"/>
      <c r="AP81" s="62"/>
      <c r="AQ81" s="62">
        <f t="shared" si="76"/>
        <v>0</v>
      </c>
      <c r="AR81" s="62">
        <f t="shared" si="77"/>
        <v>0</v>
      </c>
      <c r="AS81" s="62">
        <f t="shared" si="78"/>
        <v>4307288.239999999</v>
      </c>
      <c r="AT81" s="59"/>
      <c r="AU81" s="234">
        <f t="shared" si="84"/>
        <v>48</v>
      </c>
      <c r="AV81" s="61" t="str">
        <f t="shared" si="79"/>
        <v>YOGI</v>
      </c>
      <c r="AW81" s="60">
        <f t="shared" si="80"/>
        <v>4307288.239999999</v>
      </c>
      <c r="AX81" s="64"/>
      <c r="AY81" s="68"/>
      <c r="AZ81" s="68"/>
      <c r="BA81" s="59">
        <f>+VLOOKUP(C81,'tanda terima  (2)'!$C$4:$G$106,5,0)</f>
        <v>4307288.239999999</v>
      </c>
      <c r="BB81" s="59"/>
      <c r="BG81" s="58">
        <f>+VLOOKUP(C81,[1]ALL!$C$26:$AQ$91,40,0)</f>
        <v>0</v>
      </c>
    </row>
    <row r="82" s="58" customFormat="1">
      <c r="A82" s="68">
        <f t="shared" si="59"/>
        <v>49</v>
      </c>
      <c r="B82" s="68" t="s">
        <v>377</v>
      </c>
      <c r="C82" s="17" t="s">
        <v>168</v>
      </c>
      <c r="D82" s="68" t="s">
        <v>15</v>
      </c>
      <c r="E82" s="68" t="s">
        <v>17</v>
      </c>
      <c r="F82" s="68"/>
      <c r="G82" s="68"/>
      <c r="H82" s="265" t="str">
        <f t="shared" si="60"/>
        <v>FULL</v>
      </c>
      <c r="I82" s="28"/>
      <c r="J82" s="28"/>
      <c r="K82" s="28"/>
      <c r="L82" s="67">
        <f t="shared" si="82"/>
        <v>0</v>
      </c>
      <c r="M82" s="28">
        <f t="shared" si="61"/>
        <v>4498962</v>
      </c>
      <c r="N82" s="37">
        <f t="shared" si="62"/>
        <v>0</v>
      </c>
      <c r="O82" s="65"/>
      <c r="P82" s="66">
        <f t="shared" si="63"/>
        <v>234321.1716</v>
      </c>
      <c r="Q82" s="66">
        <f t="shared" si="64"/>
        <v>191673.76</v>
      </c>
      <c r="R82" s="66">
        <f t="shared" si="65"/>
        <v>95836.88</v>
      </c>
      <c r="S82" s="65">
        <f t="shared" si="66"/>
        <v>521831.8116</v>
      </c>
      <c r="T82" s="65">
        <v>374913.5</v>
      </c>
      <c r="U82" s="67"/>
      <c r="V82" s="67">
        <f t="shared" si="67"/>
        <v>4498962</v>
      </c>
      <c r="W82" s="67"/>
      <c r="X82" s="68"/>
      <c r="Y82" s="68">
        <f t="shared" si="68"/>
        <v>49</v>
      </c>
      <c r="Z82" s="233" t="str">
        <f t="shared" si="69"/>
        <v>KARMA</v>
      </c>
      <c r="AA82" s="64" t="str">
        <f>+VLOOKUP(C82,[1]MILKRUN!$C$4:$R$70,16,0)</f>
        <v>K2</v>
      </c>
      <c r="AB82" s="63">
        <f t="shared" si="70"/>
        <v>4498962</v>
      </c>
      <c r="AC82" s="63">
        <f t="shared" si="71"/>
        <v>95836.88</v>
      </c>
      <c r="AD82" s="63">
        <f t="shared" si="81"/>
        <v>47918.44</v>
      </c>
      <c r="AE82" s="63">
        <f t="shared" si="81"/>
        <v>47918.44</v>
      </c>
      <c r="AF82" s="63">
        <f t="shared" si="72"/>
        <v>4307288.239999999</v>
      </c>
      <c r="AG82" s="63">
        <f t="shared" si="73"/>
        <v>5625000</v>
      </c>
      <c r="AH82" s="63">
        <f t="shared" si="74"/>
        <v>-1317711.7600000007</v>
      </c>
      <c r="AI82" s="63">
        <f t="shared" si="83"/>
        <v>0</v>
      </c>
      <c r="AJ82" s="62">
        <f t="shared" si="75"/>
        <v>4307288.239999999</v>
      </c>
      <c r="AK82" s="62"/>
      <c r="AL82" s="62"/>
      <c r="AM82" s="62"/>
      <c r="AN82" s="62"/>
      <c r="AO82" s="62">
        <v>250000</v>
      </c>
      <c r="AP82" s="62"/>
      <c r="AQ82" s="62">
        <f t="shared" si="76"/>
        <v>0</v>
      </c>
      <c r="AR82" s="62">
        <f t="shared" si="77"/>
        <v>250000</v>
      </c>
      <c r="AS82" s="62">
        <f t="shared" si="78"/>
        <v>4057288.2399999993</v>
      </c>
      <c r="AT82" s="59"/>
      <c r="AU82" s="234">
        <f t="shared" si="84"/>
        <v>49</v>
      </c>
      <c r="AV82" s="61" t="str">
        <f t="shared" si="79"/>
        <v>KARMA</v>
      </c>
      <c r="AW82" s="60">
        <f t="shared" si="80"/>
        <v>4057288.2399999993</v>
      </c>
      <c r="AX82" s="64"/>
      <c r="AY82" s="68"/>
      <c r="AZ82" s="68"/>
      <c r="BA82" s="59">
        <f>+VLOOKUP(C82,'tanda terima  (2)'!$C$4:$G$106,5,0)</f>
        <v>4057288.2399999993</v>
      </c>
      <c r="BB82" s="59"/>
      <c r="BG82" s="58">
        <f>+VLOOKUP(C82,[1]ALL!$C$26:$AQ$91,40,0)</f>
        <v>0</v>
      </c>
    </row>
    <row r="83" s="58" customFormat="1">
      <c r="A83" s="68">
        <f t="shared" si="59"/>
        <v>50</v>
      </c>
      <c r="B83" s="68" t="s">
        <v>378</v>
      </c>
      <c r="C83" s="19" t="s">
        <v>162</v>
      </c>
      <c r="D83" s="68" t="s">
        <v>15</v>
      </c>
      <c r="E83" s="68" t="s">
        <v>17</v>
      </c>
      <c r="F83" s="68"/>
      <c r="G83" s="68">
        <v>24</v>
      </c>
      <c r="H83" s="265" t="str">
        <f t="shared" si="60"/>
        <v>PRORATE</v>
      </c>
      <c r="I83" s="28"/>
      <c r="J83" s="28"/>
      <c r="K83" s="28"/>
      <c r="L83" s="67">
        <f t="shared" si="82"/>
        <v>0</v>
      </c>
      <c r="M83" s="28">
        <f t="shared" si="61"/>
        <v>4319003.5200000005</v>
      </c>
      <c r="N83" s="37">
        <f t="shared" si="62"/>
        <v>0</v>
      </c>
      <c r="O83" s="65"/>
      <c r="P83" s="66">
        <f t="shared" si="63"/>
        <v>234321.1716</v>
      </c>
      <c r="Q83" s="66">
        <f t="shared" si="64"/>
        <v>191673.76</v>
      </c>
      <c r="R83" s="66">
        <f t="shared" si="65"/>
        <v>95836.88</v>
      </c>
      <c r="S83" s="65">
        <f t="shared" si="66"/>
        <v>521831.8116</v>
      </c>
      <c r="T83" s="65">
        <v>374913.5</v>
      </c>
      <c r="U83" s="67"/>
      <c r="V83" s="67">
        <f t="shared" si="67"/>
        <v>4319003.5200000005</v>
      </c>
      <c r="W83" s="67"/>
      <c r="X83" s="68"/>
      <c r="Y83" s="68">
        <f t="shared" si="68"/>
        <v>50</v>
      </c>
      <c r="Z83" s="233" t="str">
        <f t="shared" si="69"/>
        <v>RHEZA RUNOVALIYANA</v>
      </c>
      <c r="AA83" s="64" t="str">
        <f>+VLOOKUP(C83,[1]MILKRUN!$C$4:$R$70,16,0)</f>
        <v>K2</v>
      </c>
      <c r="AB83" s="63">
        <f t="shared" si="70"/>
        <v>4319003.5200000005</v>
      </c>
      <c r="AC83" s="63">
        <f t="shared" si="71"/>
        <v>95836.88</v>
      </c>
      <c r="AD83" s="63">
        <f t="shared" si="81"/>
        <v>47918.44</v>
      </c>
      <c r="AE83" s="63">
        <f t="shared" si="81"/>
        <v>47918.44</v>
      </c>
      <c r="AF83" s="63">
        <f t="shared" si="72"/>
        <v>4127329.7600000007</v>
      </c>
      <c r="AG83" s="63">
        <f t="shared" si="73"/>
        <v>5625000</v>
      </c>
      <c r="AH83" s="63">
        <f t="shared" si="74"/>
        <v>-1497670.2399999993</v>
      </c>
      <c r="AI83" s="63">
        <f t="shared" si="83"/>
        <v>0</v>
      </c>
      <c r="AJ83" s="62">
        <f t="shared" si="75"/>
        <v>4127329.7600000007</v>
      </c>
      <c r="AK83" s="62"/>
      <c r="AL83" s="62"/>
      <c r="AM83" s="62"/>
      <c r="AN83" s="62"/>
      <c r="AO83" s="62"/>
      <c r="AP83" s="62"/>
      <c r="AQ83" s="62">
        <f t="shared" si="76"/>
        <v>0</v>
      </c>
      <c r="AR83" s="62">
        <f t="shared" si="77"/>
        <v>0</v>
      </c>
      <c r="AS83" s="62">
        <f t="shared" si="78"/>
        <v>4127329.7600000007</v>
      </c>
      <c r="AT83" s="59"/>
      <c r="AU83" s="234">
        <f t="shared" si="84"/>
        <v>50</v>
      </c>
      <c r="AV83" s="61" t="str">
        <f t="shared" si="79"/>
        <v>RHEZA RUNOVALIYANA</v>
      </c>
      <c r="AW83" s="60">
        <f t="shared" si="80"/>
        <v>4127329.7600000007</v>
      </c>
      <c r="AX83" s="64"/>
      <c r="AY83" s="68"/>
      <c r="AZ83" s="68"/>
      <c r="BA83" s="59">
        <f>+VLOOKUP(C83,'tanda terima  (2)'!$C$4:$G$106,5,0)</f>
        <v>4127329.7600000007</v>
      </c>
      <c r="BB83" s="59"/>
      <c r="BG83" s="58">
        <f>+VLOOKUP(C83,[1]ALL!$C$26:$AQ$91,40,0)</f>
        <v>0</v>
      </c>
    </row>
    <row r="84" s="58" customFormat="1">
      <c r="A84" s="68">
        <f t="shared" si="59"/>
        <v>51</v>
      </c>
      <c r="B84" s="68" t="s">
        <v>379</v>
      </c>
      <c r="C84" s="17" t="s">
        <v>97</v>
      </c>
      <c r="D84" s="68" t="s">
        <v>15</v>
      </c>
      <c r="E84" s="68" t="s">
        <v>17</v>
      </c>
      <c r="F84" s="68"/>
      <c r="G84" s="68"/>
      <c r="H84" s="265" t="str">
        <f t="shared" si="60"/>
        <v>FULL</v>
      </c>
      <c r="I84" s="28"/>
      <c r="J84" s="28"/>
      <c r="K84" s="28"/>
      <c r="L84" s="67">
        <f t="shared" si="82"/>
        <v>0</v>
      </c>
      <c r="M84" s="28">
        <f t="shared" si="61"/>
        <v>4498962</v>
      </c>
      <c r="N84" s="37">
        <f t="shared" si="62"/>
        <v>0</v>
      </c>
      <c r="O84" s="65"/>
      <c r="P84" s="66">
        <f t="shared" si="63"/>
        <v>234321.1716</v>
      </c>
      <c r="Q84" s="66">
        <f t="shared" si="64"/>
        <v>191673.76</v>
      </c>
      <c r="R84" s="66">
        <f t="shared" si="65"/>
        <v>95836.88</v>
      </c>
      <c r="S84" s="65">
        <f t="shared" si="66"/>
        <v>521831.8116</v>
      </c>
      <c r="T84" s="65">
        <v>374913.5</v>
      </c>
      <c r="U84" s="67"/>
      <c r="V84" s="67">
        <f t="shared" si="67"/>
        <v>4498962</v>
      </c>
      <c r="W84" s="67"/>
      <c r="X84" s="68"/>
      <c r="Y84" s="68">
        <f t="shared" si="68"/>
        <v>51</v>
      </c>
      <c r="Z84" s="233" t="str">
        <f t="shared" si="69"/>
        <v>KOMAR</v>
      </c>
      <c r="AA84" s="64" t="s">
        <v>216</v>
      </c>
      <c r="AB84" s="63">
        <f t="shared" si="70"/>
        <v>4498962</v>
      </c>
      <c r="AC84" s="63">
        <f t="shared" si="71"/>
        <v>95836.88</v>
      </c>
      <c r="AD84" s="63">
        <f t="shared" si="81"/>
        <v>47918.44</v>
      </c>
      <c r="AE84" s="63">
        <f t="shared" si="81"/>
        <v>47918.44</v>
      </c>
      <c r="AF84" s="63">
        <f t="shared" si="72"/>
        <v>4307288.239999999</v>
      </c>
      <c r="AG84" s="63">
        <f t="shared" si="73"/>
        <v>4875000</v>
      </c>
      <c r="AH84" s="63">
        <f t="shared" si="74"/>
        <v>-567711.7600000007</v>
      </c>
      <c r="AI84" s="63">
        <f t="shared" si="83"/>
        <v>0</v>
      </c>
      <c r="AJ84" s="62">
        <f t="shared" si="75"/>
        <v>4307288.239999999</v>
      </c>
      <c r="AK84" s="62"/>
      <c r="AL84" s="62"/>
      <c r="AM84" s="62"/>
      <c r="AN84" s="62"/>
      <c r="AO84" s="62"/>
      <c r="AP84" s="62"/>
      <c r="AQ84" s="62">
        <f t="shared" si="76"/>
        <v>0</v>
      </c>
      <c r="AR84" s="62">
        <f t="shared" si="77"/>
        <v>0</v>
      </c>
      <c r="AS84" s="62">
        <f t="shared" si="78"/>
        <v>4307288.239999999</v>
      </c>
      <c r="AT84" s="59"/>
      <c r="AU84" s="234">
        <f t="shared" si="84"/>
        <v>51</v>
      </c>
      <c r="AV84" s="61" t="str">
        <f t="shared" si="79"/>
        <v>KOMAR</v>
      </c>
      <c r="AW84" s="60">
        <f t="shared" si="80"/>
        <v>4307288.239999999</v>
      </c>
      <c r="AX84" s="64"/>
      <c r="AY84" s="68"/>
      <c r="AZ84" s="68"/>
      <c r="BA84" s="59">
        <f>+VLOOKUP(C84,'tanda terima  (2)'!$C$4:$G$106,5,0)</f>
        <v>4307288.239999999</v>
      </c>
      <c r="BB84" s="59"/>
      <c r="BG84" s="58">
        <f>+VLOOKUP(C84,[1]ALL!$C$26:$AQ$91,40,0)</f>
        <v>0</v>
      </c>
    </row>
    <row r="85" s="58" customFormat="1">
      <c r="A85" s="68">
        <f t="shared" si="59"/>
        <v>52</v>
      </c>
      <c r="B85" s="68" t="s">
        <v>365</v>
      </c>
      <c r="C85" s="17" t="s">
        <v>122</v>
      </c>
      <c r="D85" s="68" t="s">
        <v>15</v>
      </c>
      <c r="E85" s="68" t="s">
        <v>17</v>
      </c>
      <c r="F85" s="68"/>
      <c r="G85" s="68"/>
      <c r="H85" s="265" t="str">
        <f t="shared" si="60"/>
        <v>FULL</v>
      </c>
      <c r="I85" s="28"/>
      <c r="J85" s="28"/>
      <c r="K85" s="28"/>
      <c r="L85" s="67">
        <f t="shared" si="82"/>
        <v>0</v>
      </c>
      <c r="M85" s="28">
        <f t="shared" si="61"/>
        <v>4498962</v>
      </c>
      <c r="N85" s="37">
        <f t="shared" si="62"/>
        <v>0</v>
      </c>
      <c r="O85" s="65"/>
      <c r="P85" s="66">
        <f t="shared" si="63"/>
        <v>234321.1716</v>
      </c>
      <c r="Q85" s="66">
        <f t="shared" si="64"/>
        <v>191673.76</v>
      </c>
      <c r="R85" s="66">
        <f t="shared" si="65"/>
        <v>95836.88</v>
      </c>
      <c r="S85" s="65">
        <f t="shared" si="66"/>
        <v>521831.8116</v>
      </c>
      <c r="T85" s="65">
        <v>374913.5</v>
      </c>
      <c r="U85" s="67"/>
      <c r="V85" s="67">
        <f t="shared" si="67"/>
        <v>4498962</v>
      </c>
      <c r="W85" s="67"/>
      <c r="X85" s="68"/>
      <c r="Y85" s="68">
        <f t="shared" si="68"/>
        <v>52</v>
      </c>
      <c r="Z85" s="233" t="str">
        <f t="shared" si="69"/>
        <v>SANDI HENDRIANA</v>
      </c>
      <c r="AA85" s="64" t="str">
        <f>+VLOOKUP(C85,[1]MILKRUN!$C$4:$R$70,16,0)</f>
        <v>K2</v>
      </c>
      <c r="AB85" s="63">
        <f t="shared" si="70"/>
        <v>4498962</v>
      </c>
      <c r="AC85" s="63">
        <f t="shared" si="71"/>
        <v>95836.88</v>
      </c>
      <c r="AD85" s="63">
        <f t="shared" si="81"/>
        <v>47918.44</v>
      </c>
      <c r="AE85" s="63">
        <f t="shared" si="81"/>
        <v>47918.44</v>
      </c>
      <c r="AF85" s="63">
        <f t="shared" si="72"/>
        <v>4307288.239999999</v>
      </c>
      <c r="AG85" s="63">
        <f t="shared" si="73"/>
        <v>5625000</v>
      </c>
      <c r="AH85" s="63">
        <f t="shared" si="74"/>
        <v>-1317711.7600000007</v>
      </c>
      <c r="AI85" s="63">
        <f t="shared" si="83"/>
        <v>0</v>
      </c>
      <c r="AJ85" s="62">
        <f t="shared" si="75"/>
        <v>4307288.239999999</v>
      </c>
      <c r="AK85" s="62"/>
      <c r="AL85" s="62"/>
      <c r="AM85" s="62"/>
      <c r="AN85" s="62"/>
      <c r="AO85" s="62"/>
      <c r="AP85" s="62"/>
      <c r="AQ85" s="62"/>
      <c r="AR85" s="62">
        <f t="shared" si="77"/>
        <v>0</v>
      </c>
      <c r="AS85" s="62">
        <f t="shared" si="78"/>
        <v>4307288.239999999</v>
      </c>
      <c r="AT85" s="59"/>
      <c r="AU85" s="234">
        <f t="shared" si="84"/>
        <v>52</v>
      </c>
      <c r="AV85" s="61" t="str">
        <f t="shared" si="79"/>
        <v>SANDI HENDRIANA</v>
      </c>
      <c r="AW85" s="60">
        <f t="shared" si="80"/>
        <v>4307288.239999999</v>
      </c>
      <c r="AX85" s="64"/>
      <c r="AY85" s="68"/>
      <c r="AZ85" s="68"/>
      <c r="BA85" s="59">
        <f>+VLOOKUP(C85,'tanda terima  (2)'!$C$4:$G$106,5,0)</f>
        <v>4307288.239999999</v>
      </c>
      <c r="BB85" s="59"/>
      <c r="BG85" s="58" t="s">
        <v>375</v>
      </c>
    </row>
    <row r="86" s="58" customFormat="1">
      <c r="A86" s="68">
        <f t="shared" si="59"/>
        <v>53</v>
      </c>
      <c r="B86" s="68" t="s">
        <v>380</v>
      </c>
      <c r="C86" s="17" t="s">
        <v>116</v>
      </c>
      <c r="D86" s="68" t="s">
        <v>15</v>
      </c>
      <c r="E86" s="68" t="s">
        <v>17</v>
      </c>
      <c r="F86" s="68"/>
      <c r="G86" s="68"/>
      <c r="H86" s="265" t="str">
        <f t="shared" si="60"/>
        <v>FULL</v>
      </c>
      <c r="I86" s="28"/>
      <c r="J86" s="28"/>
      <c r="K86" s="28"/>
      <c r="L86" s="67">
        <f t="shared" si="82"/>
        <v>0</v>
      </c>
      <c r="M86" s="28">
        <f t="shared" si="61"/>
        <v>4498962</v>
      </c>
      <c r="N86" s="37">
        <f t="shared" si="62"/>
        <v>0</v>
      </c>
      <c r="O86" s="65"/>
      <c r="P86" s="66">
        <f t="shared" si="63"/>
        <v>234321.1716</v>
      </c>
      <c r="Q86" s="66">
        <f t="shared" si="64"/>
        <v>191673.76</v>
      </c>
      <c r="R86" s="66">
        <f t="shared" si="65"/>
        <v>95836.88</v>
      </c>
      <c r="S86" s="65">
        <f t="shared" si="66"/>
        <v>521831.8116</v>
      </c>
      <c r="T86" s="65">
        <v>374913.5</v>
      </c>
      <c r="U86" s="67"/>
      <c r="V86" s="67">
        <f t="shared" si="67"/>
        <v>4498962</v>
      </c>
      <c r="W86" s="67"/>
      <c r="X86" s="68"/>
      <c r="Y86" s="68">
        <f t="shared" si="68"/>
        <v>53</v>
      </c>
      <c r="Z86" s="233" t="str">
        <f t="shared" si="69"/>
        <v>ROSANDI</v>
      </c>
      <c r="AA86" s="64" t="str">
        <f>+VLOOKUP(C86,[1]MILKRUN!$C$4:$R$70,16,0)</f>
        <v>K1</v>
      </c>
      <c r="AB86" s="63">
        <f t="shared" si="70"/>
        <v>4498962</v>
      </c>
      <c r="AC86" s="63">
        <f t="shared" si="71"/>
        <v>95836.88</v>
      </c>
      <c r="AD86" s="63">
        <f t="shared" si="81"/>
        <v>47918.44</v>
      </c>
      <c r="AE86" s="63">
        <f t="shared" si="81"/>
        <v>47918.44</v>
      </c>
      <c r="AF86" s="63">
        <f t="shared" si="72"/>
        <v>4307288.239999999</v>
      </c>
      <c r="AG86" s="63">
        <f t="shared" si="73"/>
        <v>5250000</v>
      </c>
      <c r="AH86" s="63">
        <f t="shared" si="74"/>
        <v>-942711.7600000007</v>
      </c>
      <c r="AI86" s="63">
        <f t="shared" si="83"/>
        <v>0</v>
      </c>
      <c r="AJ86" s="62">
        <f t="shared" si="75"/>
        <v>4307288.239999999</v>
      </c>
      <c r="AK86" s="62"/>
      <c r="AL86" s="62"/>
      <c r="AM86" s="62"/>
      <c r="AN86" s="62"/>
      <c r="AO86" s="62"/>
      <c r="AP86" s="62"/>
      <c r="AQ86" s="62">
        <f ref="AQ86:AQ113" t="shared" si="85">+J86*150000</f>
        <v>0</v>
      </c>
      <c r="AR86" s="62">
        <f t="shared" si="77"/>
        <v>0</v>
      </c>
      <c r="AS86" s="62">
        <f t="shared" si="78"/>
        <v>4307288.239999999</v>
      </c>
      <c r="AT86" s="59"/>
      <c r="AU86" s="234">
        <f t="shared" si="84"/>
        <v>53</v>
      </c>
      <c r="AV86" s="61" t="str">
        <f t="shared" si="79"/>
        <v>ROSANDI</v>
      </c>
      <c r="AW86" s="60">
        <f t="shared" si="80"/>
        <v>4307288.239999999</v>
      </c>
      <c r="AX86" s="64"/>
      <c r="AY86" s="68"/>
      <c r="AZ86" s="68"/>
      <c r="BA86" s="59">
        <f>+VLOOKUP(C86,'tanda terima  (2)'!$C$4:$G$106,5,0)</f>
        <v>4307288.239999999</v>
      </c>
      <c r="BB86" s="59"/>
      <c r="BG86" s="58">
        <f>+VLOOKUP(C86,[1]ALL!$C$26:$AQ$91,40,0)</f>
        <v>0</v>
      </c>
    </row>
    <row r="87" s="58" customFormat="1">
      <c r="A87" s="68">
        <f t="shared" si="59"/>
        <v>54</v>
      </c>
      <c r="B87" s="68" t="s">
        <v>315</v>
      </c>
      <c r="C87" s="17" t="s">
        <v>170</v>
      </c>
      <c r="D87" s="68" t="s">
        <v>15</v>
      </c>
      <c r="E87" s="68" t="s">
        <v>17</v>
      </c>
      <c r="F87" s="68"/>
      <c r="G87" s="68"/>
      <c r="H87" s="265" t="str">
        <f t="shared" si="60"/>
        <v>FULL</v>
      </c>
      <c r="I87" s="28"/>
      <c r="J87" s="28"/>
      <c r="K87" s="28"/>
      <c r="L87" s="67">
        <f t="shared" si="82"/>
        <v>0</v>
      </c>
      <c r="M87" s="28">
        <f t="shared" si="61"/>
        <v>4498962</v>
      </c>
      <c r="N87" s="37">
        <f t="shared" si="62"/>
        <v>0</v>
      </c>
      <c r="O87" s="65"/>
      <c r="P87" s="66">
        <f t="shared" si="63"/>
        <v>234321.1716</v>
      </c>
      <c r="Q87" s="66">
        <f t="shared" si="64"/>
        <v>191673.76</v>
      </c>
      <c r="R87" s="66">
        <f t="shared" si="65"/>
        <v>95836.88</v>
      </c>
      <c r="S87" s="65">
        <f t="shared" si="66"/>
        <v>521831.8116</v>
      </c>
      <c r="T87" s="65">
        <v>374913.5</v>
      </c>
      <c r="U87" s="67"/>
      <c r="V87" s="67">
        <f t="shared" si="67"/>
        <v>4498962</v>
      </c>
      <c r="W87" s="67"/>
      <c r="X87" s="68"/>
      <c r="Y87" s="68">
        <f t="shared" si="68"/>
        <v>54</v>
      </c>
      <c r="Z87" s="233" t="str">
        <f t="shared" si="69"/>
        <v>AGUNG SETIAWAN</v>
      </c>
      <c r="AA87" s="64" t="str">
        <f>+VLOOKUP(C87,[1]MILKRUN!$C$4:$R$70,16,0)</f>
        <v>K2</v>
      </c>
      <c r="AB87" s="63">
        <f t="shared" si="70"/>
        <v>4498962</v>
      </c>
      <c r="AC87" s="63">
        <f t="shared" si="71"/>
        <v>95836.88</v>
      </c>
      <c r="AD87" s="63">
        <f t="shared" si="81"/>
        <v>47918.44</v>
      </c>
      <c r="AE87" s="63">
        <f t="shared" si="81"/>
        <v>47918.44</v>
      </c>
      <c r="AF87" s="63">
        <f t="shared" si="72"/>
        <v>4307288.239999999</v>
      </c>
      <c r="AG87" s="63">
        <f t="shared" si="73"/>
        <v>5625000</v>
      </c>
      <c r="AH87" s="63">
        <f t="shared" si="74"/>
        <v>-1317711.7600000007</v>
      </c>
      <c r="AI87" s="63">
        <f t="shared" si="83"/>
        <v>0</v>
      </c>
      <c r="AJ87" s="62">
        <f t="shared" si="75"/>
        <v>4307288.239999999</v>
      </c>
      <c r="AK87" s="62"/>
      <c r="AL87" s="62"/>
      <c r="AM87" s="62"/>
      <c r="AN87" s="62"/>
      <c r="AO87" s="62"/>
      <c r="AP87" s="62"/>
      <c r="AQ87" s="62">
        <f t="shared" si="85"/>
        <v>0</v>
      </c>
      <c r="AR87" s="62">
        <f t="shared" si="77"/>
        <v>0</v>
      </c>
      <c r="AS87" s="62">
        <f t="shared" si="78"/>
        <v>4307288.239999999</v>
      </c>
      <c r="AT87" s="59"/>
      <c r="AU87" s="234">
        <f t="shared" si="84"/>
        <v>54</v>
      </c>
      <c r="AV87" s="61" t="str">
        <f t="shared" si="79"/>
        <v>AGUNG SETIAWAN</v>
      </c>
      <c r="AW87" s="60">
        <f t="shared" si="80"/>
        <v>4307288.239999999</v>
      </c>
      <c r="AX87" s="64"/>
      <c r="AY87" s="68"/>
      <c r="AZ87" s="68"/>
      <c r="BA87" s="59">
        <f>+VLOOKUP(C87,'tanda terima  (2)'!$C$4:$G$106,5,0)</f>
        <v>4307288.239999999</v>
      </c>
      <c r="BB87" s="59"/>
      <c r="BG87" s="58">
        <f>+VLOOKUP(C87,[1]ALL!$C$26:$AQ$91,40,0)</f>
        <v>0</v>
      </c>
    </row>
    <row r="88" s="58" customFormat="1">
      <c r="A88" s="68">
        <f t="shared" si="59"/>
        <v>55</v>
      </c>
      <c r="B88" s="68" t="s">
        <v>381</v>
      </c>
      <c r="C88" s="17" t="s">
        <v>166</v>
      </c>
      <c r="D88" s="68" t="s">
        <v>15</v>
      </c>
      <c r="E88" s="68" t="s">
        <v>17</v>
      </c>
      <c r="F88" s="315"/>
      <c r="G88" s="315"/>
      <c r="H88" s="265" t="str">
        <f t="shared" si="60"/>
        <v>FULL</v>
      </c>
      <c r="I88" s="28"/>
      <c r="J88" s="28"/>
      <c r="K88" s="28"/>
      <c r="L88" s="67">
        <f t="shared" si="82"/>
        <v>0</v>
      </c>
      <c r="M88" s="28">
        <f t="shared" si="61"/>
        <v>4498962</v>
      </c>
      <c r="N88" s="37">
        <f t="shared" si="62"/>
        <v>0</v>
      </c>
      <c r="O88" s="65"/>
      <c r="P88" s="66">
        <f t="shared" si="63"/>
        <v>234321.1716</v>
      </c>
      <c r="Q88" s="66">
        <f t="shared" si="64"/>
        <v>191673.76</v>
      </c>
      <c r="R88" s="66">
        <f t="shared" si="65"/>
        <v>95836.88</v>
      </c>
      <c r="S88" s="65">
        <f t="shared" si="66"/>
        <v>521831.8116</v>
      </c>
      <c r="T88" s="65">
        <v>374913.5</v>
      </c>
      <c r="U88" s="67"/>
      <c r="V88" s="67">
        <f t="shared" si="67"/>
        <v>4498962</v>
      </c>
      <c r="W88" s="67"/>
      <c r="X88" s="68"/>
      <c r="Y88" s="68">
        <f t="shared" si="68"/>
        <v>55</v>
      </c>
      <c r="Z88" s="233" t="str">
        <f t="shared" si="69"/>
        <v>JANTO SIHOMBING</v>
      </c>
      <c r="AA88" s="64" t="str">
        <f>+VLOOKUP(C88,[1]MILKRUN!$C$4:$R$70,16,0)</f>
        <v>K2</v>
      </c>
      <c r="AB88" s="63">
        <f t="shared" si="70"/>
        <v>4498962</v>
      </c>
      <c r="AC88" s="63">
        <f t="shared" si="71"/>
        <v>95836.88</v>
      </c>
      <c r="AD88" s="63">
        <f t="shared" si="81"/>
        <v>47918.44</v>
      </c>
      <c r="AE88" s="63">
        <f t="shared" si="81"/>
        <v>47918.44</v>
      </c>
      <c r="AF88" s="63">
        <f t="shared" si="72"/>
        <v>4307288.239999999</v>
      </c>
      <c r="AG88" s="63">
        <f t="shared" si="73"/>
        <v>5625000</v>
      </c>
      <c r="AH88" s="63">
        <f t="shared" si="74"/>
        <v>-1317711.7600000007</v>
      </c>
      <c r="AI88" s="63">
        <f t="shared" si="83"/>
        <v>0</v>
      </c>
      <c r="AJ88" s="62">
        <f t="shared" si="75"/>
        <v>4307288.239999999</v>
      </c>
      <c r="AK88" s="62"/>
      <c r="AL88" s="62"/>
      <c r="AM88" s="62">
        <v>500000</v>
      </c>
      <c r="AN88" s="62"/>
      <c r="AO88" s="62"/>
      <c r="AP88" s="62">
        <v>97000</v>
      </c>
      <c r="AQ88" s="62">
        <f t="shared" si="85"/>
        <v>0</v>
      </c>
      <c r="AR88" s="62">
        <f t="shared" si="77"/>
        <v>597000</v>
      </c>
      <c r="AS88" s="62">
        <f t="shared" si="78"/>
        <v>3710288.2399999993</v>
      </c>
      <c r="AT88" s="59"/>
      <c r="AU88" s="234">
        <f t="shared" si="84"/>
        <v>55</v>
      </c>
      <c r="AV88" s="61" t="str">
        <f t="shared" si="79"/>
        <v>JANTO SIHOMBING</v>
      </c>
      <c r="AW88" s="60">
        <f t="shared" si="80"/>
        <v>3710288.2399999993</v>
      </c>
      <c r="AX88" s="64"/>
      <c r="AY88" s="68"/>
      <c r="AZ88" s="68"/>
      <c r="BA88" s="59">
        <f>+VLOOKUP(C88,'tanda terima  (2)'!$C$4:$G$106,5,0)</f>
        <v>3710288.2399999993</v>
      </c>
      <c r="BB88" s="59"/>
      <c r="BG88" s="58">
        <f>+VLOOKUP(C88,[1]ALL!$C$26:$AQ$91,40,0)</f>
        <v>0</v>
      </c>
    </row>
    <row r="89" s="58" customFormat="1">
      <c r="A89" s="68">
        <f t="shared" si="59"/>
        <v>56</v>
      </c>
      <c r="B89" s="68" t="s">
        <v>382</v>
      </c>
      <c r="C89" s="17" t="s">
        <v>158</v>
      </c>
      <c r="D89" s="68" t="s">
        <v>15</v>
      </c>
      <c r="E89" s="68" t="s">
        <v>17</v>
      </c>
      <c r="F89" s="68"/>
      <c r="G89" s="68"/>
      <c r="H89" s="265" t="str">
        <f t="shared" si="60"/>
        <v>FULL</v>
      </c>
      <c r="I89" s="28"/>
      <c r="J89" s="28"/>
      <c r="K89" s="28"/>
      <c r="L89" s="67">
        <f t="shared" si="82"/>
        <v>0</v>
      </c>
      <c r="M89" s="28">
        <f t="shared" si="61"/>
        <v>4498962</v>
      </c>
      <c r="N89" s="37">
        <f t="shared" si="62"/>
        <v>0</v>
      </c>
      <c r="O89" s="65"/>
      <c r="P89" s="66">
        <f t="shared" si="63"/>
        <v>234321.1716</v>
      </c>
      <c r="Q89" s="66">
        <f t="shared" si="64"/>
        <v>191673.76</v>
      </c>
      <c r="R89" s="66">
        <f t="shared" si="65"/>
        <v>95836.88</v>
      </c>
      <c r="S89" s="65">
        <f t="shared" si="66"/>
        <v>521831.8116</v>
      </c>
      <c r="T89" s="65">
        <v>374913.5</v>
      </c>
      <c r="U89" s="67"/>
      <c r="V89" s="67">
        <f t="shared" si="67"/>
        <v>4498962</v>
      </c>
      <c r="W89" s="67"/>
      <c r="X89" s="68"/>
      <c r="Y89" s="68">
        <f t="shared" si="68"/>
        <v>56</v>
      </c>
      <c r="Z89" s="233" t="str">
        <f t="shared" si="69"/>
        <v>ANDI KUSNADI</v>
      </c>
      <c r="AA89" s="64" t="str">
        <f>+VLOOKUP(C89,[1]MILKRUN!$C$4:$R$70,16,0)</f>
        <v>K2</v>
      </c>
      <c r="AB89" s="63">
        <f t="shared" si="70"/>
        <v>4498962</v>
      </c>
      <c r="AC89" s="63">
        <f t="shared" si="71"/>
        <v>95836.88</v>
      </c>
      <c r="AD89" s="63">
        <f t="shared" si="81"/>
        <v>47918.44</v>
      </c>
      <c r="AE89" s="63">
        <f t="shared" si="81"/>
        <v>47918.44</v>
      </c>
      <c r="AF89" s="63">
        <f t="shared" si="72"/>
        <v>4307288.239999999</v>
      </c>
      <c r="AG89" s="63">
        <f t="shared" si="73"/>
        <v>5625000</v>
      </c>
      <c r="AH89" s="63">
        <f t="shared" si="74"/>
        <v>-1317711.7600000007</v>
      </c>
      <c r="AI89" s="63">
        <f t="shared" si="83"/>
        <v>0</v>
      </c>
      <c r="AJ89" s="62">
        <f t="shared" si="75"/>
        <v>4307288.239999999</v>
      </c>
      <c r="AK89" s="62"/>
      <c r="AL89" s="62"/>
      <c r="AM89" s="62"/>
      <c r="AN89" s="62"/>
      <c r="AO89" s="62"/>
      <c r="AP89" s="62"/>
      <c r="AQ89" s="62">
        <f t="shared" si="85"/>
        <v>0</v>
      </c>
      <c r="AR89" s="62">
        <f t="shared" si="77"/>
        <v>0</v>
      </c>
      <c r="AS89" s="62">
        <f t="shared" si="78"/>
        <v>4307288.239999999</v>
      </c>
      <c r="AT89" s="59"/>
      <c r="AU89" s="234">
        <f t="shared" si="84"/>
        <v>56</v>
      </c>
      <c r="AV89" s="61" t="str">
        <f t="shared" si="79"/>
        <v>ANDI KUSNADI</v>
      </c>
      <c r="AW89" s="60">
        <f t="shared" si="80"/>
        <v>4307288.239999999</v>
      </c>
      <c r="AX89" s="64"/>
      <c r="AY89" s="68"/>
      <c r="AZ89" s="68"/>
      <c r="BA89" s="59">
        <f>+VLOOKUP(C89,'tanda terima  (2)'!$C$4:$G$106,5,0)</f>
        <v>4307288.239999999</v>
      </c>
      <c r="BB89" s="59"/>
      <c r="BG89" s="58" t="s">
        <v>360</v>
      </c>
    </row>
    <row r="90" s="58" customFormat="1">
      <c r="A90" s="68">
        <f t="shared" si="59"/>
        <v>57</v>
      </c>
      <c r="B90" s="255" t="s">
        <v>383</v>
      </c>
      <c r="C90" s="17" t="s">
        <v>160</v>
      </c>
      <c r="D90" s="68" t="s">
        <v>15</v>
      </c>
      <c r="E90" s="68" t="s">
        <v>17</v>
      </c>
      <c r="F90" s="68"/>
      <c r="G90" s="68"/>
      <c r="H90" s="265" t="str">
        <f t="shared" si="60"/>
        <v>FULL</v>
      </c>
      <c r="I90" s="28"/>
      <c r="J90" s="28"/>
      <c r="K90" s="28"/>
      <c r="L90" s="67">
        <f t="shared" si="82"/>
        <v>0</v>
      </c>
      <c r="M90" s="28">
        <f t="shared" si="61"/>
        <v>4498962</v>
      </c>
      <c r="N90" s="37">
        <f t="shared" si="62"/>
        <v>0</v>
      </c>
      <c r="O90" s="65"/>
      <c r="P90" s="66">
        <f t="shared" si="63"/>
        <v>234321.1716</v>
      </c>
      <c r="Q90" s="66">
        <f t="shared" si="64"/>
        <v>191673.76</v>
      </c>
      <c r="R90" s="66">
        <f t="shared" si="65"/>
        <v>95836.88</v>
      </c>
      <c r="S90" s="65">
        <f t="shared" si="66"/>
        <v>521831.8116</v>
      </c>
      <c r="T90" s="65">
        <v>374913.5</v>
      </c>
      <c r="U90" s="67"/>
      <c r="V90" s="67">
        <f t="shared" si="67"/>
        <v>4498962</v>
      </c>
      <c r="W90" s="67"/>
      <c r="X90" s="68"/>
      <c r="Y90" s="68">
        <f t="shared" si="68"/>
        <v>57</v>
      </c>
      <c r="Z90" s="233" t="str">
        <f t="shared" si="69"/>
        <v>LINDA NURJAMAN</v>
      </c>
      <c r="AA90" s="64" t="str">
        <f>+VLOOKUP(C90,[1]MILKRUN!$C$4:$R$70,16,0)</f>
        <v>K2</v>
      </c>
      <c r="AB90" s="63">
        <f t="shared" si="70"/>
        <v>4498962</v>
      </c>
      <c r="AC90" s="63">
        <f t="shared" si="71"/>
        <v>95836.88</v>
      </c>
      <c r="AD90" s="63">
        <f t="shared" si="81"/>
        <v>47918.44</v>
      </c>
      <c r="AE90" s="63">
        <f t="shared" si="81"/>
        <v>47918.44</v>
      </c>
      <c r="AF90" s="63">
        <f t="shared" si="72"/>
        <v>4307288.239999999</v>
      </c>
      <c r="AG90" s="63">
        <f t="shared" si="73"/>
        <v>5625000</v>
      </c>
      <c r="AH90" s="63">
        <f t="shared" si="74"/>
        <v>-1317711.7600000007</v>
      </c>
      <c r="AI90" s="63">
        <f t="shared" si="83"/>
        <v>0</v>
      </c>
      <c r="AJ90" s="62">
        <f t="shared" si="75"/>
        <v>4307288.239999999</v>
      </c>
      <c r="AK90" s="62"/>
      <c r="AL90" s="62"/>
      <c r="AM90" s="62"/>
      <c r="AN90" s="62"/>
      <c r="AO90" s="62"/>
      <c r="AP90" s="62"/>
      <c r="AQ90" s="62">
        <f t="shared" si="85"/>
        <v>0</v>
      </c>
      <c r="AR90" s="62">
        <f t="shared" si="77"/>
        <v>0</v>
      </c>
      <c r="AS90" s="62">
        <f t="shared" si="78"/>
        <v>4307288.239999999</v>
      </c>
      <c r="AT90" s="59"/>
      <c r="AU90" s="234">
        <f t="shared" si="84"/>
        <v>57</v>
      </c>
      <c r="AV90" s="61" t="str">
        <f t="shared" si="79"/>
        <v>LINDA NURJAMAN</v>
      </c>
      <c r="AW90" s="60">
        <f t="shared" si="80"/>
        <v>4307288.239999999</v>
      </c>
      <c r="AX90" s="64"/>
      <c r="AY90" s="68"/>
      <c r="AZ90" s="68"/>
      <c r="BA90" s="59">
        <f>+VLOOKUP(C90,'tanda terima  (2)'!$C$4:$G$106,5,0)</f>
        <v>4307288.239999999</v>
      </c>
      <c r="BB90" s="59"/>
      <c r="BG90" s="58">
        <f>+VLOOKUP(C90,[1]ALL!$C$26:$AQ$91,40,0)</f>
        <v>0</v>
      </c>
    </row>
    <row r="91" s="58" customFormat="1">
      <c r="A91" s="68">
        <f t="shared" si="59"/>
        <v>58</v>
      </c>
      <c r="B91" s="68" t="s">
        <v>384</v>
      </c>
      <c r="C91" s="17" t="s">
        <v>175</v>
      </c>
      <c r="D91" s="68" t="s">
        <v>15</v>
      </c>
      <c r="E91" s="68" t="s">
        <v>17</v>
      </c>
      <c r="F91" s="68"/>
      <c r="G91" s="68"/>
      <c r="H91" s="265" t="str">
        <f t="shared" si="60"/>
        <v>FULL</v>
      </c>
      <c r="I91" s="28"/>
      <c r="J91" s="28"/>
      <c r="K91" s="28"/>
      <c r="L91" s="67">
        <f t="shared" si="82"/>
        <v>0</v>
      </c>
      <c r="M91" s="28">
        <f t="shared" si="61"/>
        <v>4498962</v>
      </c>
      <c r="N91" s="37">
        <f t="shared" si="62"/>
        <v>0</v>
      </c>
      <c r="O91" s="65"/>
      <c r="P91" s="66">
        <f t="shared" si="63"/>
        <v>234321.1716</v>
      </c>
      <c r="Q91" s="66">
        <f t="shared" si="64"/>
        <v>191673.76</v>
      </c>
      <c r="R91" s="66">
        <f t="shared" si="65"/>
        <v>95836.88</v>
      </c>
      <c r="S91" s="65">
        <f t="shared" si="66"/>
        <v>521831.8116</v>
      </c>
      <c r="T91" s="65">
        <v>374913.5</v>
      </c>
      <c r="U91" s="67"/>
      <c r="V91" s="67">
        <f t="shared" si="67"/>
        <v>4498962</v>
      </c>
      <c r="W91" s="67"/>
      <c r="X91" s="68"/>
      <c r="Y91" s="68">
        <f t="shared" si="68"/>
        <v>58</v>
      </c>
      <c r="Z91" s="233" t="str">
        <f t="shared" si="69"/>
        <v>MA'SHUM MUBAROK</v>
      </c>
      <c r="AA91" s="64" t="s">
        <v>216</v>
      </c>
      <c r="AB91" s="63">
        <f t="shared" si="70"/>
        <v>4498962</v>
      </c>
      <c r="AC91" s="63">
        <f t="shared" si="71"/>
        <v>95836.88</v>
      </c>
      <c r="AD91" s="63">
        <f t="shared" si="81"/>
        <v>47918.44</v>
      </c>
      <c r="AE91" s="63">
        <f t="shared" si="81"/>
        <v>47918.44</v>
      </c>
      <c r="AF91" s="63">
        <f t="shared" si="72"/>
        <v>4307288.239999999</v>
      </c>
      <c r="AG91" s="63">
        <f t="shared" si="73"/>
        <v>4875000</v>
      </c>
      <c r="AH91" s="63">
        <f t="shared" si="74"/>
        <v>-567711.7600000007</v>
      </c>
      <c r="AI91" s="63">
        <f t="shared" si="83"/>
        <v>0</v>
      </c>
      <c r="AJ91" s="62">
        <f t="shared" si="75"/>
        <v>4307288.239999999</v>
      </c>
      <c r="AK91" s="62"/>
      <c r="AL91" s="62"/>
      <c r="AM91" s="62"/>
      <c r="AN91" s="62"/>
      <c r="AO91" s="62"/>
      <c r="AP91" s="62">
        <v>80000</v>
      </c>
      <c r="AQ91" s="62">
        <f t="shared" si="85"/>
        <v>0</v>
      </c>
      <c r="AR91" s="62">
        <f t="shared" si="77"/>
        <v>80000</v>
      </c>
      <c r="AS91" s="62">
        <f t="shared" si="78"/>
        <v>4227288.239999999</v>
      </c>
      <c r="AT91" s="59"/>
      <c r="AU91" s="234">
        <f t="shared" si="84"/>
        <v>58</v>
      </c>
      <c r="AV91" s="61" t="str">
        <f t="shared" si="79"/>
        <v>MA'SHUM MUBAROK</v>
      </c>
      <c r="AW91" s="60">
        <f t="shared" si="80"/>
        <v>4227288.239999999</v>
      </c>
      <c r="AX91" s="64"/>
      <c r="AY91" s="68"/>
      <c r="AZ91" s="68"/>
      <c r="BA91" s="59">
        <f>+VLOOKUP(C91,'tanda terima  (2)'!$C$4:$G$106,5,0)</f>
        <v>4227288.239999999</v>
      </c>
      <c r="BB91" s="59"/>
      <c r="BG91" s="58" t="s">
        <v>385</v>
      </c>
    </row>
    <row r="92" s="58" customFormat="1">
      <c r="A92" s="68">
        <f t="shared" si="59"/>
        <v>59</v>
      </c>
      <c r="B92" s="68" t="s">
        <v>386</v>
      </c>
      <c r="C92" s="17" t="s">
        <v>179</v>
      </c>
      <c r="D92" s="68" t="s">
        <v>15</v>
      </c>
      <c r="E92" s="68" t="s">
        <v>17</v>
      </c>
      <c r="F92" s="68"/>
      <c r="G92" s="68"/>
      <c r="H92" s="265" t="str">
        <f t="shared" si="60"/>
        <v>FULL</v>
      </c>
      <c r="I92" s="28"/>
      <c r="J92" s="28"/>
      <c r="K92" s="28"/>
      <c r="L92" s="67">
        <f t="shared" si="82"/>
        <v>0</v>
      </c>
      <c r="M92" s="28">
        <f t="shared" si="61"/>
        <v>4498962</v>
      </c>
      <c r="N92" s="37">
        <f t="shared" si="62"/>
        <v>0</v>
      </c>
      <c r="O92" s="65"/>
      <c r="P92" s="66">
        <f t="shared" si="63"/>
        <v>234321.1716</v>
      </c>
      <c r="Q92" s="66">
        <f t="shared" si="64"/>
        <v>191673.76</v>
      </c>
      <c r="R92" s="66">
        <f t="shared" si="65"/>
        <v>95836.88</v>
      </c>
      <c r="S92" s="65">
        <f t="shared" si="66"/>
        <v>521831.8116</v>
      </c>
      <c r="T92" s="65">
        <v>374913.5</v>
      </c>
      <c r="U92" s="67"/>
      <c r="V92" s="67">
        <f t="shared" si="67"/>
        <v>4498962</v>
      </c>
      <c r="W92" s="67"/>
      <c r="X92" s="68"/>
      <c r="Y92" s="68">
        <f t="shared" si="68"/>
        <v>59</v>
      </c>
      <c r="Z92" s="233" t="str">
        <f t="shared" si="69"/>
        <v>AGUS TIANA</v>
      </c>
      <c r="AA92" s="64" t="str">
        <f>+VLOOKUP(C92,[1]MILKRUN!$C$4:$R$70,16,0)</f>
        <v>L</v>
      </c>
      <c r="AB92" s="63">
        <f t="shared" si="70"/>
        <v>4498962</v>
      </c>
      <c r="AC92" s="63">
        <f t="shared" si="71"/>
        <v>95836.88</v>
      </c>
      <c r="AD92" s="63">
        <f t="shared" si="81"/>
        <v>47918.44</v>
      </c>
      <c r="AE92" s="63">
        <f t="shared" si="81"/>
        <v>47918.44</v>
      </c>
      <c r="AF92" s="63">
        <f t="shared" si="72"/>
        <v>4307288.239999999</v>
      </c>
      <c r="AG92" s="63">
        <f t="shared" si="73"/>
        <v>4500000</v>
      </c>
      <c r="AH92" s="63">
        <f t="shared" si="74"/>
        <v>-192711.7600000007</v>
      </c>
      <c r="AI92" s="63">
        <f t="shared" si="83"/>
        <v>0</v>
      </c>
      <c r="AJ92" s="62">
        <f t="shared" si="75"/>
        <v>4307288.239999999</v>
      </c>
      <c r="AK92" s="62"/>
      <c r="AL92" s="62"/>
      <c r="AM92" s="62"/>
      <c r="AN92" s="62"/>
      <c r="AO92" s="62"/>
      <c r="AP92" s="62"/>
      <c r="AQ92" s="62">
        <f t="shared" si="85"/>
        <v>0</v>
      </c>
      <c r="AR92" s="62">
        <f t="shared" si="77"/>
        <v>0</v>
      </c>
      <c r="AS92" s="62">
        <f t="shared" si="78"/>
        <v>4307288.239999999</v>
      </c>
      <c r="AT92" s="59"/>
      <c r="AU92" s="234">
        <f t="shared" si="84"/>
        <v>59</v>
      </c>
      <c r="AV92" s="61" t="str">
        <f t="shared" si="79"/>
        <v>AGUS TIANA</v>
      </c>
      <c r="AW92" s="60">
        <f t="shared" si="80"/>
        <v>4307288.239999999</v>
      </c>
      <c r="AX92" s="64"/>
      <c r="AY92" s="68"/>
      <c r="AZ92" s="68"/>
      <c r="BA92" s="59">
        <f>+VLOOKUP(C92,'tanda terima  (2)'!$C$4:$G$106,5,0)</f>
        <v>4307288.239999999</v>
      </c>
      <c r="BB92" s="59"/>
      <c r="BG92" s="58" t="s">
        <v>355</v>
      </c>
    </row>
    <row r="93" s="58" customFormat="1">
      <c r="A93" s="68">
        <f t="shared" si="59"/>
        <v>60</v>
      </c>
      <c r="B93" s="68" t="s">
        <v>387</v>
      </c>
      <c r="C93" s="17" t="s">
        <v>180</v>
      </c>
      <c r="D93" s="68" t="s">
        <v>15</v>
      </c>
      <c r="E93" s="68" t="s">
        <v>17</v>
      </c>
      <c r="F93" s="68"/>
      <c r="G93" s="68"/>
      <c r="H93" s="265" t="str">
        <f t="shared" si="60"/>
        <v>FULL</v>
      </c>
      <c r="I93" s="28"/>
      <c r="J93" s="28"/>
      <c r="K93" s="28"/>
      <c r="L93" s="67">
        <f t="shared" si="82"/>
        <v>0</v>
      </c>
      <c r="M93" s="28">
        <f t="shared" si="61"/>
        <v>4498962</v>
      </c>
      <c r="N93" s="37">
        <f t="shared" si="62"/>
        <v>0</v>
      </c>
      <c r="O93" s="65"/>
      <c r="P93" s="66">
        <f t="shared" si="63"/>
        <v>234321.1716</v>
      </c>
      <c r="Q93" s="66">
        <f t="shared" si="64"/>
        <v>191673.76</v>
      </c>
      <c r="R93" s="66">
        <f t="shared" si="65"/>
        <v>95836.88</v>
      </c>
      <c r="S93" s="65">
        <f t="shared" si="66"/>
        <v>521831.8116</v>
      </c>
      <c r="T93" s="65">
        <v>374913.5</v>
      </c>
      <c r="U93" s="67"/>
      <c r="V93" s="67">
        <f t="shared" si="67"/>
        <v>4498962</v>
      </c>
      <c r="W93" s="67"/>
      <c r="X93" s="68"/>
      <c r="Y93" s="68">
        <f t="shared" si="68"/>
        <v>60</v>
      </c>
      <c r="Z93" s="233" t="str">
        <f t="shared" si="69"/>
        <v>YUSUP MUSTOPA</v>
      </c>
      <c r="AA93" s="64" t="str">
        <f>+VLOOKUP(C93,[1]MILKRUN!$C$4:$R$70,16,0)</f>
        <v>L</v>
      </c>
      <c r="AB93" s="63">
        <f t="shared" si="70"/>
        <v>4498962</v>
      </c>
      <c r="AC93" s="63">
        <f t="shared" si="71"/>
        <v>95836.88</v>
      </c>
      <c r="AD93" s="63">
        <f t="shared" si="81"/>
        <v>47918.44</v>
      </c>
      <c r="AE93" s="63">
        <f t="shared" si="81"/>
        <v>47918.44</v>
      </c>
      <c r="AF93" s="63">
        <f t="shared" si="72"/>
        <v>4307288.239999999</v>
      </c>
      <c r="AG93" s="63">
        <f t="shared" si="73"/>
        <v>4500000</v>
      </c>
      <c r="AH93" s="63">
        <f t="shared" si="74"/>
        <v>-192711.7600000007</v>
      </c>
      <c r="AI93" s="63">
        <f t="shared" si="83"/>
        <v>0</v>
      </c>
      <c r="AJ93" s="62">
        <f t="shared" si="75"/>
        <v>4307288.239999999</v>
      </c>
      <c r="AK93" s="62"/>
      <c r="AL93" s="62"/>
      <c r="AM93" s="62"/>
      <c r="AN93" s="62"/>
      <c r="AO93" s="62"/>
      <c r="AP93" s="62"/>
      <c r="AQ93" s="62">
        <f t="shared" si="85"/>
        <v>0</v>
      </c>
      <c r="AR93" s="62">
        <f t="shared" si="77"/>
        <v>0</v>
      </c>
      <c r="AS93" s="62">
        <f t="shared" si="78"/>
        <v>4307288.239999999</v>
      </c>
      <c r="AT93" s="59"/>
      <c r="AU93" s="234">
        <f t="shared" si="84"/>
        <v>60</v>
      </c>
      <c r="AV93" s="61" t="str">
        <f t="shared" si="79"/>
        <v>YUSUP MUSTOPA</v>
      </c>
      <c r="AW93" s="60">
        <f t="shared" si="80"/>
        <v>4307288.239999999</v>
      </c>
      <c r="AX93" s="64"/>
      <c r="AY93" s="68"/>
      <c r="AZ93" s="68"/>
      <c r="BA93" s="59">
        <f>+VLOOKUP(C93,'tanda terima  (2)'!$C$4:$G$106,5,0)</f>
        <v>4307288.239999999</v>
      </c>
      <c r="BB93" s="59"/>
      <c r="BG93" s="58">
        <f>+VLOOKUP(C93,[1]ALL!$C$26:$AQ$91,40,0)</f>
        <v>0</v>
      </c>
    </row>
    <row r="94" s="58" customFormat="1">
      <c r="A94" s="68">
        <f t="shared" si="59"/>
        <v>61</v>
      </c>
      <c r="B94" s="68" t="s">
        <v>388</v>
      </c>
      <c r="C94" s="17" t="s">
        <v>61</v>
      </c>
      <c r="D94" s="68" t="s">
        <v>15</v>
      </c>
      <c r="E94" s="68" t="s">
        <v>17</v>
      </c>
      <c r="F94" s="68"/>
      <c r="G94" s="68"/>
      <c r="H94" s="265" t="str">
        <f t="shared" si="60"/>
        <v>FULL</v>
      </c>
      <c r="I94" s="28"/>
      <c r="J94" s="28"/>
      <c r="K94" s="28"/>
      <c r="L94" s="67">
        <f t="shared" si="82"/>
        <v>0</v>
      </c>
      <c r="M94" s="28">
        <f t="shared" si="61"/>
        <v>4498962</v>
      </c>
      <c r="N94" s="37">
        <f t="shared" si="62"/>
        <v>0</v>
      </c>
      <c r="O94" s="65"/>
      <c r="P94" s="66">
        <f t="shared" si="63"/>
        <v>234321.1716</v>
      </c>
      <c r="Q94" s="66">
        <f t="shared" si="64"/>
        <v>191673.76</v>
      </c>
      <c r="R94" s="66">
        <f t="shared" si="65"/>
        <v>95836.88</v>
      </c>
      <c r="S94" s="65">
        <f t="shared" si="66"/>
        <v>521831.8116</v>
      </c>
      <c r="T94" s="65">
        <v>374913.5</v>
      </c>
      <c r="U94" s="67"/>
      <c r="V94" s="67">
        <f t="shared" si="67"/>
        <v>4498962</v>
      </c>
      <c r="W94" s="67"/>
      <c r="X94" s="68"/>
      <c r="Y94" s="68">
        <f t="shared" si="68"/>
        <v>61</v>
      </c>
      <c r="Z94" s="233" t="str">
        <f t="shared" si="69"/>
        <v>EKO DARMAWAN</v>
      </c>
      <c r="AA94" s="64" t="s">
        <v>216</v>
      </c>
      <c r="AB94" s="63">
        <f t="shared" si="70"/>
        <v>4498962</v>
      </c>
      <c r="AC94" s="63">
        <f t="shared" si="71"/>
        <v>95836.88</v>
      </c>
      <c r="AD94" s="63">
        <f ref="AD94:AE113" t="shared" si="86">4791844*1%</f>
        <v>47918.44</v>
      </c>
      <c r="AE94" s="63">
        <f t="shared" si="86"/>
        <v>47918.44</v>
      </c>
      <c r="AF94" s="63">
        <f t="shared" si="72"/>
        <v>4307288.239999999</v>
      </c>
      <c r="AG94" s="63">
        <f t="shared" si="73"/>
        <v>4875000</v>
      </c>
      <c r="AH94" s="63">
        <f t="shared" si="74"/>
        <v>-567711.7600000007</v>
      </c>
      <c r="AI94" s="63">
        <f t="shared" si="83"/>
        <v>0</v>
      </c>
      <c r="AJ94" s="62">
        <f t="shared" si="75"/>
        <v>4307288.239999999</v>
      </c>
      <c r="AK94" s="62"/>
      <c r="AL94" s="62"/>
      <c r="AM94" s="62"/>
      <c r="AN94" s="62"/>
      <c r="AO94" s="62"/>
      <c r="AP94" s="62"/>
      <c r="AQ94" s="62">
        <f t="shared" si="85"/>
        <v>0</v>
      </c>
      <c r="AR94" s="62">
        <f t="shared" si="77"/>
        <v>0</v>
      </c>
      <c r="AS94" s="62">
        <f t="shared" si="78"/>
        <v>4307288.239999999</v>
      </c>
      <c r="AT94" s="59"/>
      <c r="AU94" s="234">
        <f t="shared" si="84"/>
        <v>61</v>
      </c>
      <c r="AV94" s="61" t="str">
        <f t="shared" si="79"/>
        <v>EKO DARMAWAN</v>
      </c>
      <c r="AW94" s="60">
        <f t="shared" si="80"/>
        <v>4307288.239999999</v>
      </c>
      <c r="AX94" s="64"/>
      <c r="AY94" s="68"/>
      <c r="AZ94" s="68"/>
      <c r="BA94" s="59">
        <f>+VLOOKUP(C94,'tanda terima  (2)'!$C$4:$G$106,5,0)</f>
        <v>4307288.239999999</v>
      </c>
      <c r="BB94" s="59"/>
      <c r="BG94" s="58">
        <f>+VLOOKUP(C94,[1]ALL!$C$26:$AQ$91,40,0)</f>
        <v>0</v>
      </c>
    </row>
    <row r="95" s="58" customFormat="1">
      <c r="A95" s="68">
        <f t="shared" si="59"/>
        <v>62</v>
      </c>
      <c r="B95" s="68" t="s">
        <v>389</v>
      </c>
      <c r="C95" s="17" t="s">
        <v>173</v>
      </c>
      <c r="D95" s="68" t="s">
        <v>15</v>
      </c>
      <c r="E95" s="68" t="s">
        <v>17</v>
      </c>
      <c r="F95" s="68"/>
      <c r="G95" s="68"/>
      <c r="H95" s="265" t="str">
        <f t="shared" si="60"/>
        <v>FULL</v>
      </c>
      <c r="I95" s="28"/>
      <c r="J95" s="28"/>
      <c r="K95" s="28"/>
      <c r="L95" s="67">
        <f t="shared" si="82"/>
        <v>0</v>
      </c>
      <c r="M95" s="28">
        <f t="shared" si="61"/>
        <v>4498962</v>
      </c>
      <c r="N95" s="37">
        <f t="shared" si="62"/>
        <v>0</v>
      </c>
      <c r="O95" s="65"/>
      <c r="P95" s="66">
        <f t="shared" si="63"/>
        <v>234321.1716</v>
      </c>
      <c r="Q95" s="66">
        <f t="shared" si="64"/>
        <v>191673.76</v>
      </c>
      <c r="R95" s="66">
        <f t="shared" si="65"/>
        <v>95836.88</v>
      </c>
      <c r="S95" s="65">
        <f t="shared" si="66"/>
        <v>521831.8116</v>
      </c>
      <c r="T95" s="65">
        <v>374913.5</v>
      </c>
      <c r="U95" s="67"/>
      <c r="V95" s="67">
        <f t="shared" si="67"/>
        <v>4498962</v>
      </c>
      <c r="W95" s="67"/>
      <c r="X95" s="68"/>
      <c r="Y95" s="68">
        <f t="shared" si="68"/>
        <v>62</v>
      </c>
      <c r="Z95" s="233" t="str">
        <f t="shared" si="69"/>
        <v>MARTAHAN PETRUS SINAGA</v>
      </c>
      <c r="AA95" s="64" t="s">
        <v>216</v>
      </c>
      <c r="AB95" s="63">
        <f t="shared" si="70"/>
        <v>4498962</v>
      </c>
      <c r="AC95" s="63">
        <f t="shared" si="71"/>
        <v>95836.88</v>
      </c>
      <c r="AD95" s="63">
        <f t="shared" si="86"/>
        <v>47918.44</v>
      </c>
      <c r="AE95" s="63">
        <f t="shared" si="86"/>
        <v>47918.44</v>
      </c>
      <c r="AF95" s="63">
        <f t="shared" si="72"/>
        <v>4307288.239999999</v>
      </c>
      <c r="AG95" s="63">
        <f t="shared" si="73"/>
        <v>4875000</v>
      </c>
      <c r="AH95" s="63">
        <f t="shared" si="74"/>
        <v>-567711.7600000007</v>
      </c>
      <c r="AI95" s="63">
        <f t="shared" si="83"/>
        <v>0</v>
      </c>
      <c r="AJ95" s="62">
        <f t="shared" si="75"/>
        <v>4307288.239999999</v>
      </c>
      <c r="AK95" s="62"/>
      <c r="AL95" s="62"/>
      <c r="AM95" s="62"/>
      <c r="AN95" s="62"/>
      <c r="AO95" s="62"/>
      <c r="AP95" s="62"/>
      <c r="AQ95" s="62">
        <f t="shared" si="85"/>
        <v>0</v>
      </c>
      <c r="AR95" s="62">
        <f t="shared" si="77"/>
        <v>0</v>
      </c>
      <c r="AS95" s="62">
        <f t="shared" si="78"/>
        <v>4307288.239999999</v>
      </c>
      <c r="AT95" s="59"/>
      <c r="AU95" s="234">
        <f t="shared" si="84"/>
        <v>62</v>
      </c>
      <c r="AV95" s="61" t="str">
        <f t="shared" si="79"/>
        <v>MARTAHAN PETRUS SINAGA</v>
      </c>
      <c r="AW95" s="60">
        <f t="shared" si="80"/>
        <v>4307288.239999999</v>
      </c>
      <c r="AX95" s="64"/>
      <c r="AY95" s="68"/>
      <c r="AZ95" s="68"/>
      <c r="BA95" s="59">
        <f>+VLOOKUP(C95,'tanda terima  (2)'!$C$4:$G$106,5,0)</f>
        <v>4307288.239999999</v>
      </c>
      <c r="BB95" s="59"/>
      <c r="BG95" s="58">
        <f>+VLOOKUP(C95,[1]ALL!$C$26:$AQ$91,40,0)</f>
        <v>0</v>
      </c>
    </row>
    <row r="96" s="58" customFormat="1">
      <c r="A96" s="68">
        <f t="shared" si="59"/>
        <v>63</v>
      </c>
      <c r="B96" s="316" t="s">
        <v>390</v>
      </c>
      <c r="C96" s="17" t="s">
        <v>190</v>
      </c>
      <c r="D96" s="68" t="s">
        <v>15</v>
      </c>
      <c r="E96" s="68" t="s">
        <v>17</v>
      </c>
      <c r="F96" s="68"/>
      <c r="G96" s="68"/>
      <c r="H96" s="265" t="str">
        <f t="shared" si="60"/>
        <v>FULL</v>
      </c>
      <c r="I96" s="28"/>
      <c r="J96" s="28"/>
      <c r="K96" s="28"/>
      <c r="L96" s="67"/>
      <c r="M96" s="28">
        <f t="shared" si="61"/>
        <v>4498962</v>
      </c>
      <c r="N96" s="37">
        <f t="shared" si="62"/>
        <v>0</v>
      </c>
      <c r="O96" s="65"/>
      <c r="P96" s="66">
        <f t="shared" si="63"/>
        <v>234321.1716</v>
      </c>
      <c r="Q96" s="66">
        <f t="shared" si="64"/>
        <v>191673.76</v>
      </c>
      <c r="R96" s="66">
        <f t="shared" si="65"/>
        <v>95836.88</v>
      </c>
      <c r="S96" s="65">
        <f t="shared" si="66"/>
        <v>521831.8116</v>
      </c>
      <c r="T96" s="65">
        <v>374913.5</v>
      </c>
      <c r="U96" s="67"/>
      <c r="V96" s="67">
        <f t="shared" si="67"/>
        <v>4498962</v>
      </c>
      <c r="W96" s="67"/>
      <c r="X96" s="68"/>
      <c r="Y96" s="68">
        <f t="shared" si="68"/>
        <v>63</v>
      </c>
      <c r="Z96" s="233" t="str">
        <f t="shared" si="69"/>
        <v>NURHASAN</v>
      </c>
      <c r="AA96" s="317" t="s">
        <v>218</v>
      </c>
      <c r="AB96" s="63">
        <f t="shared" si="70"/>
        <v>4498962</v>
      </c>
      <c r="AC96" s="63">
        <f t="shared" si="71"/>
        <v>95836.88</v>
      </c>
      <c r="AD96" s="63">
        <f t="shared" si="86"/>
        <v>47918.44</v>
      </c>
      <c r="AE96" s="63">
        <f t="shared" si="86"/>
        <v>47918.44</v>
      </c>
      <c r="AF96" s="63">
        <f t="shared" si="72"/>
        <v>4307288.239999999</v>
      </c>
      <c r="AG96" s="63">
        <f t="shared" si="73"/>
        <v>5625000</v>
      </c>
      <c r="AH96" s="63">
        <f t="shared" si="74"/>
        <v>-1317711.7600000007</v>
      </c>
      <c r="AI96" s="63"/>
      <c r="AJ96" s="62">
        <f t="shared" si="75"/>
        <v>4307288.239999999</v>
      </c>
      <c r="AK96" s="62"/>
      <c r="AL96" s="62"/>
      <c r="AM96" s="62">
        <v>500000</v>
      </c>
      <c r="AN96" s="62"/>
      <c r="AO96" s="62"/>
      <c r="AP96" s="62"/>
      <c r="AQ96" s="62">
        <f t="shared" si="85"/>
        <v>0</v>
      </c>
      <c r="AR96" s="62">
        <f t="shared" si="77"/>
        <v>500000</v>
      </c>
      <c r="AS96" s="62">
        <f t="shared" si="78"/>
        <v>3807288.2399999993</v>
      </c>
      <c r="AT96" s="59"/>
      <c r="AU96" s="234"/>
      <c r="AV96" s="61" t="str">
        <f t="shared" si="79"/>
        <v>NURHASAN</v>
      </c>
      <c r="AW96" s="60">
        <f t="shared" si="80"/>
        <v>3807288.2399999993</v>
      </c>
      <c r="AX96" s="64"/>
      <c r="AY96" s="68"/>
      <c r="AZ96" s="68"/>
      <c r="BA96" s="59">
        <f>+VLOOKUP(C96,'tanda terima  (2)'!$C$4:$G$106,5,0)</f>
        <v>3807288.2399999993</v>
      </c>
      <c r="BB96" s="59"/>
    </row>
    <row r="97" s="58" customFormat="1">
      <c r="A97" s="68">
        <f t="shared" si="59"/>
        <v>64</v>
      </c>
      <c r="B97" s="316" t="s">
        <v>391</v>
      </c>
      <c r="C97" s="17" t="s">
        <v>164</v>
      </c>
      <c r="D97" s="68" t="s">
        <v>15</v>
      </c>
      <c r="E97" s="68" t="s">
        <v>17</v>
      </c>
      <c r="F97" s="68"/>
      <c r="G97" s="68"/>
      <c r="H97" s="265" t="str">
        <f t="shared" si="60"/>
        <v>FULL</v>
      </c>
      <c r="I97" s="28"/>
      <c r="J97" s="28"/>
      <c r="K97" s="28"/>
      <c r="L97" s="67"/>
      <c r="M97" s="28">
        <f t="shared" si="61"/>
        <v>4498962</v>
      </c>
      <c r="N97" s="37">
        <f t="shared" si="62"/>
        <v>0</v>
      </c>
      <c r="O97" s="65"/>
      <c r="P97" s="66">
        <f t="shared" si="63"/>
        <v>234321.1716</v>
      </c>
      <c r="Q97" s="66">
        <f t="shared" si="64"/>
        <v>191673.76</v>
      </c>
      <c r="R97" s="66">
        <f t="shared" si="65"/>
        <v>95836.88</v>
      </c>
      <c r="S97" s="65">
        <f t="shared" si="66"/>
        <v>521831.8116</v>
      </c>
      <c r="T97" s="65">
        <v>374913.5</v>
      </c>
      <c r="U97" s="67"/>
      <c r="V97" s="67">
        <f t="shared" si="67"/>
        <v>4498962</v>
      </c>
      <c r="W97" s="67"/>
      <c r="X97" s="68"/>
      <c r="Y97" s="68">
        <f t="shared" si="68"/>
        <v>64</v>
      </c>
      <c r="Z97" s="233" t="str">
        <f t="shared" si="69"/>
        <v>MUHAMAD YAKUB</v>
      </c>
      <c r="AA97" s="317" t="s">
        <v>217</v>
      </c>
      <c r="AB97" s="63">
        <f t="shared" si="70"/>
        <v>4498962</v>
      </c>
      <c r="AC97" s="63">
        <f t="shared" si="71"/>
        <v>95836.88</v>
      </c>
      <c r="AD97" s="63">
        <f t="shared" si="86"/>
        <v>47918.44</v>
      </c>
      <c r="AE97" s="63">
        <f t="shared" si="86"/>
        <v>47918.44</v>
      </c>
      <c r="AF97" s="63">
        <f t="shared" si="72"/>
        <v>4307288.239999999</v>
      </c>
      <c r="AG97" s="63">
        <f t="shared" si="73"/>
        <v>5250000</v>
      </c>
      <c r="AH97" s="63">
        <f t="shared" si="74"/>
        <v>-942711.7600000007</v>
      </c>
      <c r="AI97" s="63"/>
      <c r="AJ97" s="62">
        <f t="shared" si="75"/>
        <v>4307288.239999999</v>
      </c>
      <c r="AK97" s="62"/>
      <c r="AL97" s="62"/>
      <c r="AM97" s="62"/>
      <c r="AN97" s="62"/>
      <c r="AO97" s="62"/>
      <c r="AP97" s="62"/>
      <c r="AQ97" s="62">
        <f t="shared" si="85"/>
        <v>0</v>
      </c>
      <c r="AR97" s="62">
        <f t="shared" si="77"/>
        <v>0</v>
      </c>
      <c r="AS97" s="62">
        <f t="shared" si="78"/>
        <v>4307288.239999999</v>
      </c>
      <c r="AT97" s="59"/>
      <c r="AU97" s="234"/>
      <c r="AV97" s="61" t="str">
        <f t="shared" si="79"/>
        <v>MUHAMAD YAKUB</v>
      </c>
      <c r="AW97" s="60">
        <f t="shared" si="80"/>
        <v>4307288.239999999</v>
      </c>
      <c r="AX97" s="64"/>
      <c r="AY97" s="68"/>
      <c r="AZ97" s="68"/>
      <c r="BA97" s="59">
        <f>+VLOOKUP(C97,'tanda terima  (2)'!$C$4:$G$106,5,0)</f>
        <v>4307288.239999999</v>
      </c>
      <c r="BB97" s="59"/>
    </row>
    <row r="98" s="58" customFormat="1">
      <c r="A98" s="68">
        <f ref="A98:A113" t="shared" si="87">+A97+1</f>
        <v>65</v>
      </c>
      <c r="B98" s="316" t="s">
        <v>392</v>
      </c>
      <c r="C98" s="17" t="s">
        <v>167</v>
      </c>
      <c r="D98" s="68" t="s">
        <v>15</v>
      </c>
      <c r="E98" s="68" t="s">
        <v>17</v>
      </c>
      <c r="F98" s="68"/>
      <c r="G98" s="68"/>
      <c r="H98" s="265" t="str">
        <f ref="H98:H113" t="shared" si="88">+IF(G98&gt;=1,"PRORATE",IF(G98=0,"FULL"))</f>
        <v>FULL</v>
      </c>
      <c r="I98" s="28"/>
      <c r="J98" s="28"/>
      <c r="K98" s="28"/>
      <c r="L98" s="67"/>
      <c r="M98" s="28">
        <f ref="M98:M113" t="shared" si="89">+IF(G98&gt;=1,$N$4*G98,IF(L98=0,4498962))</f>
        <v>4498962</v>
      </c>
      <c r="N98" s="37">
        <f ref="N98:N113" t="shared" si="90">+F98*100000</f>
        <v>0</v>
      </c>
      <c r="O98" s="65"/>
      <c r="P98" s="66">
        <f ref="P98:P113" t="shared" si="91">0.0489*4791844</f>
        <v>234321.1716</v>
      </c>
      <c r="Q98" s="66">
        <f ref="Q98:Q113" t="shared" si="92">0.04*4791844</f>
        <v>191673.76</v>
      </c>
      <c r="R98" s="66">
        <f ref="R98:R113" t="shared" si="93">4791844*2%</f>
        <v>95836.88</v>
      </c>
      <c r="S98" s="65">
        <f ref="S98:S113" t="shared" si="94">SUM(P98:R98)</f>
        <v>521831.8116</v>
      </c>
      <c r="T98" s="65">
        <v>374913.5</v>
      </c>
      <c r="U98" s="67"/>
      <c r="V98" s="67">
        <f ref="V98:V113" t="shared" si="95">+M98+N98+O98+U98</f>
        <v>4498962</v>
      </c>
      <c r="W98" s="67"/>
      <c r="X98" s="68"/>
      <c r="Y98" s="68">
        <f ref="Y98:Y113" t="shared" si="96">+A98</f>
        <v>65</v>
      </c>
      <c r="Z98" s="233" t="str">
        <f ref="Z98:Z113" t="shared" si="97">+C98</f>
        <v>MUH SHODIQ</v>
      </c>
      <c r="AA98" s="317" t="s">
        <v>217</v>
      </c>
      <c r="AB98" s="63">
        <f ref="AB98:AB113" t="shared" si="98">+M98+N98+O98+U98</f>
        <v>4498962</v>
      </c>
      <c r="AC98" s="63">
        <f ref="AC98:AC113" t="shared" si="99">4791844*2%</f>
        <v>95836.88</v>
      </c>
      <c r="AD98" s="63">
        <f t="shared" si="86"/>
        <v>47918.44</v>
      </c>
      <c r="AE98" s="63">
        <f t="shared" si="86"/>
        <v>47918.44</v>
      </c>
      <c r="AF98" s="63">
        <f ref="AF98:AF113" t="shared" si="100">+AB98-AC98-AD98-AE98</f>
        <v>4307288.239999999</v>
      </c>
      <c r="AG98" s="63">
        <f ref="AG98:AG113" t="shared" si="101">VLOOKUP(AA98,$AC$1:$AD$5,2,0)</f>
        <v>5250000</v>
      </c>
      <c r="AH98" s="63">
        <f ref="AH98:AH113" t="shared" si="102">+AF98-AG98</f>
        <v>-942711.7600000007</v>
      </c>
      <c r="AI98" s="63"/>
      <c r="AJ98" s="62">
        <f ref="AJ98:AJ113" t="shared" si="103">+AB98-AC98-AD98-AE98-AI98</f>
        <v>4307288.239999999</v>
      </c>
      <c r="AK98" s="62"/>
      <c r="AL98" s="62"/>
      <c r="AM98" s="62"/>
      <c r="AN98" s="62"/>
      <c r="AO98" s="62"/>
      <c r="AP98" s="62"/>
      <c r="AQ98" s="62">
        <f t="shared" si="85"/>
        <v>0</v>
      </c>
      <c r="AR98" s="62">
        <f ref="AR98:AR113" t="shared" si="104">SUM(AK98:AQ98)</f>
        <v>0</v>
      </c>
      <c r="AS98" s="62">
        <f ref="AS98:AS113" t="shared" si="105">+AJ98-AK98-AL98-AM98-AP98-AO98-AN98-AQ98</f>
        <v>4307288.239999999</v>
      </c>
      <c r="AT98" s="59"/>
      <c r="AU98" s="234"/>
      <c r="AV98" s="61" t="str">
        <f ref="AV98:AV113" t="shared" si="106">+C98</f>
        <v>MUH SHODIQ</v>
      </c>
      <c r="AW98" s="60">
        <f ref="AW98:AW113" t="shared" si="107">+AS98</f>
        <v>4307288.239999999</v>
      </c>
      <c r="AX98" s="64"/>
      <c r="AY98" s="68"/>
      <c r="AZ98" s="68"/>
      <c r="BA98" s="59">
        <f>+VLOOKUP(C98,'tanda terima  (2)'!$C$4:$G$106,5,0)</f>
        <v>4307288.239999999</v>
      </c>
      <c r="BB98" s="59"/>
    </row>
    <row r="99" s="58" customFormat="1">
      <c r="A99" s="68">
        <f t="shared" si="87"/>
        <v>66</v>
      </c>
      <c r="B99" s="316" t="s">
        <v>393</v>
      </c>
      <c r="C99" s="17" t="s">
        <v>165</v>
      </c>
      <c r="D99" s="68" t="s">
        <v>15</v>
      </c>
      <c r="E99" s="68" t="s">
        <v>17</v>
      </c>
      <c r="F99" s="68"/>
      <c r="G99" s="68"/>
      <c r="H99" s="265" t="str">
        <f t="shared" si="88"/>
        <v>FULL</v>
      </c>
      <c r="I99" s="28"/>
      <c r="J99" s="28"/>
      <c r="K99" s="28"/>
      <c r="L99" s="67"/>
      <c r="M99" s="28">
        <f t="shared" si="89"/>
        <v>4498962</v>
      </c>
      <c r="N99" s="37">
        <f t="shared" si="90"/>
        <v>0</v>
      </c>
      <c r="O99" s="65"/>
      <c r="P99" s="66">
        <f t="shared" si="91"/>
        <v>234321.1716</v>
      </c>
      <c r="Q99" s="66">
        <f t="shared" si="92"/>
        <v>191673.76</v>
      </c>
      <c r="R99" s="66">
        <f t="shared" si="93"/>
        <v>95836.88</v>
      </c>
      <c r="S99" s="65">
        <f t="shared" si="94"/>
        <v>521831.8116</v>
      </c>
      <c r="T99" s="65">
        <v>374913.5</v>
      </c>
      <c r="U99" s="67"/>
      <c r="V99" s="67">
        <f t="shared" si="95"/>
        <v>4498962</v>
      </c>
      <c r="W99" s="67"/>
      <c r="X99" s="68"/>
      <c r="Y99" s="68">
        <f t="shared" si="96"/>
        <v>66</v>
      </c>
      <c r="Z99" s="233" t="str">
        <f t="shared" si="97"/>
        <v>SYADUL ABDULAH</v>
      </c>
      <c r="AA99" s="317" t="s">
        <v>218</v>
      </c>
      <c r="AB99" s="63">
        <f t="shared" si="98"/>
        <v>4498962</v>
      </c>
      <c r="AC99" s="63">
        <f t="shared" si="99"/>
        <v>95836.88</v>
      </c>
      <c r="AD99" s="63">
        <f t="shared" si="86"/>
        <v>47918.44</v>
      </c>
      <c r="AE99" s="63">
        <f t="shared" si="86"/>
        <v>47918.44</v>
      </c>
      <c r="AF99" s="63">
        <f t="shared" si="100"/>
        <v>4307288.239999999</v>
      </c>
      <c r="AG99" s="63">
        <f t="shared" si="101"/>
        <v>5625000</v>
      </c>
      <c r="AH99" s="63">
        <f t="shared" si="102"/>
        <v>-1317711.7600000007</v>
      </c>
      <c r="AI99" s="63"/>
      <c r="AJ99" s="62">
        <f t="shared" si="103"/>
        <v>4307288.239999999</v>
      </c>
      <c r="AK99" s="62">
        <v>105000</v>
      </c>
      <c r="AL99" s="62"/>
      <c r="AM99" s="62"/>
      <c r="AN99" s="62"/>
      <c r="AO99" s="62"/>
      <c r="AP99" s="62"/>
      <c r="AQ99" s="62">
        <f t="shared" si="85"/>
        <v>0</v>
      </c>
      <c r="AR99" s="62">
        <f t="shared" si="104"/>
        <v>105000</v>
      </c>
      <c r="AS99" s="62">
        <f t="shared" si="105"/>
        <v>4202288.239999999</v>
      </c>
      <c r="AT99" s="59"/>
      <c r="AU99" s="234"/>
      <c r="AV99" s="61" t="str">
        <f t="shared" si="106"/>
        <v>SYADUL ABDULAH</v>
      </c>
      <c r="AW99" s="60">
        <f t="shared" si="107"/>
        <v>4202288.239999999</v>
      </c>
      <c r="AX99" s="64"/>
      <c r="AY99" s="68"/>
      <c r="AZ99" s="68"/>
      <c r="BA99" s="59">
        <f>+VLOOKUP(C99,'tanda terima  (2)'!$C$4:$G$106,5,0)</f>
        <v>4202288.239999999</v>
      </c>
      <c r="BB99" s="59"/>
    </row>
    <row r="100" s="58" customFormat="1">
      <c r="A100" s="68">
        <f t="shared" si="87"/>
        <v>67</v>
      </c>
      <c r="B100" s="268" t="s">
        <v>394</v>
      </c>
      <c r="C100" s="26" t="s">
        <v>182</v>
      </c>
      <c r="D100" s="68" t="s">
        <v>15</v>
      </c>
      <c r="E100" s="68" t="s">
        <v>17</v>
      </c>
      <c r="F100" s="68"/>
      <c r="G100" s="68"/>
      <c r="H100" s="265" t="str">
        <f t="shared" si="88"/>
        <v>FULL</v>
      </c>
      <c r="I100" s="266"/>
      <c r="J100" s="266"/>
      <c r="K100" s="266"/>
      <c r="L100" s="67"/>
      <c r="M100" s="28">
        <f t="shared" si="89"/>
        <v>4498962</v>
      </c>
      <c r="N100" s="37">
        <f t="shared" si="90"/>
        <v>0</v>
      </c>
      <c r="O100" s="65"/>
      <c r="P100" s="66">
        <f t="shared" si="91"/>
        <v>234321.1716</v>
      </c>
      <c r="Q100" s="66">
        <f t="shared" si="92"/>
        <v>191673.76</v>
      </c>
      <c r="R100" s="66">
        <f t="shared" si="93"/>
        <v>95836.88</v>
      </c>
      <c r="S100" s="65">
        <f t="shared" si="94"/>
        <v>521831.8116</v>
      </c>
      <c r="T100" s="65">
        <v>374913.5</v>
      </c>
      <c r="U100" s="67"/>
      <c r="V100" s="67">
        <f t="shared" si="95"/>
        <v>4498962</v>
      </c>
      <c r="W100" s="38"/>
      <c r="X100" s="39"/>
      <c r="Y100" s="68">
        <f t="shared" si="96"/>
        <v>67</v>
      </c>
      <c r="Z100" s="36" t="str">
        <f t="shared" si="97"/>
        <v>JAMIL ISMAIL</v>
      </c>
      <c r="AA100" s="267" t="s">
        <v>218</v>
      </c>
      <c r="AB100" s="63">
        <f t="shared" si="98"/>
        <v>4498962</v>
      </c>
      <c r="AC100" s="63">
        <f t="shared" si="99"/>
        <v>95836.88</v>
      </c>
      <c r="AD100" s="63">
        <f t="shared" si="86"/>
        <v>47918.44</v>
      </c>
      <c r="AE100" s="63">
        <f t="shared" si="86"/>
        <v>47918.44</v>
      </c>
      <c r="AF100" s="63">
        <f t="shared" si="100"/>
        <v>4307288.239999999</v>
      </c>
      <c r="AG100" s="63">
        <f t="shared" si="101"/>
        <v>5625000</v>
      </c>
      <c r="AH100" s="63">
        <f t="shared" si="102"/>
        <v>-1317711.7600000007</v>
      </c>
      <c r="AI100" s="34"/>
      <c r="AJ100" s="62">
        <f t="shared" si="103"/>
        <v>4307288.239999999</v>
      </c>
      <c r="AK100" s="33">
        <v>105000</v>
      </c>
      <c r="AL100" s="33"/>
      <c r="AM100" s="33">
        <v>500000</v>
      </c>
      <c r="AN100" s="33"/>
      <c r="AO100" s="33"/>
      <c r="AP100" s="33"/>
      <c r="AQ100" s="62">
        <f t="shared" si="85"/>
        <v>0</v>
      </c>
      <c r="AR100" s="62">
        <f t="shared" si="104"/>
        <v>605000</v>
      </c>
      <c r="AS100" s="62">
        <f t="shared" si="105"/>
        <v>3702288.2399999993</v>
      </c>
      <c r="AT100" s="59"/>
      <c r="AU100" s="234"/>
      <c r="AV100" s="61" t="str">
        <f t="shared" si="106"/>
        <v>JAMIL ISMAIL</v>
      </c>
      <c r="AW100" s="60">
        <f t="shared" si="107"/>
        <v>3702288.2399999993</v>
      </c>
      <c r="AX100" s="64"/>
      <c r="AY100" s="68"/>
      <c r="AZ100" s="68"/>
      <c r="BA100" s="59">
        <f>+VLOOKUP(C100,'tanda terima  (2)'!$C$4:$G$106,5,0)</f>
        <v>3702288.2399999993</v>
      </c>
      <c r="BB100" s="59"/>
    </row>
    <row r="101" s="58" customFormat="1">
      <c r="A101" s="68">
        <f t="shared" si="87"/>
        <v>68</v>
      </c>
      <c r="B101" s="268" t="s">
        <v>395</v>
      </c>
      <c r="C101" s="26" t="s">
        <v>189</v>
      </c>
      <c r="D101" s="68" t="s">
        <v>15</v>
      </c>
      <c r="E101" s="68" t="s">
        <v>17</v>
      </c>
      <c r="F101" s="68"/>
      <c r="G101" s="68"/>
      <c r="H101" s="265" t="str">
        <f t="shared" si="88"/>
        <v>FULL</v>
      </c>
      <c r="I101" s="266"/>
      <c r="J101" s="266"/>
      <c r="K101" s="266"/>
      <c r="L101" s="67">
        <f>SUM(I101:K101)</f>
        <v>0</v>
      </c>
      <c r="M101" s="28">
        <f t="shared" si="89"/>
        <v>4498962</v>
      </c>
      <c r="N101" s="37">
        <f t="shared" si="90"/>
        <v>0</v>
      </c>
      <c r="O101" s="65"/>
      <c r="P101" s="66">
        <f t="shared" si="91"/>
        <v>234321.1716</v>
      </c>
      <c r="Q101" s="66">
        <f t="shared" si="92"/>
        <v>191673.76</v>
      </c>
      <c r="R101" s="66">
        <f t="shared" si="93"/>
        <v>95836.88</v>
      </c>
      <c r="S101" s="65">
        <f t="shared" si="94"/>
        <v>521831.8116</v>
      </c>
      <c r="T101" s="65">
        <v>374913.5</v>
      </c>
      <c r="U101" s="67"/>
      <c r="V101" s="67">
        <f t="shared" si="95"/>
        <v>4498962</v>
      </c>
      <c r="W101" s="38"/>
      <c r="X101" s="39"/>
      <c r="Y101" s="68">
        <f t="shared" si="96"/>
        <v>68</v>
      </c>
      <c r="Z101" s="36" t="str">
        <f t="shared" si="97"/>
        <v>PEPEN SUPENDI</v>
      </c>
      <c r="AA101" s="35" t="s">
        <v>216</v>
      </c>
      <c r="AB101" s="63">
        <f t="shared" si="98"/>
        <v>4498962</v>
      </c>
      <c r="AC101" s="63">
        <f t="shared" si="99"/>
        <v>95836.88</v>
      </c>
      <c r="AD101" s="63">
        <f t="shared" si="86"/>
        <v>47918.44</v>
      </c>
      <c r="AE101" s="63">
        <f t="shared" si="86"/>
        <v>47918.44</v>
      </c>
      <c r="AF101" s="63">
        <f t="shared" si="100"/>
        <v>4307288.239999999</v>
      </c>
      <c r="AG101" s="63">
        <f t="shared" si="101"/>
        <v>4875000</v>
      </c>
      <c r="AH101" s="63">
        <f t="shared" si="102"/>
        <v>-567711.7600000007</v>
      </c>
      <c r="AI101" s="34">
        <f>+IF(AH101&gt;0,AH101*5%,0)</f>
        <v>0</v>
      </c>
      <c r="AJ101" s="62">
        <f t="shared" si="103"/>
        <v>4307288.239999999</v>
      </c>
      <c r="AK101" s="33">
        <v>150000</v>
      </c>
      <c r="AL101" s="33"/>
      <c r="AM101" s="33">
        <v>500000</v>
      </c>
      <c r="AN101" s="33"/>
      <c r="AO101" s="33"/>
      <c r="AP101" s="33"/>
      <c r="AQ101" s="62">
        <f t="shared" si="85"/>
        <v>0</v>
      </c>
      <c r="AR101" s="62">
        <f t="shared" si="104"/>
        <v>650000</v>
      </c>
      <c r="AS101" s="62">
        <f t="shared" si="105"/>
        <v>3657288.2399999993</v>
      </c>
      <c r="AT101" s="59"/>
      <c r="AU101" s="234">
        <f>+A101</f>
        <v>68</v>
      </c>
      <c r="AV101" s="61" t="str">
        <f t="shared" si="106"/>
        <v>PEPEN SUPENDI</v>
      </c>
      <c r="AW101" s="60">
        <f t="shared" si="107"/>
        <v>3657288.2399999993</v>
      </c>
      <c r="AX101" s="64"/>
      <c r="AY101" s="68"/>
      <c r="AZ101" s="68"/>
      <c r="BA101" s="59">
        <f>+VLOOKUP(C101,'tanda terima  (2)'!$C$4:$G$106,5,0)</f>
        <v>3657288.2399999993</v>
      </c>
      <c r="BB101" s="59"/>
      <c r="BG101" s="58" t="e">
        <f>+VLOOKUP(C101,[1]ALL!$C$26:$AQ$91,40,0)</f>
        <v>#N/A</v>
      </c>
    </row>
    <row r="102" s="58" customFormat="1">
      <c r="A102" s="68">
        <f t="shared" si="87"/>
        <v>69</v>
      </c>
      <c r="B102" s="268" t="s">
        <v>396</v>
      </c>
      <c r="C102" s="26" t="s">
        <v>185</v>
      </c>
      <c r="D102" s="68" t="s">
        <v>15</v>
      </c>
      <c r="E102" s="68" t="s">
        <v>17</v>
      </c>
      <c r="F102" s="68"/>
      <c r="G102" s="68"/>
      <c r="H102" s="265" t="str">
        <f t="shared" si="88"/>
        <v>FULL</v>
      </c>
      <c r="I102" s="266"/>
      <c r="J102" s="266"/>
      <c r="K102" s="266"/>
      <c r="L102" s="67">
        <f>SUM(I102:K102)</f>
        <v>0</v>
      </c>
      <c r="M102" s="28">
        <f t="shared" si="89"/>
        <v>4498962</v>
      </c>
      <c r="N102" s="37">
        <f t="shared" si="90"/>
        <v>0</v>
      </c>
      <c r="O102" s="65"/>
      <c r="P102" s="66">
        <f t="shared" si="91"/>
        <v>234321.1716</v>
      </c>
      <c r="Q102" s="66">
        <f t="shared" si="92"/>
        <v>191673.76</v>
      </c>
      <c r="R102" s="66">
        <f t="shared" si="93"/>
        <v>95836.88</v>
      </c>
      <c r="S102" s="65">
        <f t="shared" si="94"/>
        <v>521831.8116</v>
      </c>
      <c r="T102" s="65">
        <v>374913.5</v>
      </c>
      <c r="U102" s="67"/>
      <c r="V102" s="67">
        <f t="shared" si="95"/>
        <v>4498962</v>
      </c>
      <c r="W102" s="38"/>
      <c r="X102" s="39"/>
      <c r="Y102" s="68">
        <f t="shared" si="96"/>
        <v>69</v>
      </c>
      <c r="Z102" s="36" t="str">
        <f t="shared" si="97"/>
        <v>WARMA</v>
      </c>
      <c r="AA102" s="318" t="s">
        <v>216</v>
      </c>
      <c r="AB102" s="63">
        <f t="shared" si="98"/>
        <v>4498962</v>
      </c>
      <c r="AC102" s="63">
        <f t="shared" si="99"/>
        <v>95836.88</v>
      </c>
      <c r="AD102" s="63">
        <f t="shared" si="86"/>
        <v>47918.44</v>
      </c>
      <c r="AE102" s="63">
        <f t="shared" si="86"/>
        <v>47918.44</v>
      </c>
      <c r="AF102" s="63">
        <f t="shared" si="100"/>
        <v>4307288.239999999</v>
      </c>
      <c r="AG102" s="63">
        <f t="shared" si="101"/>
        <v>4875000</v>
      </c>
      <c r="AH102" s="63">
        <f t="shared" si="102"/>
        <v>-567711.7600000007</v>
      </c>
      <c r="AI102" s="34"/>
      <c r="AJ102" s="62">
        <f t="shared" si="103"/>
        <v>4307288.239999999</v>
      </c>
      <c r="AK102" s="33">
        <v>150000</v>
      </c>
      <c r="AL102" s="33"/>
      <c r="AM102" s="33"/>
      <c r="AN102" s="33"/>
      <c r="AO102" s="33"/>
      <c r="AP102" s="33"/>
      <c r="AQ102" s="62">
        <f t="shared" si="85"/>
        <v>0</v>
      </c>
      <c r="AR102" s="62">
        <f t="shared" si="104"/>
        <v>150000</v>
      </c>
      <c r="AS102" s="62">
        <f t="shared" si="105"/>
        <v>4157288.2399999993</v>
      </c>
      <c r="AT102" s="59"/>
      <c r="AU102" s="234">
        <f>+A102</f>
        <v>69</v>
      </c>
      <c r="AV102" s="61" t="str">
        <f t="shared" si="106"/>
        <v>WARMA</v>
      </c>
      <c r="AW102" s="60">
        <f t="shared" si="107"/>
        <v>4157288.2399999993</v>
      </c>
      <c r="AX102" s="64"/>
      <c r="AY102" s="68"/>
      <c r="AZ102" s="68"/>
      <c r="BA102" s="59">
        <f>+VLOOKUP(C102,'tanda terima  (2)'!$C$4:$G$106,5,0)</f>
        <v>4157288.2399999993</v>
      </c>
      <c r="BB102" s="59"/>
      <c r="BG102" s="58" t="e">
        <f>+VLOOKUP(C102,[1]ALL!$C$26:$AQ$91,40,0)</f>
        <v>#N/A</v>
      </c>
    </row>
    <row r="103" s="58" customFormat="1">
      <c r="A103" s="68">
        <f t="shared" si="87"/>
        <v>70</v>
      </c>
      <c r="B103" s="268" t="s">
        <v>397</v>
      </c>
      <c r="C103" s="26" t="s">
        <v>203</v>
      </c>
      <c r="D103" s="68" t="s">
        <v>15</v>
      </c>
      <c r="E103" s="68" t="s">
        <v>17</v>
      </c>
      <c r="F103" s="68"/>
      <c r="G103" s="68">
        <v>23</v>
      </c>
      <c r="H103" s="265" t="str">
        <f t="shared" si="88"/>
        <v>PRORATE</v>
      </c>
      <c r="I103" s="266"/>
      <c r="J103" s="266"/>
      <c r="K103" s="266"/>
      <c r="L103" s="67"/>
      <c r="M103" s="28">
        <f t="shared" si="89"/>
        <v>4139045.04</v>
      </c>
      <c r="N103" s="37">
        <f t="shared" si="90"/>
        <v>0</v>
      </c>
      <c r="O103" s="65"/>
      <c r="P103" s="66">
        <f t="shared" si="91"/>
        <v>234321.1716</v>
      </c>
      <c r="Q103" s="66">
        <f t="shared" si="92"/>
        <v>191673.76</v>
      </c>
      <c r="R103" s="66">
        <f t="shared" si="93"/>
        <v>95836.88</v>
      </c>
      <c r="S103" s="65">
        <f t="shared" si="94"/>
        <v>521831.8116</v>
      </c>
      <c r="T103" s="65">
        <v>374913.5</v>
      </c>
      <c r="U103" s="67"/>
      <c r="V103" s="67">
        <f t="shared" si="95"/>
        <v>4139045.04</v>
      </c>
      <c r="W103" s="38"/>
      <c r="X103" s="39"/>
      <c r="Y103" s="68">
        <f t="shared" si="96"/>
        <v>70</v>
      </c>
      <c r="Z103" s="36" t="str">
        <f t="shared" si="97"/>
        <v>RUDI SUPRIADI</v>
      </c>
      <c r="AA103" s="267" t="s">
        <v>218</v>
      </c>
      <c r="AB103" s="63">
        <f t="shared" si="98"/>
        <v>4139045.04</v>
      </c>
      <c r="AC103" s="63">
        <f t="shared" si="99"/>
        <v>95836.88</v>
      </c>
      <c r="AD103" s="63">
        <f t="shared" si="86"/>
        <v>47918.44</v>
      </c>
      <c r="AE103" s="63">
        <f t="shared" si="86"/>
        <v>47918.44</v>
      </c>
      <c r="AF103" s="63">
        <f t="shared" si="100"/>
        <v>3947371.2800000003</v>
      </c>
      <c r="AG103" s="63">
        <f t="shared" si="101"/>
        <v>5625000</v>
      </c>
      <c r="AH103" s="63">
        <f t="shared" si="102"/>
        <v>-1677628.7199999997</v>
      </c>
      <c r="AI103" s="34"/>
      <c r="AJ103" s="62">
        <f t="shared" si="103"/>
        <v>3947371.2800000003</v>
      </c>
      <c r="AK103" s="33"/>
      <c r="AL103" s="33"/>
      <c r="AM103" s="33">
        <v>500000</v>
      </c>
      <c r="AN103" s="33"/>
      <c r="AO103" s="33"/>
      <c r="AP103" s="33"/>
      <c r="AQ103" s="62">
        <f t="shared" si="85"/>
        <v>0</v>
      </c>
      <c r="AR103" s="62">
        <f t="shared" si="104"/>
        <v>500000</v>
      </c>
      <c r="AS103" s="62">
        <f t="shared" si="105"/>
        <v>3447371.2800000003</v>
      </c>
      <c r="AT103" s="59"/>
      <c r="AU103" s="234"/>
      <c r="AV103" s="61" t="str">
        <f t="shared" si="106"/>
        <v>RUDI SUPRIADI</v>
      </c>
      <c r="AW103" s="60">
        <f t="shared" si="107"/>
        <v>3447371.2800000003</v>
      </c>
      <c r="AX103" s="64"/>
      <c r="AY103" s="68"/>
      <c r="AZ103" s="68"/>
      <c r="BA103" s="59">
        <f>+VLOOKUP(C103,'tanda terima  (2)'!$C$4:$G$106,5,0)</f>
        <v>3447371.2800000003</v>
      </c>
      <c r="BB103" s="59"/>
    </row>
    <row r="104" s="58" customFormat="1">
      <c r="A104" s="68">
        <f t="shared" si="87"/>
        <v>71</v>
      </c>
      <c r="B104" s="268" t="s">
        <v>398</v>
      </c>
      <c r="C104" s="26" t="s">
        <v>196</v>
      </c>
      <c r="D104" s="68" t="s">
        <v>15</v>
      </c>
      <c r="E104" s="68" t="s">
        <v>17</v>
      </c>
      <c r="F104" s="68"/>
      <c r="G104" s="68">
        <v>20</v>
      </c>
      <c r="H104" s="265" t="str">
        <f t="shared" si="88"/>
        <v>PRORATE</v>
      </c>
      <c r="I104" s="266"/>
      <c r="J104" s="266"/>
      <c r="K104" s="266"/>
      <c r="L104" s="67"/>
      <c r="M104" s="28">
        <f t="shared" si="89"/>
        <v>3599169.6</v>
      </c>
      <c r="N104" s="37">
        <f t="shared" si="90"/>
        <v>0</v>
      </c>
      <c r="O104" s="65"/>
      <c r="P104" s="66">
        <f t="shared" si="91"/>
        <v>234321.1716</v>
      </c>
      <c r="Q104" s="66">
        <f t="shared" si="92"/>
        <v>191673.76</v>
      </c>
      <c r="R104" s="66">
        <f t="shared" si="93"/>
        <v>95836.88</v>
      </c>
      <c r="S104" s="65">
        <f t="shared" si="94"/>
        <v>521831.8116</v>
      </c>
      <c r="T104" s="65">
        <v>374913.5</v>
      </c>
      <c r="U104" s="67"/>
      <c r="V104" s="67">
        <f t="shared" si="95"/>
        <v>3599169.6</v>
      </c>
      <c r="W104" s="38"/>
      <c r="X104" s="39"/>
      <c r="Y104" s="68">
        <f t="shared" si="96"/>
        <v>71</v>
      </c>
      <c r="Z104" s="36" t="str">
        <f t="shared" si="97"/>
        <v>KISWANTO</v>
      </c>
      <c r="AA104" s="267" t="s">
        <v>218</v>
      </c>
      <c r="AB104" s="63">
        <f t="shared" si="98"/>
        <v>3599169.6</v>
      </c>
      <c r="AC104" s="63">
        <f t="shared" si="99"/>
        <v>95836.88</v>
      </c>
      <c r="AD104" s="63">
        <f t="shared" si="86"/>
        <v>47918.44</v>
      </c>
      <c r="AE104" s="63">
        <f t="shared" si="86"/>
        <v>47918.44</v>
      </c>
      <c r="AF104" s="63">
        <f t="shared" si="100"/>
        <v>3407495.8400000003</v>
      </c>
      <c r="AG104" s="63">
        <f t="shared" si="101"/>
        <v>5625000</v>
      </c>
      <c r="AH104" s="63">
        <f t="shared" si="102"/>
        <v>-2217504.1599999997</v>
      </c>
      <c r="AI104" s="34"/>
      <c r="AJ104" s="62">
        <f t="shared" si="103"/>
        <v>3407495.8400000003</v>
      </c>
      <c r="AK104" s="33"/>
      <c r="AL104" s="33"/>
      <c r="AM104" s="33">
        <v>500000</v>
      </c>
      <c r="AN104" s="33"/>
      <c r="AO104" s="33"/>
      <c r="AP104" s="33"/>
      <c r="AQ104" s="62">
        <f t="shared" si="85"/>
        <v>0</v>
      </c>
      <c r="AR104" s="62">
        <f t="shared" si="104"/>
        <v>500000</v>
      </c>
      <c r="AS104" s="62">
        <f t="shared" si="105"/>
        <v>2907495.8400000003</v>
      </c>
      <c r="AT104" s="59"/>
      <c r="AU104" s="234"/>
      <c r="AV104" s="61" t="str">
        <f t="shared" si="106"/>
        <v>KISWANTO</v>
      </c>
      <c r="AW104" s="60">
        <f t="shared" si="107"/>
        <v>2907495.8400000003</v>
      </c>
      <c r="AX104" s="64"/>
      <c r="AY104" s="68"/>
      <c r="AZ104" s="68"/>
      <c r="BA104" s="59">
        <f>+VLOOKUP(C104,'tanda terima  (2)'!$C$4:$G$106,5,0)</f>
        <v>2907495.8400000003</v>
      </c>
      <c r="BB104" s="59"/>
    </row>
    <row r="105" s="58" customFormat="1">
      <c r="A105" s="68">
        <f t="shared" si="87"/>
        <v>72</v>
      </c>
      <c r="B105" s="268" t="s">
        <v>399</v>
      </c>
      <c r="C105" s="26" t="s">
        <v>183</v>
      </c>
      <c r="D105" s="68" t="s">
        <v>15</v>
      </c>
      <c r="E105" s="68" t="s">
        <v>17</v>
      </c>
      <c r="F105" s="68"/>
      <c r="G105" s="68">
        <v>24</v>
      </c>
      <c r="H105" s="265" t="str">
        <f t="shared" si="88"/>
        <v>PRORATE</v>
      </c>
      <c r="I105" s="266"/>
      <c r="J105" s="266"/>
      <c r="K105" s="266"/>
      <c r="L105" s="67"/>
      <c r="M105" s="28">
        <f t="shared" si="89"/>
        <v>4319003.5200000005</v>
      </c>
      <c r="N105" s="37">
        <f t="shared" si="90"/>
        <v>0</v>
      </c>
      <c r="O105" s="65"/>
      <c r="P105" s="66">
        <f t="shared" si="91"/>
        <v>234321.1716</v>
      </c>
      <c r="Q105" s="66">
        <f t="shared" si="92"/>
        <v>191673.76</v>
      </c>
      <c r="R105" s="66">
        <f t="shared" si="93"/>
        <v>95836.88</v>
      </c>
      <c r="S105" s="65">
        <f t="shared" si="94"/>
        <v>521831.8116</v>
      </c>
      <c r="T105" s="65">
        <v>374913.5</v>
      </c>
      <c r="U105" s="67"/>
      <c r="V105" s="67">
        <f t="shared" si="95"/>
        <v>4319003.5200000005</v>
      </c>
      <c r="W105" s="38"/>
      <c r="X105" s="39"/>
      <c r="Y105" s="68">
        <f t="shared" si="96"/>
        <v>72</v>
      </c>
      <c r="Z105" s="36" t="str">
        <f t="shared" si="97"/>
        <v>ITA BIN JAHURI</v>
      </c>
      <c r="AA105" s="267" t="s">
        <v>218</v>
      </c>
      <c r="AB105" s="63">
        <f t="shared" si="98"/>
        <v>4319003.5200000005</v>
      </c>
      <c r="AC105" s="63">
        <f t="shared" si="99"/>
        <v>95836.88</v>
      </c>
      <c r="AD105" s="63">
        <f t="shared" si="86"/>
        <v>47918.44</v>
      </c>
      <c r="AE105" s="63">
        <f t="shared" si="86"/>
        <v>47918.44</v>
      </c>
      <c r="AF105" s="63">
        <f t="shared" si="100"/>
        <v>4127329.7600000007</v>
      </c>
      <c r="AG105" s="63">
        <f t="shared" si="101"/>
        <v>5625000</v>
      </c>
      <c r="AH105" s="63">
        <f t="shared" si="102"/>
        <v>-1497670.2399999993</v>
      </c>
      <c r="AI105" s="34"/>
      <c r="AJ105" s="62">
        <f t="shared" si="103"/>
        <v>4127329.7600000007</v>
      </c>
      <c r="AK105" s="33"/>
      <c r="AL105" s="33"/>
      <c r="AM105" s="33"/>
      <c r="AN105" s="33"/>
      <c r="AO105" s="33"/>
      <c r="AP105" s="33"/>
      <c r="AQ105" s="62">
        <f t="shared" si="85"/>
        <v>0</v>
      </c>
      <c r="AR105" s="62">
        <f t="shared" si="104"/>
        <v>0</v>
      </c>
      <c r="AS105" s="62">
        <f t="shared" si="105"/>
        <v>4127329.7600000007</v>
      </c>
      <c r="AT105" s="59"/>
      <c r="AU105" s="234"/>
      <c r="AV105" s="61" t="str">
        <f t="shared" si="106"/>
        <v>ITA BIN JAHURI</v>
      </c>
      <c r="AW105" s="60">
        <f t="shared" si="107"/>
        <v>4127329.7600000007</v>
      </c>
      <c r="AX105" s="64"/>
      <c r="AY105" s="68"/>
      <c r="AZ105" s="68"/>
      <c r="BA105" s="59">
        <f>+VLOOKUP(C105,'tanda terima  (2)'!$C$4:$G$106,5,0)</f>
        <v>4127329.7600000007</v>
      </c>
      <c r="BB105" s="59"/>
    </row>
    <row r="106" s="58" customFormat="1">
      <c r="A106" s="68">
        <f t="shared" si="87"/>
        <v>73</v>
      </c>
      <c r="B106" s="268" t="s">
        <v>400</v>
      </c>
      <c r="C106" s="26" t="s">
        <v>186</v>
      </c>
      <c r="D106" s="68" t="s">
        <v>15</v>
      </c>
      <c r="E106" s="68" t="s">
        <v>17</v>
      </c>
      <c r="F106" s="68"/>
      <c r="G106" s="68">
        <v>3</v>
      </c>
      <c r="H106" s="265" t="str">
        <f t="shared" si="88"/>
        <v>PRORATE</v>
      </c>
      <c r="I106" s="266"/>
      <c r="J106" s="266"/>
      <c r="K106" s="266"/>
      <c r="L106" s="67"/>
      <c r="M106" s="28">
        <f t="shared" si="89"/>
        <v>539875.4400000001</v>
      </c>
      <c r="N106" s="37">
        <f t="shared" si="90"/>
        <v>0</v>
      </c>
      <c r="O106" s="65"/>
      <c r="P106" s="66">
        <f t="shared" si="91"/>
        <v>234321.1716</v>
      </c>
      <c r="Q106" s="66">
        <f t="shared" si="92"/>
        <v>191673.76</v>
      </c>
      <c r="R106" s="66">
        <f t="shared" si="93"/>
        <v>95836.88</v>
      </c>
      <c r="S106" s="65">
        <f t="shared" si="94"/>
        <v>521831.8116</v>
      </c>
      <c r="T106" s="65">
        <v>374913.5</v>
      </c>
      <c r="U106" s="67"/>
      <c r="V106" s="67">
        <f t="shared" si="95"/>
        <v>539875.4400000001</v>
      </c>
      <c r="W106" s="38"/>
      <c r="X106" s="39"/>
      <c r="Y106" s="68">
        <f t="shared" si="96"/>
        <v>73</v>
      </c>
      <c r="Z106" s="36" t="str">
        <f t="shared" si="97"/>
        <v>ADE HERMAWAN</v>
      </c>
      <c r="AA106" s="267" t="s">
        <v>218</v>
      </c>
      <c r="AB106" s="63">
        <f t="shared" si="98"/>
        <v>539875.4400000001</v>
      </c>
      <c r="AC106" s="63">
        <f t="shared" si="99"/>
        <v>95836.88</v>
      </c>
      <c r="AD106" s="63">
        <f t="shared" si="86"/>
        <v>47918.44</v>
      </c>
      <c r="AE106" s="63">
        <f t="shared" si="86"/>
        <v>47918.44</v>
      </c>
      <c r="AF106" s="63">
        <f t="shared" si="100"/>
        <v>348201.68000000005</v>
      </c>
      <c r="AG106" s="63">
        <f t="shared" si="101"/>
        <v>5625000</v>
      </c>
      <c r="AH106" s="63">
        <f t="shared" si="102"/>
        <v>-5276798.32</v>
      </c>
      <c r="AI106" s="34"/>
      <c r="AJ106" s="62">
        <f t="shared" si="103"/>
        <v>348201.68000000005</v>
      </c>
      <c r="AK106" s="33"/>
      <c r="AL106" s="33"/>
      <c r="AM106" s="33"/>
      <c r="AN106" s="33"/>
      <c r="AO106" s="33"/>
      <c r="AP106" s="33"/>
      <c r="AQ106" s="62">
        <f t="shared" si="85"/>
        <v>0</v>
      </c>
      <c r="AR106" s="62">
        <f t="shared" si="104"/>
        <v>0</v>
      </c>
      <c r="AS106" s="62">
        <f t="shared" si="105"/>
        <v>348201.68000000005</v>
      </c>
      <c r="AT106" s="59"/>
      <c r="AU106" s="234"/>
      <c r="AV106" s="61" t="str">
        <f t="shared" si="106"/>
        <v>ADE HERMAWAN</v>
      </c>
      <c r="AW106" s="60">
        <f t="shared" si="107"/>
        <v>348201.68000000005</v>
      </c>
      <c r="AX106" s="64"/>
      <c r="AY106" s="68"/>
      <c r="AZ106" s="68"/>
      <c r="BA106" s="59">
        <f>+VLOOKUP(C106,'tanda terima  (2)'!$C$4:$G$106,5,0)</f>
        <v>348201.68000000005</v>
      </c>
      <c r="BB106" s="59"/>
    </row>
    <row r="107" s="58" customFormat="1">
      <c r="A107" s="68">
        <f t="shared" si="87"/>
        <v>74</v>
      </c>
      <c r="B107" s="268" t="s">
        <v>401</v>
      </c>
      <c r="C107" s="26" t="s">
        <v>200</v>
      </c>
      <c r="D107" s="68" t="s">
        <v>15</v>
      </c>
      <c r="E107" s="68" t="s">
        <v>17</v>
      </c>
      <c r="F107" s="68"/>
      <c r="G107" s="68">
        <v>3</v>
      </c>
      <c r="H107" s="265" t="str">
        <f t="shared" si="88"/>
        <v>PRORATE</v>
      </c>
      <c r="I107" s="266"/>
      <c r="J107" s="266"/>
      <c r="K107" s="266"/>
      <c r="L107" s="67"/>
      <c r="M107" s="28">
        <f t="shared" si="89"/>
        <v>539875.4400000001</v>
      </c>
      <c r="N107" s="37">
        <f t="shared" si="90"/>
        <v>0</v>
      </c>
      <c r="O107" s="65"/>
      <c r="P107" s="66">
        <f t="shared" si="91"/>
        <v>234321.1716</v>
      </c>
      <c r="Q107" s="66">
        <f t="shared" si="92"/>
        <v>191673.76</v>
      </c>
      <c r="R107" s="66">
        <f t="shared" si="93"/>
        <v>95836.88</v>
      </c>
      <c r="S107" s="65">
        <f t="shared" si="94"/>
        <v>521831.8116</v>
      </c>
      <c r="T107" s="65">
        <v>374913.5</v>
      </c>
      <c r="U107" s="67"/>
      <c r="V107" s="67">
        <f t="shared" si="95"/>
        <v>539875.4400000001</v>
      </c>
      <c r="W107" s="38"/>
      <c r="X107" s="39"/>
      <c r="Y107" s="68">
        <f t="shared" si="96"/>
        <v>74</v>
      </c>
      <c r="Z107" s="36" t="str">
        <f t="shared" si="97"/>
        <v>CHARLY ARIYANTO</v>
      </c>
      <c r="AA107" s="267" t="s">
        <v>218</v>
      </c>
      <c r="AB107" s="63">
        <f t="shared" si="98"/>
        <v>539875.4400000001</v>
      </c>
      <c r="AC107" s="63">
        <f t="shared" si="99"/>
        <v>95836.88</v>
      </c>
      <c r="AD107" s="63">
        <f t="shared" si="86"/>
        <v>47918.44</v>
      </c>
      <c r="AE107" s="63">
        <f t="shared" si="86"/>
        <v>47918.44</v>
      </c>
      <c r="AF107" s="63">
        <f t="shared" si="100"/>
        <v>348201.68000000005</v>
      </c>
      <c r="AG107" s="63">
        <f t="shared" si="101"/>
        <v>5625000</v>
      </c>
      <c r="AH107" s="63">
        <f t="shared" si="102"/>
        <v>-5276798.32</v>
      </c>
      <c r="AI107" s="34"/>
      <c r="AJ107" s="62">
        <f t="shared" si="103"/>
        <v>348201.68000000005</v>
      </c>
      <c r="AK107" s="33"/>
      <c r="AL107" s="33"/>
      <c r="AM107" s="33"/>
      <c r="AN107" s="33"/>
      <c r="AO107" s="33"/>
      <c r="AP107" s="33"/>
      <c r="AQ107" s="62">
        <f t="shared" si="85"/>
        <v>0</v>
      </c>
      <c r="AR107" s="62">
        <f t="shared" si="104"/>
        <v>0</v>
      </c>
      <c r="AS107" s="62">
        <f t="shared" si="105"/>
        <v>348201.68000000005</v>
      </c>
      <c r="AT107" s="59"/>
      <c r="AU107" s="234"/>
      <c r="AV107" s="61" t="str">
        <f t="shared" si="106"/>
        <v>CHARLY ARIYANTO</v>
      </c>
      <c r="AW107" s="60">
        <f t="shared" si="107"/>
        <v>348201.68000000005</v>
      </c>
      <c r="AX107" s="64"/>
      <c r="AY107" s="68"/>
      <c r="AZ107" s="68"/>
      <c r="BA107" s="59">
        <f>+VLOOKUP(C107,'tanda terima  (2)'!$C$4:$G$106,5,0)</f>
        <v>348201.68000000005</v>
      </c>
      <c r="BB107" s="59"/>
    </row>
    <row r="108" s="58" customFormat="1">
      <c r="A108" s="68">
        <f t="shared" si="87"/>
        <v>75</v>
      </c>
      <c r="B108" s="268" t="s">
        <v>402</v>
      </c>
      <c r="C108" s="26" t="s">
        <v>198</v>
      </c>
      <c r="D108" s="68" t="s">
        <v>15</v>
      </c>
      <c r="E108" s="68" t="s">
        <v>17</v>
      </c>
      <c r="F108" s="68"/>
      <c r="G108" s="68">
        <v>3</v>
      </c>
      <c r="H108" s="265" t="str">
        <f t="shared" si="88"/>
        <v>PRORATE</v>
      </c>
      <c r="I108" s="266"/>
      <c r="J108" s="266"/>
      <c r="K108" s="266"/>
      <c r="L108" s="67"/>
      <c r="M108" s="28">
        <f t="shared" si="89"/>
        <v>539875.4400000001</v>
      </c>
      <c r="N108" s="37">
        <f t="shared" si="90"/>
        <v>0</v>
      </c>
      <c r="O108" s="65"/>
      <c r="P108" s="66">
        <f t="shared" si="91"/>
        <v>234321.1716</v>
      </c>
      <c r="Q108" s="66">
        <f t="shared" si="92"/>
        <v>191673.76</v>
      </c>
      <c r="R108" s="66">
        <f t="shared" si="93"/>
        <v>95836.88</v>
      </c>
      <c r="S108" s="65">
        <f t="shared" si="94"/>
        <v>521831.8116</v>
      </c>
      <c r="T108" s="65">
        <v>374913.5</v>
      </c>
      <c r="U108" s="67"/>
      <c r="V108" s="67">
        <f t="shared" si="95"/>
        <v>539875.4400000001</v>
      </c>
      <c r="W108" s="38"/>
      <c r="X108" s="39"/>
      <c r="Y108" s="68">
        <f t="shared" si="96"/>
        <v>75</v>
      </c>
      <c r="Z108" s="36" t="str">
        <f t="shared" si="97"/>
        <v>ARIS SUSANTO</v>
      </c>
      <c r="AA108" s="267" t="s">
        <v>218</v>
      </c>
      <c r="AB108" s="63">
        <f t="shared" si="98"/>
        <v>539875.4400000001</v>
      </c>
      <c r="AC108" s="63">
        <f t="shared" si="99"/>
        <v>95836.88</v>
      </c>
      <c r="AD108" s="63">
        <f t="shared" si="86"/>
        <v>47918.44</v>
      </c>
      <c r="AE108" s="63">
        <f t="shared" si="86"/>
        <v>47918.44</v>
      </c>
      <c r="AF108" s="63">
        <f t="shared" si="100"/>
        <v>348201.68000000005</v>
      </c>
      <c r="AG108" s="63">
        <f t="shared" si="101"/>
        <v>5625000</v>
      </c>
      <c r="AH108" s="63">
        <f t="shared" si="102"/>
        <v>-5276798.32</v>
      </c>
      <c r="AI108" s="34"/>
      <c r="AJ108" s="62">
        <f t="shared" si="103"/>
        <v>348201.68000000005</v>
      </c>
      <c r="AK108" s="33"/>
      <c r="AL108" s="33"/>
      <c r="AM108" s="33"/>
      <c r="AN108" s="33"/>
      <c r="AO108" s="33"/>
      <c r="AP108" s="33"/>
      <c r="AQ108" s="62">
        <f t="shared" si="85"/>
        <v>0</v>
      </c>
      <c r="AR108" s="62">
        <f t="shared" si="104"/>
        <v>0</v>
      </c>
      <c r="AS108" s="62">
        <f t="shared" si="105"/>
        <v>348201.68000000005</v>
      </c>
      <c r="AT108" s="59"/>
      <c r="AU108" s="234"/>
      <c r="AV108" s="61" t="str">
        <f t="shared" si="106"/>
        <v>ARIS SUSANTO</v>
      </c>
      <c r="AW108" s="60">
        <f t="shared" si="107"/>
        <v>348201.68000000005</v>
      </c>
      <c r="AX108" s="64"/>
      <c r="AY108" s="68"/>
      <c r="AZ108" s="68"/>
      <c r="BA108" s="59">
        <f>+VLOOKUP(C108,'tanda terima  (2)'!$C$4:$G$106,5,0)</f>
        <v>348201.68000000005</v>
      </c>
      <c r="BB108" s="59"/>
    </row>
    <row r="109" s="58" customFormat="1">
      <c r="A109" s="68">
        <f t="shared" si="87"/>
        <v>76</v>
      </c>
      <c r="B109" s="268" t="s">
        <v>403</v>
      </c>
      <c r="C109" s="26" t="s">
        <v>206</v>
      </c>
      <c r="D109" s="68" t="s">
        <v>15</v>
      </c>
      <c r="E109" s="68" t="s">
        <v>17</v>
      </c>
      <c r="F109" s="68"/>
      <c r="G109" s="68">
        <v>3</v>
      </c>
      <c r="H109" s="265" t="str">
        <f t="shared" si="88"/>
        <v>PRORATE</v>
      </c>
      <c r="I109" s="266"/>
      <c r="J109" s="266"/>
      <c r="K109" s="266"/>
      <c r="L109" s="67"/>
      <c r="M109" s="28">
        <f t="shared" si="89"/>
        <v>539875.4400000001</v>
      </c>
      <c r="N109" s="37">
        <f t="shared" si="90"/>
        <v>0</v>
      </c>
      <c r="O109" s="65"/>
      <c r="P109" s="66">
        <f t="shared" si="91"/>
        <v>234321.1716</v>
      </c>
      <c r="Q109" s="66">
        <f t="shared" si="92"/>
        <v>191673.76</v>
      </c>
      <c r="R109" s="66">
        <f t="shared" si="93"/>
        <v>95836.88</v>
      </c>
      <c r="S109" s="65">
        <f t="shared" si="94"/>
        <v>521831.8116</v>
      </c>
      <c r="T109" s="65">
        <v>374913.5</v>
      </c>
      <c r="U109" s="67"/>
      <c r="V109" s="67">
        <f t="shared" si="95"/>
        <v>539875.4400000001</v>
      </c>
      <c r="W109" s="38"/>
      <c r="X109" s="39"/>
      <c r="Y109" s="68">
        <f t="shared" si="96"/>
        <v>76</v>
      </c>
      <c r="Z109" s="36" t="str">
        <f t="shared" si="97"/>
        <v>DASA SETIAWAN</v>
      </c>
      <c r="AA109" s="267" t="s">
        <v>218</v>
      </c>
      <c r="AB109" s="63">
        <f t="shared" si="98"/>
        <v>539875.4400000001</v>
      </c>
      <c r="AC109" s="63">
        <f t="shared" si="99"/>
        <v>95836.88</v>
      </c>
      <c r="AD109" s="63">
        <f t="shared" si="86"/>
        <v>47918.44</v>
      </c>
      <c r="AE109" s="63">
        <f t="shared" si="86"/>
        <v>47918.44</v>
      </c>
      <c r="AF109" s="63">
        <f t="shared" si="100"/>
        <v>348201.68000000005</v>
      </c>
      <c r="AG109" s="63">
        <f t="shared" si="101"/>
        <v>5625000</v>
      </c>
      <c r="AH109" s="63">
        <f t="shared" si="102"/>
        <v>-5276798.32</v>
      </c>
      <c r="AI109" s="34"/>
      <c r="AJ109" s="62">
        <f t="shared" si="103"/>
        <v>348201.68000000005</v>
      </c>
      <c r="AK109" s="33"/>
      <c r="AL109" s="33"/>
      <c r="AM109" s="33"/>
      <c r="AN109" s="33"/>
      <c r="AO109" s="33"/>
      <c r="AP109" s="33"/>
      <c r="AQ109" s="62">
        <f t="shared" si="85"/>
        <v>0</v>
      </c>
      <c r="AR109" s="62">
        <f t="shared" si="104"/>
        <v>0</v>
      </c>
      <c r="AS109" s="62">
        <f t="shared" si="105"/>
        <v>348201.68000000005</v>
      </c>
      <c r="AT109" s="59"/>
      <c r="AU109" s="234"/>
      <c r="AV109" s="61" t="str">
        <f t="shared" si="106"/>
        <v>DASA SETIAWAN</v>
      </c>
      <c r="AW109" s="60">
        <f t="shared" si="107"/>
        <v>348201.68000000005</v>
      </c>
      <c r="AX109" s="64"/>
      <c r="AY109" s="68"/>
      <c r="AZ109" s="68"/>
      <c r="BA109" s="59">
        <f>+VLOOKUP(C109,'tanda terima  (2)'!$C$4:$G$106,5,0)</f>
        <v>348201.68000000005</v>
      </c>
      <c r="BB109" s="59"/>
    </row>
    <row r="110" s="58" customFormat="1">
      <c r="A110" s="68">
        <f t="shared" si="87"/>
        <v>77</v>
      </c>
      <c r="B110" s="268" t="s">
        <v>404</v>
      </c>
      <c r="C110" s="26" t="s">
        <v>188</v>
      </c>
      <c r="D110" s="68" t="s">
        <v>15</v>
      </c>
      <c r="E110" s="68" t="s">
        <v>17</v>
      </c>
      <c r="F110" s="68"/>
      <c r="G110" s="68">
        <v>3</v>
      </c>
      <c r="H110" s="265" t="str">
        <f t="shared" si="88"/>
        <v>PRORATE</v>
      </c>
      <c r="I110" s="266"/>
      <c r="J110" s="266"/>
      <c r="K110" s="266"/>
      <c r="L110" s="67"/>
      <c r="M110" s="28">
        <f t="shared" si="89"/>
        <v>539875.4400000001</v>
      </c>
      <c r="N110" s="37">
        <f t="shared" si="90"/>
        <v>0</v>
      </c>
      <c r="O110" s="65"/>
      <c r="P110" s="66">
        <f t="shared" si="91"/>
        <v>234321.1716</v>
      </c>
      <c r="Q110" s="66">
        <f t="shared" si="92"/>
        <v>191673.76</v>
      </c>
      <c r="R110" s="66">
        <f t="shared" si="93"/>
        <v>95836.88</v>
      </c>
      <c r="S110" s="65">
        <f t="shared" si="94"/>
        <v>521831.8116</v>
      </c>
      <c r="T110" s="65">
        <v>374913.5</v>
      </c>
      <c r="U110" s="67"/>
      <c r="V110" s="67">
        <f t="shared" si="95"/>
        <v>539875.4400000001</v>
      </c>
      <c r="W110" s="38"/>
      <c r="X110" s="39"/>
      <c r="Y110" s="68">
        <f t="shared" si="96"/>
        <v>77</v>
      </c>
      <c r="Z110" s="36" t="str">
        <f t="shared" si="97"/>
        <v>AGUSTINUS</v>
      </c>
      <c r="AA110" s="267" t="s">
        <v>218</v>
      </c>
      <c r="AB110" s="63">
        <f t="shared" si="98"/>
        <v>539875.4400000001</v>
      </c>
      <c r="AC110" s="63">
        <f t="shared" si="99"/>
        <v>95836.88</v>
      </c>
      <c r="AD110" s="63">
        <f t="shared" si="86"/>
        <v>47918.44</v>
      </c>
      <c r="AE110" s="63">
        <f t="shared" si="86"/>
        <v>47918.44</v>
      </c>
      <c r="AF110" s="63">
        <f t="shared" si="100"/>
        <v>348201.68000000005</v>
      </c>
      <c r="AG110" s="63">
        <f t="shared" si="101"/>
        <v>5625000</v>
      </c>
      <c r="AH110" s="63">
        <f t="shared" si="102"/>
        <v>-5276798.32</v>
      </c>
      <c r="AI110" s="34"/>
      <c r="AJ110" s="62">
        <f t="shared" si="103"/>
        <v>348201.68000000005</v>
      </c>
      <c r="AK110" s="33"/>
      <c r="AL110" s="33"/>
      <c r="AM110" s="33"/>
      <c r="AN110" s="33"/>
      <c r="AO110" s="33"/>
      <c r="AP110" s="33"/>
      <c r="AQ110" s="62">
        <f t="shared" si="85"/>
        <v>0</v>
      </c>
      <c r="AR110" s="62">
        <f t="shared" si="104"/>
        <v>0</v>
      </c>
      <c r="AS110" s="62">
        <f t="shared" si="105"/>
        <v>348201.68000000005</v>
      </c>
      <c r="AT110" s="59"/>
      <c r="AU110" s="234"/>
      <c r="AV110" s="61" t="str">
        <f t="shared" si="106"/>
        <v>AGUSTINUS</v>
      </c>
      <c r="AW110" s="60">
        <f t="shared" si="107"/>
        <v>348201.68000000005</v>
      </c>
      <c r="AX110" s="64"/>
      <c r="AY110" s="68"/>
      <c r="AZ110" s="68"/>
      <c r="BA110" s="59">
        <f>+VLOOKUP(C110,'tanda terima  (2)'!$C$4:$G$106,5,0)</f>
        <v>348201.68000000005</v>
      </c>
      <c r="BB110" s="59"/>
    </row>
    <row r="111" s="58" customFormat="1">
      <c r="A111" s="68">
        <f t="shared" si="87"/>
        <v>78</v>
      </c>
      <c r="B111" s="319" t="s">
        <v>405</v>
      </c>
      <c r="C111" s="26" t="s">
        <v>177</v>
      </c>
      <c r="D111" s="68" t="s">
        <v>15</v>
      </c>
      <c r="E111" s="68" t="s">
        <v>17</v>
      </c>
      <c r="F111" s="68"/>
      <c r="G111" s="68"/>
      <c r="H111" s="265" t="str">
        <f t="shared" si="88"/>
        <v>FULL</v>
      </c>
      <c r="I111" s="266"/>
      <c r="J111" s="266"/>
      <c r="K111" s="266"/>
      <c r="L111" s="67">
        <f>SUM(I111:K111)</f>
        <v>0</v>
      </c>
      <c r="M111" s="28">
        <f t="shared" si="89"/>
        <v>4498962</v>
      </c>
      <c r="N111" s="37">
        <f t="shared" si="90"/>
        <v>0</v>
      </c>
      <c r="O111" s="65"/>
      <c r="P111" s="66">
        <f t="shared" si="91"/>
        <v>234321.1716</v>
      </c>
      <c r="Q111" s="66">
        <f t="shared" si="92"/>
        <v>191673.76</v>
      </c>
      <c r="R111" s="66">
        <f t="shared" si="93"/>
        <v>95836.88</v>
      </c>
      <c r="S111" s="65">
        <f t="shared" si="94"/>
        <v>521831.8116</v>
      </c>
      <c r="T111" s="65">
        <v>374913.5</v>
      </c>
      <c r="U111" s="67"/>
      <c r="V111" s="67">
        <f t="shared" si="95"/>
        <v>4498962</v>
      </c>
      <c r="W111" s="38"/>
      <c r="X111" s="39"/>
      <c r="Y111" s="68">
        <f t="shared" si="96"/>
        <v>78</v>
      </c>
      <c r="Z111" s="36" t="str">
        <f t="shared" si="97"/>
        <v>PARLIN HUTABARAT</v>
      </c>
      <c r="AA111" s="320" t="s">
        <v>216</v>
      </c>
      <c r="AB111" s="63">
        <f t="shared" si="98"/>
        <v>4498962</v>
      </c>
      <c r="AC111" s="63">
        <f t="shared" si="99"/>
        <v>95836.88</v>
      </c>
      <c r="AD111" s="63">
        <f t="shared" si="86"/>
        <v>47918.44</v>
      </c>
      <c r="AE111" s="63">
        <f t="shared" si="86"/>
        <v>47918.44</v>
      </c>
      <c r="AF111" s="63">
        <f t="shared" si="100"/>
        <v>4307288.239999999</v>
      </c>
      <c r="AG111" s="63">
        <f t="shared" si="101"/>
        <v>4875000</v>
      </c>
      <c r="AH111" s="63">
        <f t="shared" si="102"/>
        <v>-567711.7600000007</v>
      </c>
      <c r="AI111" s="34">
        <f>+IF(AH111&gt;0,AH111*5%,0)</f>
        <v>0</v>
      </c>
      <c r="AJ111" s="62">
        <f t="shared" si="103"/>
        <v>4307288.239999999</v>
      </c>
      <c r="AK111" s="33"/>
      <c r="AL111" s="33"/>
      <c r="AM111" s="33"/>
      <c r="AN111" s="33"/>
      <c r="AO111" s="33"/>
      <c r="AP111" s="33"/>
      <c r="AQ111" s="62">
        <f t="shared" si="85"/>
        <v>0</v>
      </c>
      <c r="AR111" s="62">
        <f t="shared" si="104"/>
        <v>0</v>
      </c>
      <c r="AS111" s="62">
        <f t="shared" si="105"/>
        <v>4307288.239999999</v>
      </c>
      <c r="AT111" s="59"/>
      <c r="AU111" s="234">
        <f>+A111</f>
        <v>78</v>
      </c>
      <c r="AV111" s="61" t="str">
        <f t="shared" si="106"/>
        <v>PARLIN HUTABARAT</v>
      </c>
      <c r="AW111" s="60">
        <f t="shared" si="107"/>
        <v>4307288.239999999</v>
      </c>
      <c r="AX111" s="64"/>
      <c r="AY111" s="68"/>
      <c r="AZ111" s="68"/>
      <c r="BA111" s="59">
        <f>+VLOOKUP(C111,'tanda terima  (2)'!$C$4:$G$106,5,0)</f>
        <v>4307288.239999999</v>
      </c>
      <c r="BB111" s="59"/>
      <c r="BG111" s="58">
        <f>+VLOOKUP(C111,[1]ALL!$C$26:$AQ$91,40,0)</f>
        <v>0</v>
      </c>
    </row>
    <row r="112" s="58" customFormat="1">
      <c r="A112" s="68">
        <f t="shared" si="87"/>
        <v>79</v>
      </c>
      <c r="B112" s="319" t="s">
        <v>406</v>
      </c>
      <c r="C112" s="26" t="s">
        <v>99</v>
      </c>
      <c r="D112" s="68" t="s">
        <v>15</v>
      </c>
      <c r="E112" s="68" t="s">
        <v>17</v>
      </c>
      <c r="F112" s="68"/>
      <c r="G112" s="68"/>
      <c r="H112" s="265" t="str">
        <f t="shared" si="88"/>
        <v>FULL</v>
      </c>
      <c r="I112" s="266"/>
      <c r="J112" s="266"/>
      <c r="K112" s="266"/>
      <c r="L112" s="67">
        <f>SUM(I112:K112)</f>
        <v>0</v>
      </c>
      <c r="M112" s="28">
        <f t="shared" si="89"/>
        <v>4498962</v>
      </c>
      <c r="N112" s="37">
        <f t="shared" si="90"/>
        <v>0</v>
      </c>
      <c r="O112" s="65"/>
      <c r="P112" s="66">
        <f t="shared" si="91"/>
        <v>234321.1716</v>
      </c>
      <c r="Q112" s="66">
        <f t="shared" si="92"/>
        <v>191673.76</v>
      </c>
      <c r="R112" s="66">
        <f t="shared" si="93"/>
        <v>95836.88</v>
      </c>
      <c r="S112" s="65">
        <f t="shared" si="94"/>
        <v>521831.8116</v>
      </c>
      <c r="T112" s="65">
        <v>374913.5</v>
      </c>
      <c r="U112" s="67"/>
      <c r="V112" s="67">
        <f t="shared" si="95"/>
        <v>4498962</v>
      </c>
      <c r="W112" s="38"/>
      <c r="X112" s="39"/>
      <c r="Y112" s="68">
        <f t="shared" si="96"/>
        <v>79</v>
      </c>
      <c r="Z112" s="36" t="str">
        <f t="shared" si="97"/>
        <v>KUSNANTO</v>
      </c>
      <c r="AA112" s="35" t="s">
        <v>216</v>
      </c>
      <c r="AB112" s="63">
        <f t="shared" si="98"/>
        <v>4498962</v>
      </c>
      <c r="AC112" s="63">
        <f t="shared" si="99"/>
        <v>95836.88</v>
      </c>
      <c r="AD112" s="63">
        <f t="shared" si="86"/>
        <v>47918.44</v>
      </c>
      <c r="AE112" s="63">
        <f t="shared" si="86"/>
        <v>47918.44</v>
      </c>
      <c r="AF112" s="63">
        <f t="shared" si="100"/>
        <v>4307288.239999999</v>
      </c>
      <c r="AG112" s="63">
        <f t="shared" si="101"/>
        <v>4875000</v>
      </c>
      <c r="AH112" s="63">
        <f t="shared" si="102"/>
        <v>-567711.7600000007</v>
      </c>
      <c r="AI112" s="34">
        <f>+IF(AH112&gt;0,AH112*5%,0)</f>
        <v>0</v>
      </c>
      <c r="AJ112" s="62">
        <f t="shared" si="103"/>
        <v>4307288.239999999</v>
      </c>
      <c r="AK112" s="33"/>
      <c r="AL112" s="33"/>
      <c r="AM112" s="33"/>
      <c r="AN112" s="33"/>
      <c r="AO112" s="33"/>
      <c r="AP112" s="33"/>
      <c r="AQ112" s="62">
        <f t="shared" si="85"/>
        <v>0</v>
      </c>
      <c r="AR112" s="62">
        <f t="shared" si="104"/>
        <v>0</v>
      </c>
      <c r="AS112" s="62">
        <f t="shared" si="105"/>
        <v>4307288.239999999</v>
      </c>
      <c r="AT112" s="59"/>
      <c r="AU112" s="234">
        <f>+A112</f>
        <v>79</v>
      </c>
      <c r="AV112" s="61" t="str">
        <f t="shared" si="106"/>
        <v>KUSNANTO</v>
      </c>
      <c r="AW112" s="60">
        <f t="shared" si="107"/>
        <v>4307288.239999999</v>
      </c>
      <c r="AX112" s="64"/>
      <c r="AY112" s="68"/>
      <c r="AZ112" s="68"/>
      <c r="BA112" s="59">
        <f>+VLOOKUP(C112,'tanda terima  (2)'!$C$4:$G$106,5,0)</f>
        <v>4307288.239999999</v>
      </c>
      <c r="BB112" s="59"/>
      <c r="BG112" s="58" t="s">
        <v>359</v>
      </c>
    </row>
    <row r="113" s="58" customFormat="1">
      <c r="A113" s="68">
        <f t="shared" si="87"/>
        <v>80</v>
      </c>
      <c r="B113" s="319" t="s">
        <v>407</v>
      </c>
      <c r="C113" s="26" t="s">
        <v>163</v>
      </c>
      <c r="D113" s="68" t="s">
        <v>15</v>
      </c>
      <c r="E113" s="68" t="s">
        <v>17</v>
      </c>
      <c r="F113" s="68"/>
      <c r="G113" s="68"/>
      <c r="H113" s="265" t="str">
        <f t="shared" si="88"/>
        <v>FULL</v>
      </c>
      <c r="I113" s="266"/>
      <c r="J113" s="266"/>
      <c r="K113" s="266"/>
      <c r="L113" s="67">
        <f>SUM(I113:K113)</f>
        <v>0</v>
      </c>
      <c r="M113" s="28">
        <f t="shared" si="89"/>
        <v>4498962</v>
      </c>
      <c r="N113" s="37">
        <f t="shared" si="90"/>
        <v>0</v>
      </c>
      <c r="O113" s="65"/>
      <c r="P113" s="66">
        <f t="shared" si="91"/>
        <v>234321.1716</v>
      </c>
      <c r="Q113" s="66">
        <f t="shared" si="92"/>
        <v>191673.76</v>
      </c>
      <c r="R113" s="66">
        <f t="shared" si="93"/>
        <v>95836.88</v>
      </c>
      <c r="S113" s="65">
        <f t="shared" si="94"/>
        <v>521831.8116</v>
      </c>
      <c r="T113" s="65">
        <v>374913.5</v>
      </c>
      <c r="U113" s="67"/>
      <c r="V113" s="67">
        <f t="shared" si="95"/>
        <v>4498962</v>
      </c>
      <c r="W113" s="38"/>
      <c r="X113" s="39"/>
      <c r="Y113" s="68">
        <f t="shared" si="96"/>
        <v>80</v>
      </c>
      <c r="Z113" s="36" t="str">
        <f t="shared" si="97"/>
        <v>ROY</v>
      </c>
      <c r="AA113" s="35" t="s">
        <v>216</v>
      </c>
      <c r="AB113" s="63">
        <f t="shared" si="98"/>
        <v>4498962</v>
      </c>
      <c r="AC113" s="63">
        <f t="shared" si="99"/>
        <v>95836.88</v>
      </c>
      <c r="AD113" s="63">
        <f t="shared" si="86"/>
        <v>47918.44</v>
      </c>
      <c r="AE113" s="63">
        <f t="shared" si="86"/>
        <v>47918.44</v>
      </c>
      <c r="AF113" s="63">
        <f t="shared" si="100"/>
        <v>4307288.239999999</v>
      </c>
      <c r="AG113" s="63">
        <f t="shared" si="101"/>
        <v>4875000</v>
      </c>
      <c r="AH113" s="63">
        <f t="shared" si="102"/>
        <v>-567711.7600000007</v>
      </c>
      <c r="AI113" s="34">
        <f>+IF(AH113&gt;0,AH113*5%,0)</f>
        <v>0</v>
      </c>
      <c r="AJ113" s="62">
        <f t="shared" si="103"/>
        <v>4307288.239999999</v>
      </c>
      <c r="AK113" s="33"/>
      <c r="AL113" s="33"/>
      <c r="AM113" s="33"/>
      <c r="AN113" s="33"/>
      <c r="AO113" s="33"/>
      <c r="AP113" s="33"/>
      <c r="AQ113" s="62">
        <f t="shared" si="85"/>
        <v>0</v>
      </c>
      <c r="AR113" s="62">
        <f t="shared" si="104"/>
        <v>0</v>
      </c>
      <c r="AS113" s="62">
        <f t="shared" si="105"/>
        <v>4307288.239999999</v>
      </c>
      <c r="AT113" s="59"/>
      <c r="AU113" s="234">
        <f>+A113</f>
        <v>80</v>
      </c>
      <c r="AV113" s="61" t="str">
        <f t="shared" si="106"/>
        <v>ROY</v>
      </c>
      <c r="AW113" s="60">
        <f t="shared" si="107"/>
        <v>4307288.239999999</v>
      </c>
      <c r="AX113" s="64"/>
      <c r="AY113" s="68"/>
      <c r="AZ113" s="68"/>
      <c r="BA113" s="59">
        <f>+VLOOKUP(C113,'tanda terima  (2)'!$C$4:$G$106,5,0)</f>
        <v>4307288.239999999</v>
      </c>
      <c r="BB113" s="59"/>
      <c r="BG113" s="58">
        <f>+VLOOKUP(C113,[1]ALL!$C$26:$AQ$91,40,0)</f>
        <v>0</v>
      </c>
    </row>
    <row r="114" s="51" customFormat="1">
      <c r="A114" s="80"/>
      <c r="B114" s="47"/>
      <c r="C114" s="26"/>
      <c r="D114" s="54"/>
      <c r="E114" s="54"/>
      <c r="F114" s="54"/>
      <c r="G114" s="54"/>
      <c r="H114" s="139"/>
      <c r="I114" s="125"/>
      <c r="J114" s="125"/>
      <c r="K114" s="125"/>
      <c r="L114" s="79"/>
      <c r="M114" s="67"/>
      <c r="N114" s="37"/>
      <c r="O114" s="65"/>
      <c r="P114" s="78"/>
      <c r="Q114" s="78"/>
      <c r="R114" s="78"/>
      <c r="S114" s="77"/>
      <c r="T114" s="77"/>
      <c r="U114" s="67"/>
      <c r="V114" s="79"/>
      <c r="W114" s="46"/>
      <c r="X114" s="47"/>
      <c r="Y114" s="80"/>
      <c r="Z114" s="45"/>
      <c r="AA114" s="44"/>
      <c r="AB114" s="43"/>
      <c r="AC114" s="43"/>
      <c r="AD114" s="43"/>
      <c r="AE114" s="43"/>
      <c r="AF114" s="43"/>
      <c r="AG114" s="43"/>
      <c r="AH114" s="43"/>
      <c r="AI114" s="43"/>
      <c r="AJ114" s="57"/>
      <c r="AK114" s="33"/>
      <c r="AL114" s="33"/>
      <c r="AM114" s="33"/>
      <c r="AN114" s="33"/>
      <c r="AO114" s="33"/>
      <c r="AP114" s="33"/>
      <c r="AQ114" s="33"/>
      <c r="AR114" s="33"/>
      <c r="AS114" s="33"/>
      <c r="AT114" s="72"/>
      <c r="AU114" s="71"/>
      <c r="AV114" s="52"/>
      <c r="AW114" s="60"/>
      <c r="AX114" s="69"/>
      <c r="AY114" s="54"/>
      <c r="AZ114" s="54"/>
      <c r="BA114" s="72"/>
      <c r="BB114" s="72"/>
      <c r="BG114" s="105"/>
    </row>
    <row r="115" s="51" customFormat="1">
      <c r="A115" s="80"/>
      <c r="B115" s="47"/>
      <c r="C115" s="26"/>
      <c r="D115" s="54"/>
      <c r="E115" s="54"/>
      <c r="F115" s="54"/>
      <c r="G115" s="54"/>
      <c r="H115" s="139"/>
      <c r="I115" s="125"/>
      <c r="J115" s="125"/>
      <c r="K115" s="125"/>
      <c r="L115" s="79"/>
      <c r="M115" s="67"/>
      <c r="N115" s="37"/>
      <c r="O115" s="65"/>
      <c r="P115" s="78"/>
      <c r="Q115" s="78"/>
      <c r="R115" s="78"/>
      <c r="S115" s="77"/>
      <c r="T115" s="77"/>
      <c r="U115" s="67"/>
      <c r="V115" s="79"/>
      <c r="W115" s="46"/>
      <c r="X115" s="47"/>
      <c r="Y115" s="80"/>
      <c r="Z115" s="45"/>
      <c r="AA115" s="44"/>
      <c r="AB115" s="43"/>
      <c r="AC115" s="43"/>
      <c r="AD115" s="43"/>
      <c r="AE115" s="43"/>
      <c r="AF115" s="43"/>
      <c r="AG115" s="43"/>
      <c r="AH115" s="43"/>
      <c r="AI115" s="43"/>
      <c r="AJ115" s="57"/>
      <c r="AK115" s="33"/>
      <c r="AL115" s="33"/>
      <c r="AM115" s="33"/>
      <c r="AN115" s="33"/>
      <c r="AO115" s="33"/>
      <c r="AP115" s="33"/>
      <c r="AQ115" s="33"/>
      <c r="AR115" s="33"/>
      <c r="AS115" s="33"/>
      <c r="AT115" s="72"/>
      <c r="AU115" s="71"/>
      <c r="AV115" s="52"/>
      <c r="AW115" s="60"/>
      <c r="AX115" s="69"/>
      <c r="AY115" s="54"/>
      <c r="AZ115" s="54"/>
      <c r="BA115" s="72"/>
      <c r="BB115" s="72"/>
      <c r="BG115" s="105"/>
    </row>
    <row r="116" ht="27.75" customHeight="1" s="159" customFormat="1">
      <c r="A116" s="295"/>
      <c r="B116" s="296"/>
      <c r="C116" s="297"/>
      <c r="D116" s="295"/>
      <c r="E116" s="295"/>
      <c r="F116" s="298"/>
      <c r="G116" s="298"/>
      <c r="H116" s="299"/>
      <c r="I116" s="300"/>
      <c r="J116" s="300"/>
      <c r="K116" s="300"/>
      <c r="L116" s="301">
        <f>SUM(L34:L93)</f>
        <v>0</v>
      </c>
      <c r="M116" s="302">
        <f ref="M116:V116" t="shared" si="108">SUM(M34:M114)</f>
        <v>336522357.6</v>
      </c>
      <c r="N116" s="302">
        <f t="shared" si="108"/>
        <v>0</v>
      </c>
      <c r="O116" s="302">
        <f t="shared" si="108"/>
        <v>0</v>
      </c>
      <c r="P116" s="302">
        <f t="shared" si="108"/>
        <v>18745693.72799996</v>
      </c>
      <c r="Q116" s="302">
        <f t="shared" si="108"/>
        <v>15333900.799999986</v>
      </c>
      <c r="R116" s="302">
        <f t="shared" si="108"/>
        <v>7666950.399999993</v>
      </c>
      <c r="S116" s="302">
        <f t="shared" si="108"/>
        <v>41746544.92799998</v>
      </c>
      <c r="T116" s="302">
        <f t="shared" si="108"/>
        <v>29993080</v>
      </c>
      <c r="U116" s="302">
        <f t="shared" si="108"/>
        <v>179958</v>
      </c>
      <c r="V116" s="302">
        <f t="shared" si="108"/>
        <v>336702315.6</v>
      </c>
      <c r="W116" s="303"/>
      <c r="X116" s="296"/>
      <c r="Y116" s="295"/>
      <c r="Z116" s="304"/>
      <c r="AA116" s="305"/>
      <c r="AB116" s="302">
        <f ref="AB116:AS116" t="shared" si="109">SUM(AB34:AB114)</f>
        <v>336702315.6</v>
      </c>
      <c r="AC116" s="302">
        <f t="shared" si="109"/>
        <v>7666950.399999993</v>
      </c>
      <c r="AD116" s="302">
        <f t="shared" si="109"/>
        <v>3833475.1999999965</v>
      </c>
      <c r="AE116" s="302">
        <f t="shared" si="109"/>
        <v>3833475.1999999965</v>
      </c>
      <c r="AF116" s="302">
        <f t="shared" si="109"/>
        <v>321368414.80000025</v>
      </c>
      <c r="AG116" s="302">
        <f t="shared" si="109"/>
        <v>412875000</v>
      </c>
      <c r="AH116" s="302">
        <f t="shared" si="109"/>
        <v>-91506585.19999997</v>
      </c>
      <c r="AI116" s="302">
        <f t="shared" si="109"/>
        <v>0</v>
      </c>
      <c r="AJ116" s="302">
        <f t="shared" si="109"/>
        <v>321368414.80000025</v>
      </c>
      <c r="AK116" s="302">
        <f t="shared" si="109"/>
        <v>510000</v>
      </c>
      <c r="AL116" s="302">
        <f t="shared" si="109"/>
        <v>0</v>
      </c>
      <c r="AM116" s="302">
        <f t="shared" si="109"/>
        <v>4500000</v>
      </c>
      <c r="AN116" s="302">
        <f t="shared" si="109"/>
        <v>575000</v>
      </c>
      <c r="AO116" s="302">
        <f t="shared" si="109"/>
        <v>250000</v>
      </c>
      <c r="AP116" s="302">
        <f t="shared" si="109"/>
        <v>488000</v>
      </c>
      <c r="AQ116" s="302">
        <f t="shared" si="109"/>
        <v>0</v>
      </c>
      <c r="AR116" s="302"/>
      <c r="AS116" s="302">
        <f t="shared" si="109"/>
        <v>315045414.80000025</v>
      </c>
      <c r="AT116" s="306"/>
      <c r="AU116" s="307"/>
      <c r="AV116" s="308"/>
      <c r="AW116" s="302">
        <f>SUM(AW34:AW114)</f>
        <v>315045414.80000025</v>
      </c>
      <c r="AX116" s="309"/>
      <c r="AY116" s="295"/>
      <c r="AZ116" s="295"/>
      <c r="BA116" s="155"/>
      <c r="BB116" s="155"/>
    </row>
    <row r="117" hidden="1" ht="21" s="105" customFormat="1">
      <c r="A117" s="80"/>
      <c r="B117" s="80"/>
      <c r="C117" s="89" t="s">
        <v>408</v>
      </c>
      <c r="D117" s="80"/>
      <c r="E117" s="80"/>
      <c r="F117" s="80"/>
      <c r="G117" s="80"/>
      <c r="H117" s="79"/>
      <c r="I117" s="79"/>
      <c r="J117" s="79"/>
      <c r="K117" s="79"/>
      <c r="L117" s="79"/>
      <c r="M117" s="67"/>
      <c r="N117" s="67"/>
      <c r="O117" s="65"/>
      <c r="P117" s="78"/>
      <c r="Q117" s="78"/>
      <c r="R117" s="78"/>
      <c r="S117" s="77"/>
      <c r="T117" s="77"/>
      <c r="U117" s="67"/>
      <c r="V117" s="79"/>
      <c r="W117" s="79"/>
      <c r="X117" s="80"/>
      <c r="Y117" s="80"/>
      <c r="Z117" s="89" t="s">
        <v>270</v>
      </c>
      <c r="AA117" s="75"/>
      <c r="AB117" s="74"/>
      <c r="AC117" s="74"/>
      <c r="AD117" s="74"/>
      <c r="AE117" s="74"/>
      <c r="AF117" s="74"/>
      <c r="AG117" s="74"/>
      <c r="AH117" s="74"/>
      <c r="AI117" s="74"/>
      <c r="AJ117" s="73"/>
      <c r="AK117" s="62"/>
      <c r="AL117" s="62"/>
      <c r="AM117" s="62"/>
      <c r="AN117" s="62">
        <f>+IF(I117+J117&gt;2,I117+J117*165845,0)</f>
        <v>0</v>
      </c>
      <c r="AO117" s="62"/>
      <c r="AP117" s="62"/>
      <c r="AQ117" s="62"/>
      <c r="AR117" s="62"/>
      <c r="AS117" s="62"/>
      <c r="AT117" s="72"/>
      <c r="AU117" s="71"/>
      <c r="AV117" s="70"/>
      <c r="AW117" s="60"/>
      <c r="AX117" s="69"/>
      <c r="AY117" s="80"/>
      <c r="AZ117" s="56"/>
      <c r="BA117" s="72"/>
      <c r="BB117" s="72"/>
      <c r="BC117" s="72"/>
      <c r="BD117" s="72"/>
    </row>
    <row r="118" hidden="1" s="51" customFormat="1">
      <c r="A118" s="80"/>
      <c r="B118" s="54"/>
      <c r="C118" s="17"/>
      <c r="D118" s="54"/>
      <c r="E118" s="54"/>
      <c r="F118" s="54"/>
      <c r="G118" s="54"/>
      <c r="H118" s="139"/>
      <c r="I118" s="126"/>
      <c r="J118" s="126"/>
      <c r="K118" s="126"/>
      <c r="L118" s="79"/>
      <c r="M118" s="67"/>
      <c r="N118" s="37"/>
      <c r="O118" s="65"/>
      <c r="P118" s="78"/>
      <c r="Q118" s="78"/>
      <c r="R118" s="78"/>
      <c r="S118" s="77"/>
      <c r="T118" s="79"/>
      <c r="U118" s="67"/>
      <c r="V118" s="79"/>
      <c r="W118" s="53"/>
      <c r="X118" s="54"/>
      <c r="Y118" s="80"/>
      <c r="Z118" s="76"/>
      <c r="AA118" s="75"/>
      <c r="AB118" s="74"/>
      <c r="AC118" s="74"/>
      <c r="AD118" s="74"/>
      <c r="AE118" s="74"/>
      <c r="AF118" s="74"/>
      <c r="AG118" s="74"/>
      <c r="AH118" s="74"/>
      <c r="AI118" s="74"/>
      <c r="AJ118" s="73"/>
      <c r="AK118" s="62"/>
      <c r="AL118" s="62"/>
      <c r="AM118" s="62"/>
      <c r="AN118" s="62"/>
      <c r="AO118" s="62"/>
      <c r="AP118" s="62"/>
      <c r="AQ118" s="62"/>
      <c r="AR118" s="62"/>
      <c r="AS118" s="62"/>
      <c r="AT118" s="72"/>
      <c r="AU118" s="71"/>
      <c r="AV118" s="52"/>
      <c r="AW118" s="60"/>
      <c r="AX118" s="69"/>
      <c r="AY118" s="54"/>
      <c r="AZ118" s="54"/>
      <c r="BA118" s="72"/>
      <c r="BB118" s="72"/>
    </row>
    <row r="119" hidden="1" s="51" customFormat="1">
      <c r="A119" s="80"/>
      <c r="B119" s="54"/>
      <c r="C119" s="17"/>
      <c r="D119" s="54"/>
      <c r="E119" s="54"/>
      <c r="F119" s="54"/>
      <c r="G119" s="54"/>
      <c r="H119" s="139"/>
      <c r="I119" s="126"/>
      <c r="J119" s="126"/>
      <c r="K119" s="126"/>
      <c r="L119" s="79"/>
      <c r="M119" s="67"/>
      <c r="N119" s="37"/>
      <c r="O119" s="65"/>
      <c r="P119" s="78"/>
      <c r="Q119" s="78"/>
      <c r="R119" s="78"/>
      <c r="S119" s="77"/>
      <c r="T119" s="79"/>
      <c r="U119" s="67"/>
      <c r="V119" s="79"/>
      <c r="W119" s="53"/>
      <c r="X119" s="54"/>
      <c r="Y119" s="80"/>
      <c r="Z119" s="76"/>
      <c r="AA119" s="75"/>
      <c r="AB119" s="74"/>
      <c r="AC119" s="74"/>
      <c r="AD119" s="74"/>
      <c r="AE119" s="74"/>
      <c r="AF119" s="74"/>
      <c r="AG119" s="74"/>
      <c r="AH119" s="74"/>
      <c r="AI119" s="74"/>
      <c r="AJ119" s="73"/>
      <c r="AK119" s="62"/>
      <c r="AL119" s="62"/>
      <c r="AM119" s="62"/>
      <c r="AN119" s="62"/>
      <c r="AO119" s="62"/>
      <c r="AP119" s="62"/>
      <c r="AQ119" s="62"/>
      <c r="AR119" s="62"/>
      <c r="AS119" s="62"/>
      <c r="AT119" s="72"/>
      <c r="AU119" s="71"/>
      <c r="AV119" s="52"/>
      <c r="AW119" s="60"/>
      <c r="AX119" s="69"/>
      <c r="AY119" s="54"/>
      <c r="AZ119" s="54"/>
      <c r="BA119" s="72"/>
      <c r="BB119" s="72"/>
    </row>
    <row r="120" hidden="1" s="51" customFormat="1">
      <c r="A120" s="80"/>
      <c r="B120" s="54"/>
      <c r="C120" s="17"/>
      <c r="D120" s="54"/>
      <c r="E120" s="54"/>
      <c r="F120" s="54"/>
      <c r="G120" s="54"/>
      <c r="H120" s="139"/>
      <c r="I120" s="126"/>
      <c r="J120" s="126"/>
      <c r="K120" s="126"/>
      <c r="L120" s="79"/>
      <c r="M120" s="67"/>
      <c r="N120" s="37"/>
      <c r="O120" s="65"/>
      <c r="P120" s="78"/>
      <c r="Q120" s="78"/>
      <c r="R120" s="78"/>
      <c r="S120" s="77"/>
      <c r="T120" s="77"/>
      <c r="U120" s="67"/>
      <c r="V120" s="79"/>
      <c r="W120" s="53"/>
      <c r="X120" s="54"/>
      <c r="Y120" s="80"/>
      <c r="Z120" s="76"/>
      <c r="AA120" s="75"/>
      <c r="AB120" s="74"/>
      <c r="AC120" s="74"/>
      <c r="AD120" s="74"/>
      <c r="AE120" s="74"/>
      <c r="AF120" s="74"/>
      <c r="AG120" s="74"/>
      <c r="AH120" s="74"/>
      <c r="AI120" s="74"/>
      <c r="AJ120" s="73"/>
      <c r="AK120" s="62"/>
      <c r="AL120" s="62"/>
      <c r="AM120" s="62"/>
      <c r="AN120" s="62"/>
      <c r="AO120" s="62"/>
      <c r="AP120" s="62"/>
      <c r="AQ120" s="62"/>
      <c r="AR120" s="62"/>
      <c r="AS120" s="62"/>
      <c r="AT120" s="72"/>
      <c r="AU120" s="71"/>
      <c r="AV120" s="52"/>
      <c r="AW120" s="60"/>
      <c r="AX120" s="69"/>
      <c r="AY120" s="54"/>
      <c r="AZ120" s="54"/>
      <c r="BA120" s="72"/>
      <c r="BB120" s="72"/>
    </row>
    <row r="121" hidden="1" s="51" customFormat="1">
      <c r="A121" s="80"/>
      <c r="B121" s="54"/>
      <c r="C121" s="17"/>
      <c r="D121" s="54"/>
      <c r="E121" s="54"/>
      <c r="F121" s="54"/>
      <c r="G121" s="54"/>
      <c r="H121" s="139"/>
      <c r="I121" s="126"/>
      <c r="J121" s="126"/>
      <c r="K121" s="126"/>
      <c r="L121" s="53"/>
      <c r="M121" s="67"/>
      <c r="N121" s="37"/>
      <c r="O121" s="65"/>
      <c r="P121" s="66"/>
      <c r="Q121" s="66"/>
      <c r="R121" s="78"/>
      <c r="S121" s="77"/>
      <c r="T121" s="77"/>
      <c r="U121" s="67"/>
      <c r="V121" s="53"/>
      <c r="W121" s="53"/>
      <c r="X121" s="54"/>
      <c r="Y121" s="80"/>
      <c r="Z121" s="76"/>
      <c r="AA121" s="75"/>
      <c r="AB121" s="74"/>
      <c r="AC121" s="74"/>
      <c r="AD121" s="74"/>
      <c r="AE121" s="74"/>
      <c r="AF121" s="74"/>
      <c r="AG121" s="74"/>
      <c r="AH121" s="74"/>
      <c r="AI121" s="74"/>
      <c r="AJ121" s="73"/>
      <c r="AK121" s="62"/>
      <c r="AL121" s="62"/>
      <c r="AM121" s="62"/>
      <c r="AN121" s="62"/>
      <c r="AO121" s="62"/>
      <c r="AP121" s="271"/>
      <c r="AQ121" s="271"/>
      <c r="AR121" s="271"/>
      <c r="AS121" s="62"/>
      <c r="AT121" s="72"/>
      <c r="AU121" s="71"/>
      <c r="AV121" s="52"/>
      <c r="AW121" s="60"/>
      <c r="AX121" s="69"/>
      <c r="AY121" s="54"/>
      <c r="AZ121" s="54"/>
      <c r="BA121" s="72"/>
      <c r="BB121" s="72"/>
    </row>
    <row r="122" hidden="1" s="159" customFormat="1">
      <c r="A122" s="152"/>
      <c r="B122" s="171"/>
      <c r="C122" s="172"/>
      <c r="D122" s="152"/>
      <c r="E122" s="152"/>
      <c r="F122" s="173"/>
      <c r="G122" s="173"/>
      <c r="H122" s="154"/>
      <c r="I122" s="174"/>
      <c r="J122" s="174"/>
      <c r="K122" s="174"/>
      <c r="L122" s="178">
        <f ref="L122:V122" t="shared" si="110">SUM(L118:L120)</f>
        <v>0</v>
      </c>
      <c r="M122" s="34">
        <f t="shared" si="110"/>
        <v>0</v>
      </c>
      <c r="N122" s="34">
        <f t="shared" si="110"/>
        <v>0</v>
      </c>
      <c r="O122" s="34">
        <f t="shared" si="110"/>
        <v>0</v>
      </c>
      <c r="P122" s="178">
        <f t="shared" si="110"/>
        <v>0</v>
      </c>
      <c r="Q122" s="178">
        <f t="shared" si="110"/>
        <v>0</v>
      </c>
      <c r="R122" s="178">
        <f t="shared" si="110"/>
        <v>0</v>
      </c>
      <c r="S122" s="178">
        <f t="shared" si="110"/>
        <v>0</v>
      </c>
      <c r="T122" s="178">
        <f t="shared" si="110"/>
        <v>0</v>
      </c>
      <c r="U122" s="34">
        <f t="shared" si="110"/>
        <v>0</v>
      </c>
      <c r="V122" s="178">
        <f t="shared" si="110"/>
        <v>0</v>
      </c>
      <c r="W122" s="175"/>
      <c r="X122" s="171"/>
      <c r="Y122" s="152"/>
      <c r="Z122" s="176"/>
      <c r="AA122" s="177"/>
      <c r="AB122" s="178">
        <f ref="AB122:AK122" t="shared" si="111">SUM(AB118:AB120)</f>
        <v>0</v>
      </c>
      <c r="AC122" s="178">
        <f t="shared" si="111"/>
        <v>0</v>
      </c>
      <c r="AD122" s="178">
        <f t="shared" si="111"/>
        <v>0</v>
      </c>
      <c r="AE122" s="178">
        <f t="shared" si="111"/>
        <v>0</v>
      </c>
      <c r="AF122" s="178">
        <f t="shared" si="111"/>
        <v>0</v>
      </c>
      <c r="AG122" s="178">
        <f t="shared" si="111"/>
        <v>0</v>
      </c>
      <c r="AH122" s="178">
        <f t="shared" si="111"/>
        <v>0</v>
      </c>
      <c r="AI122" s="178">
        <f t="shared" si="111"/>
        <v>0</v>
      </c>
      <c r="AJ122" s="178">
        <f t="shared" si="111"/>
        <v>0</v>
      </c>
      <c r="AK122" s="34">
        <f t="shared" si="111"/>
        <v>0</v>
      </c>
      <c r="AL122" s="34">
        <f ref="AL122:AQ122" t="shared" si="112">SUM(AL118:AL120)</f>
        <v>0</v>
      </c>
      <c r="AM122" s="34">
        <f t="shared" si="112"/>
        <v>0</v>
      </c>
      <c r="AN122" s="34">
        <f t="shared" si="112"/>
        <v>0</v>
      </c>
      <c r="AO122" s="34">
        <f t="shared" si="112"/>
        <v>0</v>
      </c>
      <c r="AP122" s="34">
        <f t="shared" si="112"/>
        <v>0</v>
      </c>
      <c r="AQ122" s="34">
        <f t="shared" si="112"/>
        <v>0</v>
      </c>
      <c r="AR122" s="34"/>
      <c r="AS122" s="178">
        <f>SUM(AS118:AS120)</f>
        <v>0</v>
      </c>
      <c r="AT122" s="155"/>
      <c r="AU122" s="156"/>
      <c r="AV122" s="157"/>
      <c r="AW122" s="158">
        <f>SUM(AW118:AW121)</f>
        <v>0</v>
      </c>
      <c r="AX122" s="153"/>
      <c r="AY122" s="152"/>
      <c r="AZ122" s="152"/>
      <c r="BA122" s="155"/>
      <c r="BB122" s="155"/>
    </row>
    <row r="123" ht="21" s="48" customFormat="1">
      <c r="A123" s="54"/>
      <c r="B123" s="50"/>
      <c r="C123" s="89" t="s">
        <v>292</v>
      </c>
      <c r="D123" s="68"/>
      <c r="E123" s="68"/>
      <c r="F123" s="108"/>
      <c r="G123" s="108"/>
      <c r="H123" s="67"/>
      <c r="I123" s="67"/>
      <c r="J123" s="67"/>
      <c r="K123" s="67"/>
      <c r="L123" s="67"/>
      <c r="M123" s="67"/>
      <c r="N123" s="37"/>
      <c r="O123" s="65"/>
      <c r="P123" s="66"/>
      <c r="Q123" s="66"/>
      <c r="R123" s="66"/>
      <c r="S123" s="65"/>
      <c r="T123" s="65"/>
      <c r="U123" s="38"/>
      <c r="V123" s="38"/>
      <c r="W123" s="38"/>
      <c r="X123" s="39"/>
      <c r="Y123" s="68"/>
      <c r="Z123" s="89" t="s">
        <v>292</v>
      </c>
      <c r="AA123" s="35"/>
      <c r="AB123" s="34"/>
      <c r="AC123" s="34"/>
      <c r="AD123" s="63"/>
      <c r="AE123" s="63"/>
      <c r="AF123" s="34"/>
      <c r="AG123" s="34"/>
      <c r="AH123" s="34"/>
      <c r="AI123" s="34"/>
      <c r="AJ123" s="33"/>
      <c r="AK123" s="33"/>
      <c r="AL123" s="33"/>
      <c r="AM123" s="33"/>
      <c r="AN123" s="62"/>
      <c r="AO123" s="62"/>
      <c r="AP123" s="62"/>
      <c r="AQ123" s="33"/>
      <c r="AR123" s="33"/>
      <c r="AS123" s="33"/>
      <c r="AT123" s="59"/>
      <c r="AU123" s="32"/>
      <c r="AV123" s="61"/>
      <c r="AW123" s="60"/>
      <c r="AX123" s="64"/>
      <c r="AY123" s="109"/>
      <c r="AZ123" s="109"/>
      <c r="BA123" s="72"/>
      <c r="BB123" s="110"/>
    </row>
    <row r="124" ht="19.5" customHeight="1" s="2" customFormat="1">
      <c r="A124" s="3">
        <v>1</v>
      </c>
      <c r="B124" s="3"/>
      <c r="C124" s="4" t="s">
        <v>78</v>
      </c>
      <c r="D124" s="3" t="s">
        <v>79</v>
      </c>
      <c r="E124" s="3" t="s">
        <v>17</v>
      </c>
      <c r="F124" s="3"/>
      <c r="G124" s="3"/>
      <c r="H124" s="5" t="s">
        <v>293</v>
      </c>
      <c r="I124" s="5">
        <v>0</v>
      </c>
      <c r="J124" s="5">
        <v>0</v>
      </c>
      <c r="K124" s="5">
        <v>0</v>
      </c>
      <c r="L124" s="5"/>
      <c r="M124" s="257">
        <v>4146126</v>
      </c>
      <c r="N124" s="37">
        <f>+F124*100000</f>
        <v>0</v>
      </c>
      <c r="O124" s="65">
        <f>+G124*165845</f>
        <v>0</v>
      </c>
      <c r="P124" s="6">
        <f>4498962*1.57%</f>
        <v>70633.70340000001</v>
      </c>
      <c r="Q124" s="6">
        <f>4498962*4%</f>
        <v>179958.48</v>
      </c>
      <c r="R124" s="6"/>
      <c r="S124" s="7">
        <f>SUM(P124:R124)</f>
        <v>250592.18340000004</v>
      </c>
      <c r="T124" s="7">
        <v>345511</v>
      </c>
      <c r="U124" s="257">
        <v>30000</v>
      </c>
      <c r="V124" s="53">
        <f>+M124+N124+O124+U124</f>
        <v>4176126</v>
      </c>
      <c r="W124" s="5"/>
      <c r="X124" s="3"/>
      <c r="Y124" s="3">
        <v>4</v>
      </c>
      <c r="Z124" s="8" t="s">
        <v>78</v>
      </c>
      <c r="AA124" s="184" t="s">
        <v>215</v>
      </c>
      <c r="AB124" s="9">
        <f>+O124+N124+M124+U124</f>
        <v>4176126</v>
      </c>
      <c r="AC124" s="74">
        <f>1802000*2%</f>
        <v>36040</v>
      </c>
      <c r="AD124" s="74"/>
      <c r="AE124" s="74">
        <f>1802000*1%</f>
        <v>18020</v>
      </c>
      <c r="AF124" s="9">
        <f>+AB124-AC124-AD124-AE124</f>
        <v>4122066</v>
      </c>
      <c r="AG124" s="9">
        <v>4500000</v>
      </c>
      <c r="AH124" s="9">
        <f>+AF124-AG124</f>
        <v>-377934</v>
      </c>
      <c r="AI124" s="9">
        <f>+IF(AH124&gt;1,AH124,0)</f>
        <v>0</v>
      </c>
      <c r="AJ124" s="10">
        <f>+AB124-AC124-AD124-AE124-AI124</f>
        <v>4122066</v>
      </c>
      <c r="AK124" s="145"/>
      <c r="AL124" s="145"/>
      <c r="AM124" s="145"/>
      <c r="AN124" s="145"/>
      <c r="AO124" s="145"/>
      <c r="AP124" s="62"/>
      <c r="AQ124" s="145"/>
      <c r="AR124" s="145"/>
      <c r="AS124" s="145">
        <f>+AJ124-AK124-AL124-AM124-AP124-AO124-AN124</f>
        <v>4122066</v>
      </c>
      <c r="AT124" s="11"/>
      <c r="AU124" s="12">
        <v>1</v>
      </c>
      <c r="AV124" s="13" t="str">
        <f>+C124</f>
        <v>IKLIMASARI</v>
      </c>
      <c r="AW124" s="206">
        <f>+AS124</f>
        <v>4122066</v>
      </c>
      <c r="AX124" s="18"/>
      <c r="AY124" s="3"/>
      <c r="AZ124" s="3"/>
      <c r="BA124" s="72">
        <f>+VLOOKUP(C124,'tanda terima  (2)'!$C$4:$G$106,5,0)</f>
        <v>4122066</v>
      </c>
      <c r="BB124" s="72"/>
    </row>
    <row r="125" s="51" customFormat="1">
      <c r="A125" s="80">
        <f>+A124+1</f>
        <v>2</v>
      </c>
      <c r="B125" s="54"/>
      <c r="C125" s="17" t="s">
        <v>126</v>
      </c>
      <c r="D125" s="3" t="s">
        <v>79</v>
      </c>
      <c r="E125" s="54" t="s">
        <v>17</v>
      </c>
      <c r="F125" s="54"/>
      <c r="G125" s="54"/>
      <c r="H125" s="139" t="s">
        <v>293</v>
      </c>
      <c r="I125" s="126"/>
      <c r="J125" s="126"/>
      <c r="K125" s="126"/>
      <c r="L125" s="53">
        <f>SUM(I125:K125)</f>
        <v>0</v>
      </c>
      <c r="M125" s="67">
        <v>4791844</v>
      </c>
      <c r="N125" s="37">
        <f>+F125*100000</f>
        <v>0</v>
      </c>
      <c r="O125" s="65">
        <f>+G125*179958</f>
        <v>0</v>
      </c>
      <c r="P125" s="78">
        <f>0.0489*4791844</f>
        <v>234321.1716</v>
      </c>
      <c r="Q125" s="78">
        <f>0.04*4791844</f>
        <v>191673.76</v>
      </c>
      <c r="R125" s="78">
        <f>4791844*2%</f>
        <v>95836.88</v>
      </c>
      <c r="S125" s="77">
        <f>SUM(P125:R125)</f>
        <v>521831.8116</v>
      </c>
      <c r="T125" s="77">
        <v>374913.5</v>
      </c>
      <c r="U125" s="67"/>
      <c r="V125" s="53">
        <f>+M125+N125+O125+U125</f>
        <v>4791844</v>
      </c>
      <c r="W125" s="53"/>
      <c r="X125" s="54"/>
      <c r="Y125" s="80">
        <f>+A125</f>
        <v>2</v>
      </c>
      <c r="Z125" s="76" t="str">
        <f>+C125</f>
        <v>SRI ANDINI</v>
      </c>
      <c r="AA125" s="75" t="s">
        <v>218</v>
      </c>
      <c r="AB125" s="74">
        <f>+M125+N125+O125+U125</f>
        <v>4791844</v>
      </c>
      <c r="AC125" s="74">
        <f>4791844*2%</f>
        <v>95836.88</v>
      </c>
      <c r="AD125" s="74">
        <f>4791844*1%</f>
        <v>47918.44</v>
      </c>
      <c r="AE125" s="74">
        <f>4791844*1%</f>
        <v>47918.44</v>
      </c>
      <c r="AF125" s="74">
        <f>+AB125-AC125-AD125-AE125</f>
        <v>4600170.239999999</v>
      </c>
      <c r="AG125" s="74">
        <f>VLOOKUP(AA125,$AC$1:$AD$5,2,0)</f>
        <v>5625000</v>
      </c>
      <c r="AH125" s="74">
        <f>+AF125-AG125</f>
        <v>-1024829.7600000007</v>
      </c>
      <c r="AI125" s="74">
        <f>+IF(AH125&gt;0,AH125*5%,0)</f>
        <v>0</v>
      </c>
      <c r="AJ125" s="73">
        <f>+AB125-AC125-AD125-AE125-AI125</f>
        <v>4600170.239999999</v>
      </c>
      <c r="AK125" s="62"/>
      <c r="AL125" s="62"/>
      <c r="AM125" s="62"/>
      <c r="AN125" s="62"/>
      <c r="AO125" s="62"/>
      <c r="AP125" s="62"/>
      <c r="AQ125" s="62"/>
      <c r="AR125" s="62"/>
      <c r="AS125" s="62">
        <f>+AJ125-AK125-AL125-AM125-AP125-AO125-AN125-AQ125</f>
        <v>4600170.239999999</v>
      </c>
      <c r="AT125" s="72"/>
      <c r="AU125" s="71">
        <v>2</v>
      </c>
      <c r="AV125" s="52" t="str">
        <f>+C125</f>
        <v>SRI ANDINI</v>
      </c>
      <c r="AW125" s="60">
        <f>+AS125</f>
        <v>4600170.239999999</v>
      </c>
      <c r="AX125" s="69"/>
      <c r="AY125" s="54"/>
      <c r="AZ125" s="54"/>
      <c r="BA125" s="72">
        <f>+VLOOKUP(C125,'tanda terima  (2)'!$C$4:$G$106,5,0)</f>
        <v>4600170.239999999</v>
      </c>
      <c r="BB125" s="72"/>
    </row>
    <row r="126" s="51" customFormat="1">
      <c r="A126" s="80"/>
      <c r="B126" s="54"/>
      <c r="C126" s="26"/>
      <c r="D126" s="3"/>
      <c r="E126" s="54"/>
      <c r="F126" s="54"/>
      <c r="G126" s="54"/>
      <c r="H126" s="139"/>
      <c r="I126" s="126"/>
      <c r="J126" s="126"/>
      <c r="K126" s="126"/>
      <c r="L126" s="53"/>
      <c r="M126" s="67"/>
      <c r="N126" s="37"/>
      <c r="O126" s="65"/>
      <c r="P126" s="78"/>
      <c r="Q126" s="78"/>
      <c r="R126" s="78"/>
      <c r="S126" s="77"/>
      <c r="T126" s="77"/>
      <c r="U126" s="38"/>
      <c r="V126" s="46"/>
      <c r="W126" s="46"/>
      <c r="X126" s="47"/>
      <c r="Y126" s="80"/>
      <c r="Z126" s="45"/>
      <c r="AA126" s="44"/>
      <c r="AB126" s="43"/>
      <c r="AC126" s="43"/>
      <c r="AD126" s="74"/>
      <c r="AE126" s="74"/>
      <c r="AF126" s="43"/>
      <c r="AG126" s="43"/>
      <c r="AH126" s="43"/>
      <c r="AI126" s="43"/>
      <c r="AJ126" s="57"/>
      <c r="AK126" s="33"/>
      <c r="AL126" s="33"/>
      <c r="AM126" s="33"/>
      <c r="AN126" s="62"/>
      <c r="AO126" s="62"/>
      <c r="AP126" s="62"/>
      <c r="AQ126" s="33"/>
      <c r="AR126" s="33"/>
      <c r="AS126" s="33"/>
      <c r="AT126" s="72"/>
      <c r="AU126" s="71"/>
      <c r="AV126" s="52"/>
      <c r="AW126" s="60"/>
      <c r="AX126" s="69"/>
      <c r="AY126" s="54"/>
      <c r="AZ126" s="54"/>
      <c r="BA126" s="72"/>
      <c r="BB126" s="72"/>
    </row>
    <row r="127" s="48" customFormat="1">
      <c r="A127" s="54"/>
      <c r="B127" s="50"/>
      <c r="C127" s="1"/>
      <c r="D127" s="80"/>
      <c r="E127" s="80"/>
      <c r="F127" s="49"/>
      <c r="G127" s="49"/>
      <c r="H127" s="79"/>
      <c r="I127" s="53"/>
      <c r="J127" s="53"/>
      <c r="K127" s="53"/>
      <c r="L127" s="53"/>
      <c r="M127" s="67"/>
      <c r="N127" s="37"/>
      <c r="O127" s="65"/>
      <c r="P127" s="78"/>
      <c r="Q127" s="78"/>
      <c r="R127" s="78"/>
      <c r="S127" s="77"/>
      <c r="T127" s="77"/>
      <c r="U127" s="38"/>
      <c r="V127" s="46"/>
      <c r="W127" s="46"/>
      <c r="X127" s="47"/>
      <c r="Y127" s="54"/>
      <c r="Z127" s="45"/>
      <c r="AA127" s="44"/>
      <c r="AB127" s="43"/>
      <c r="AC127" s="43"/>
      <c r="AD127" s="74"/>
      <c r="AE127" s="74"/>
      <c r="AF127" s="43"/>
      <c r="AG127" s="43"/>
      <c r="AH127" s="43"/>
      <c r="AI127" s="43"/>
      <c r="AJ127" s="57"/>
      <c r="AK127" s="33"/>
      <c r="AL127" s="33"/>
      <c r="AM127" s="33"/>
      <c r="AN127" s="62"/>
      <c r="AO127" s="62"/>
      <c r="AP127" s="62"/>
      <c r="AQ127" s="33"/>
      <c r="AR127" s="33"/>
      <c r="AS127" s="33"/>
      <c r="AT127" s="72"/>
      <c r="AU127" s="32"/>
      <c r="AV127" s="52"/>
      <c r="AW127" s="60"/>
      <c r="AX127" s="69"/>
      <c r="AY127" s="50"/>
      <c r="AZ127" s="50"/>
      <c r="BA127" s="72"/>
    </row>
    <row r="128" ht="27.75" customHeight="1" s="183" customFormat="1">
      <c r="A128" s="295"/>
      <c r="B128" s="310"/>
      <c r="C128" s="310"/>
      <c r="D128" s="310"/>
      <c r="E128" s="310"/>
      <c r="F128" s="311"/>
      <c r="G128" s="311"/>
      <c r="H128" s="311"/>
      <c r="I128" s="311"/>
      <c r="J128" s="311"/>
      <c r="K128" s="311"/>
      <c r="L128" s="311"/>
      <c r="M128" s="311">
        <f ref="M128:X128" t="shared" si="113">SUM(M32,M122,M124+M125)</f>
        <v>90113970</v>
      </c>
      <c r="N128" s="311">
        <f t="shared" si="113"/>
        <v>0</v>
      </c>
      <c r="O128" s="311">
        <f t="shared" si="113"/>
        <v>0</v>
      </c>
      <c r="P128" s="311">
        <f t="shared" si="113"/>
        <v>4484938.611</v>
      </c>
      <c r="Q128" s="311">
        <f t="shared" si="113"/>
        <v>3790843.3600000003</v>
      </c>
      <c r="R128" s="311">
        <f t="shared" si="113"/>
        <v>1805442.44</v>
      </c>
      <c r="S128" s="311">
        <f t="shared" si="113"/>
        <v>10081224.410999998</v>
      </c>
      <c r="T128" s="311">
        <f t="shared" si="113"/>
        <v>7843781</v>
      </c>
      <c r="U128" s="311">
        <f t="shared" si="113"/>
        <v>409958</v>
      </c>
      <c r="V128" s="311">
        <f t="shared" si="113"/>
        <v>90523928</v>
      </c>
      <c r="W128" s="311">
        <f t="shared" si="113"/>
        <v>0</v>
      </c>
      <c r="X128" s="311">
        <f t="shared" si="113"/>
        <v>0</v>
      </c>
      <c r="Y128" s="312"/>
      <c r="Z128" s="312">
        <f>SUM(Z12:Z127)</f>
        <v>0</v>
      </c>
      <c r="AA128" s="312">
        <f>SUM(AA12:AA127)</f>
        <v>0</v>
      </c>
      <c r="AB128" s="311">
        <f ref="AB128:AJ128" t="shared" si="114">SUM(AB32,AB122,AB124+AB125)</f>
        <v>90523928</v>
      </c>
      <c r="AC128" s="311">
        <f t="shared" si="114"/>
        <v>1841482.44</v>
      </c>
      <c r="AD128" s="311">
        <f t="shared" si="114"/>
        <v>902721.22</v>
      </c>
      <c r="AE128" s="311">
        <f t="shared" si="114"/>
        <v>920741.22</v>
      </c>
      <c r="AF128" s="311">
        <f t="shared" si="114"/>
        <v>84458983.11999995</v>
      </c>
      <c r="AG128" s="311">
        <f t="shared" si="114"/>
        <v>104250000</v>
      </c>
      <c r="AH128" s="311">
        <f t="shared" si="114"/>
        <v>-19791016.88000001</v>
      </c>
      <c r="AI128" s="311">
        <f t="shared" si="114"/>
        <v>0</v>
      </c>
      <c r="AJ128" s="311">
        <f t="shared" si="114"/>
        <v>86858983.11999995</v>
      </c>
      <c r="AK128" s="311">
        <f ref="AK128:AQ128" t="shared" si="115">SUM(AK32,AK122,AK124+AK125+AK116)</f>
        <v>510000</v>
      </c>
      <c r="AL128" s="311">
        <f t="shared" si="115"/>
        <v>0</v>
      </c>
      <c r="AM128" s="311">
        <f t="shared" si="115"/>
        <v>5000000</v>
      </c>
      <c r="AN128" s="311">
        <f t="shared" si="115"/>
        <v>1075000</v>
      </c>
      <c r="AO128" s="311">
        <f t="shared" si="115"/>
        <v>250000</v>
      </c>
      <c r="AP128" s="311">
        <f t="shared" si="115"/>
        <v>528000</v>
      </c>
      <c r="AQ128" s="311">
        <f t="shared" si="115"/>
        <v>450000</v>
      </c>
      <c r="AR128" s="311"/>
      <c r="AS128" s="311">
        <f>SUM(AS32,AS122,AS124,AS125,AS116)</f>
        <v>400414397.9200002</v>
      </c>
      <c r="AT128" s="312"/>
      <c r="AU128" s="312"/>
      <c r="AV128" s="312">
        <f>SUM(AV12:AV127)</f>
        <v>0</v>
      </c>
      <c r="AW128" s="311">
        <f>SUM(AW32,AW122,AW124,AW125,AW116)</f>
        <v>400414397.9200002</v>
      </c>
      <c r="AX128" s="313"/>
      <c r="AY128" s="310"/>
      <c r="AZ128" s="310"/>
      <c r="BA128" s="155"/>
    </row>
    <row r="129">
      <c r="C129" s="134"/>
      <c r="M129" s="256"/>
      <c r="N129" s="256"/>
      <c r="O129" s="256"/>
      <c r="P129" s="101"/>
      <c r="Q129" s="101"/>
      <c r="R129" s="101"/>
      <c r="S129" s="101"/>
      <c r="T129" s="101"/>
      <c r="U129" s="256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269"/>
      <c r="AL129" s="269"/>
      <c r="AM129" s="269"/>
      <c r="AN129" s="269"/>
      <c r="AO129" s="269"/>
      <c r="AP129" s="269"/>
      <c r="AQ129" s="269"/>
      <c r="AR129" s="272"/>
      <c r="AS129" s="124"/>
      <c r="AT129" s="101"/>
      <c r="AU129" s="101"/>
      <c r="AV129" s="101"/>
      <c r="AW129" s="101"/>
      <c r="AX129" s="30"/>
      <c r="BA129" s="72"/>
    </row>
    <row r="130">
      <c r="C130" s="110"/>
      <c r="H130" s="132"/>
      <c r="L130" s="147" t="s">
        <v>264</v>
      </c>
      <c r="M130" s="146">
        <f>SUM(M11:M27)</f>
        <v>70176000</v>
      </c>
      <c r="N130" s="146">
        <f>SUM(N11:N27)</f>
        <v>0</v>
      </c>
      <c r="O130" s="146">
        <f>SUM(O11:O27)</f>
        <v>0</v>
      </c>
      <c r="P130" s="31">
        <f>SUM(P11:P31)</f>
        <v>4179983.735999999</v>
      </c>
      <c r="Q130" s="31">
        <f>SUM(Q11:Q31)</f>
        <v>3419211.12</v>
      </c>
      <c r="R130" s="31">
        <f>SUM(R11:R31)</f>
        <v>1709605.56</v>
      </c>
      <c r="S130" s="31">
        <f>SUM(S11:S29)</f>
        <v>9308800.416</v>
      </c>
      <c r="T130" s="31">
        <f>SUM(T11:T27)</f>
        <v>6373529.5</v>
      </c>
      <c r="U130" s="146">
        <f>SUM(U11:U27)</f>
        <v>379958</v>
      </c>
      <c r="V130" s="31">
        <f>SUM(V11:V27)</f>
        <v>70555958</v>
      </c>
      <c r="W130" s="31">
        <f>SUM(M130:R130,T130)</f>
        <v>85858329.91600001</v>
      </c>
      <c r="Z130" s="31">
        <f>+AB116+T116+S116+AC116+AD116+AE116</f>
        <v>423775841.32799995</v>
      </c>
      <c r="AB130" s="135" t="s">
        <v>264</v>
      </c>
      <c r="AC130" s="31">
        <f>SUM(AC11:AC31)</f>
        <v>1709605.56</v>
      </c>
      <c r="AD130" s="31">
        <f>SUM(AD11:AD31)</f>
        <v>854802.78</v>
      </c>
      <c r="AE130" s="31">
        <f>SUM(AE11:AE31)</f>
        <v>854802.78</v>
      </c>
      <c r="AF130" s="137">
        <f>SUM(AC130:AE130)</f>
        <v>3419211.12</v>
      </c>
      <c r="AG130" s="31"/>
      <c r="AH130" s="31"/>
      <c r="AI130" s="31"/>
      <c r="AJ130" s="31"/>
      <c r="AK130" s="146"/>
      <c r="AL130" s="146"/>
      <c r="AM130" s="146"/>
      <c r="AN130" s="146"/>
      <c r="AO130" s="146"/>
      <c r="AP130" s="146"/>
      <c r="AQ130" s="146"/>
      <c r="AR130" s="146"/>
      <c r="AS130" s="146"/>
      <c r="AW130" s="124"/>
      <c r="BA130" s="72"/>
    </row>
    <row r="131">
      <c r="C131" s="131"/>
      <c r="H131" s="132"/>
      <c r="L131" s="147" t="s">
        <v>270</v>
      </c>
      <c r="M131" s="146">
        <f>+M116</f>
        <v>336522357.6</v>
      </c>
      <c r="N131" s="146">
        <f>SUM(N34:N93)</f>
        <v>0</v>
      </c>
      <c r="O131" s="146">
        <f ref="O131:T131" t="shared" si="116">+O116</f>
        <v>0</v>
      </c>
      <c r="P131" s="31">
        <f t="shared" si="116"/>
        <v>18745693.72799996</v>
      </c>
      <c r="Q131" s="31">
        <f t="shared" si="116"/>
        <v>15333900.799999986</v>
      </c>
      <c r="R131" s="31">
        <f t="shared" si="116"/>
        <v>7666950.399999993</v>
      </c>
      <c r="S131" s="31">
        <f t="shared" si="116"/>
        <v>41746544.92799998</v>
      </c>
      <c r="T131" s="31">
        <f t="shared" si="116"/>
        <v>29993080</v>
      </c>
      <c r="U131" s="146">
        <f>SUM(U34:U93)</f>
        <v>179958</v>
      </c>
      <c r="V131" s="31">
        <f>SUM(V34:V93)</f>
        <v>267958176.24</v>
      </c>
      <c r="W131" s="31">
        <f>SUM(W34:W93)</f>
        <v>0</v>
      </c>
      <c r="X131" s="31"/>
      <c r="Y131" s="31"/>
      <c r="Z131" s="31"/>
      <c r="AA131" s="31"/>
      <c r="AB131" s="135" t="s">
        <v>270</v>
      </c>
      <c r="AC131" s="31">
        <f>+AC116</f>
        <v>7666950.399999993</v>
      </c>
      <c r="AD131" s="31">
        <f>+AD116</f>
        <v>3833475.1999999965</v>
      </c>
      <c r="AE131" s="31">
        <f>+AE116</f>
        <v>3833475.1999999965</v>
      </c>
      <c r="AF131" s="137">
        <f>SUM(AC131:AE131)</f>
        <v>15333900.799999986</v>
      </c>
      <c r="AG131" s="31"/>
      <c r="AH131" s="31"/>
      <c r="AI131" s="31"/>
      <c r="AJ131" s="31">
        <f>+AJ116+AE116+AD116+AC116+T116+S116</f>
        <v>408441940.5280002</v>
      </c>
      <c r="AK131" s="146">
        <f>+AJ131+AN116</f>
        <v>409016940.5280002</v>
      </c>
      <c r="AL131" s="146"/>
      <c r="AM131" s="146"/>
      <c r="AN131" s="146"/>
      <c r="AO131" s="146"/>
      <c r="AP131" s="146"/>
      <c r="AQ131" s="146"/>
      <c r="AR131" s="146"/>
      <c r="AS131" s="146"/>
      <c r="AT131" s="31"/>
      <c r="AU131" s="31"/>
      <c r="AV131" s="31"/>
      <c r="AW131" s="31"/>
      <c r="AX131" s="30"/>
      <c r="BA131" s="72"/>
    </row>
    <row r="132">
      <c r="C132" s="131"/>
      <c r="L132" s="147" t="s">
        <v>294</v>
      </c>
      <c r="M132" s="146">
        <f>SUM(M124)</f>
        <v>4146126</v>
      </c>
      <c r="N132" s="146">
        <f ref="N132:U132" t="shared" si="117">SUM(N124)</f>
        <v>0</v>
      </c>
      <c r="O132" s="146">
        <f t="shared" si="117"/>
        <v>0</v>
      </c>
      <c r="P132" s="31">
        <f t="shared" si="117"/>
        <v>70633.70340000001</v>
      </c>
      <c r="Q132" s="31">
        <f t="shared" si="117"/>
        <v>179958.48</v>
      </c>
      <c r="R132" s="31">
        <f t="shared" si="117"/>
        <v>0</v>
      </c>
      <c r="S132" s="31">
        <f t="shared" si="117"/>
        <v>250592.18340000004</v>
      </c>
      <c r="T132" s="31">
        <f t="shared" si="117"/>
        <v>345511</v>
      </c>
      <c r="U132" s="146">
        <f t="shared" si="117"/>
        <v>30000</v>
      </c>
      <c r="V132" s="31">
        <f>SUM(V124)</f>
        <v>4176126</v>
      </c>
      <c r="W132" s="31">
        <f>SUM(M132:R132,T132)</f>
        <v>4742229.1834</v>
      </c>
      <c r="X132" s="31">
        <f>+W132+RINCIAN!E8+RINCIAN!G8</f>
        <v>5133462.883400001</v>
      </c>
      <c r="Y132" s="31"/>
      <c r="Z132" s="31"/>
      <c r="AA132" s="31"/>
      <c r="AB132" s="135" t="s">
        <v>294</v>
      </c>
      <c r="AC132" s="31">
        <f ref="AC132:AE133" t="shared" si="118">SUM(AC124:AC124)</f>
        <v>36040</v>
      </c>
      <c r="AD132" s="31">
        <f t="shared" si="118"/>
        <v>0</v>
      </c>
      <c r="AE132" s="31">
        <f t="shared" si="118"/>
        <v>18020</v>
      </c>
      <c r="AF132" s="137">
        <f>SUM(AC132:AE132)</f>
        <v>54060</v>
      </c>
      <c r="AG132" s="31"/>
      <c r="AH132" s="31"/>
      <c r="AI132" s="31"/>
      <c r="AJ132" s="31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31"/>
      <c r="AU132" s="31"/>
      <c r="AV132" s="31"/>
      <c r="AW132" s="31"/>
      <c r="BA132" s="72"/>
    </row>
    <row r="133">
      <c r="C133" s="262"/>
      <c r="L133" s="243" t="s">
        <v>409</v>
      </c>
      <c r="M133" s="146">
        <f>SUM(M125)</f>
        <v>4791844</v>
      </c>
      <c r="N133" s="146">
        <f ref="N133:U133" t="shared" si="119">SUM(N125)</f>
        <v>0</v>
      </c>
      <c r="O133" s="146">
        <f t="shared" si="119"/>
        <v>0</v>
      </c>
      <c r="P133" s="31">
        <f t="shared" si="119"/>
        <v>234321.1716</v>
      </c>
      <c r="Q133" s="31">
        <f t="shared" si="119"/>
        <v>191673.76</v>
      </c>
      <c r="R133" s="31">
        <f t="shared" si="119"/>
        <v>95836.88</v>
      </c>
      <c r="S133" s="31">
        <f t="shared" si="119"/>
        <v>521831.8116</v>
      </c>
      <c r="T133" s="31">
        <f t="shared" si="119"/>
        <v>374913.5</v>
      </c>
      <c r="U133" s="146">
        <f t="shared" si="119"/>
        <v>0</v>
      </c>
      <c r="V133" s="31">
        <f>SUM(V125)</f>
        <v>4791844</v>
      </c>
      <c r="W133" s="31">
        <f>SUM(M133:R133,T133)</f>
        <v>5688589.3116</v>
      </c>
      <c r="X133" s="31">
        <f>+W133+RINCIAN!E9+RINCIAN!G9</f>
        <v>46379573.7116</v>
      </c>
      <c r="Y133" s="31"/>
      <c r="Z133" s="31"/>
      <c r="AA133" s="31"/>
      <c r="AB133" s="244" t="s">
        <v>409</v>
      </c>
      <c r="AC133" s="31">
        <f t="shared" si="118"/>
        <v>95836.88</v>
      </c>
      <c r="AD133" s="31">
        <f t="shared" si="118"/>
        <v>47918.44</v>
      </c>
      <c r="AE133" s="31">
        <f t="shared" si="118"/>
        <v>47918.44</v>
      </c>
      <c r="AF133" s="137">
        <f>SUM(AC133:AE133)</f>
        <v>191673.76</v>
      </c>
      <c r="AG133" s="31"/>
      <c r="AH133" s="31"/>
      <c r="AI133" s="31"/>
      <c r="AJ133" s="31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31"/>
      <c r="AU133" s="31"/>
      <c r="AV133" s="31"/>
      <c r="AW133" s="31"/>
      <c r="BA133" s="72"/>
    </row>
    <row r="134">
      <c r="C134" s="131"/>
      <c r="L134" s="245" t="s">
        <v>408</v>
      </c>
      <c r="M134" s="146">
        <f>SUM(M118:M120)</f>
        <v>0</v>
      </c>
      <c r="N134" s="146">
        <f ref="N134:W134" t="shared" si="120">SUM(N118:N120)</f>
        <v>0</v>
      </c>
      <c r="O134" s="146">
        <f t="shared" si="120"/>
        <v>0</v>
      </c>
      <c r="P134" s="31">
        <f t="shared" si="120"/>
        <v>0</v>
      </c>
      <c r="Q134" s="31">
        <f t="shared" si="120"/>
        <v>0</v>
      </c>
      <c r="R134" s="31">
        <f t="shared" si="120"/>
        <v>0</v>
      </c>
      <c r="S134" s="31">
        <f t="shared" si="120"/>
        <v>0</v>
      </c>
      <c r="T134" s="31">
        <f t="shared" si="120"/>
        <v>0</v>
      </c>
      <c r="U134" s="146">
        <f t="shared" si="120"/>
        <v>0</v>
      </c>
      <c r="V134" s="31">
        <f t="shared" si="120"/>
        <v>0</v>
      </c>
      <c r="W134" s="31">
        <f t="shared" si="120"/>
        <v>0</v>
      </c>
      <c r="X134" s="31"/>
      <c r="Y134" s="31"/>
      <c r="Z134" s="31"/>
      <c r="AA134" s="31"/>
      <c r="AB134" s="31"/>
      <c r="AC134" s="31">
        <f>SUM(AC130:AC133)</f>
        <v>9508432.839999994</v>
      </c>
      <c r="AD134" s="31">
        <f>SUM(AD130:AD133)</f>
        <v>4736196.419999997</v>
      </c>
      <c r="AE134" s="31">
        <f>SUM(AE130:AE133)</f>
        <v>4754216.419999997</v>
      </c>
      <c r="AF134" s="31">
        <f>SUM(AF130:AF133)</f>
        <v>18998845.67999999</v>
      </c>
      <c r="AG134" s="31"/>
      <c r="AH134" s="31"/>
      <c r="AI134" s="31"/>
      <c r="AJ134" s="31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31"/>
      <c r="AU134" s="31"/>
      <c r="AV134" s="31"/>
      <c r="AW134" s="31"/>
      <c r="AX134" s="103"/>
      <c r="BA134" s="72"/>
    </row>
    <row r="135">
      <c r="C135" s="131"/>
      <c r="L135" s="243"/>
      <c r="M135" s="146"/>
      <c r="N135" s="146"/>
      <c r="O135" s="146"/>
      <c r="P135" s="31"/>
      <c r="Q135" s="31"/>
      <c r="R135" s="31"/>
      <c r="S135" s="31"/>
      <c r="T135" s="31"/>
      <c r="U135" s="146"/>
      <c r="V135" s="31"/>
      <c r="W135" s="31"/>
      <c r="X135" s="3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269"/>
      <c r="AL135" s="269"/>
      <c r="AM135" s="269"/>
      <c r="AN135" s="269"/>
      <c r="AO135" s="269"/>
      <c r="AP135" s="269"/>
      <c r="AQ135" s="269"/>
      <c r="AR135" s="272"/>
      <c r="AS135" s="124"/>
      <c r="AT135" s="101"/>
      <c r="AU135" s="101"/>
      <c r="AV135" s="101"/>
      <c r="AW135" s="101"/>
      <c r="AX135" s="103"/>
      <c r="BA135" s="72"/>
    </row>
    <row r="136">
      <c r="C136" s="146"/>
      <c r="M136" s="146">
        <f>SUM(M130:M133)</f>
        <v>415636327.6</v>
      </c>
      <c r="N136" s="146">
        <f ref="N136:W136" t="shared" si="121">SUM(N130:N133)</f>
        <v>0</v>
      </c>
      <c r="O136" s="146">
        <f t="shared" si="121"/>
        <v>0</v>
      </c>
      <c r="P136" s="31">
        <f t="shared" si="121"/>
        <v>23230632.338999957</v>
      </c>
      <c r="Q136" s="31">
        <f t="shared" si="121"/>
        <v>19124744.15999999</v>
      </c>
      <c r="R136" s="31">
        <f t="shared" si="121"/>
        <v>9472392.839999994</v>
      </c>
      <c r="S136" s="31">
        <f t="shared" si="121"/>
        <v>51827769.33899998</v>
      </c>
      <c r="T136" s="31">
        <f t="shared" si="121"/>
        <v>37087034</v>
      </c>
      <c r="U136" s="146">
        <f t="shared" si="121"/>
        <v>589916</v>
      </c>
      <c r="V136" s="31">
        <f t="shared" si="121"/>
        <v>347482104.24</v>
      </c>
      <c r="W136" s="31">
        <f t="shared" si="121"/>
        <v>96289148.41100001</v>
      </c>
      <c r="X136" s="31"/>
      <c r="AG136" s="31"/>
      <c r="AX136" s="103"/>
      <c r="BA136" s="72"/>
    </row>
    <row r="137">
      <c r="C137" s="127"/>
      <c r="M137" s="256"/>
      <c r="N137" s="256"/>
      <c r="O137" s="256"/>
      <c r="P137" s="101"/>
      <c r="Q137" s="101"/>
      <c r="R137" s="138"/>
      <c r="S137" s="101">
        <f>S131+AF131</f>
        <v>57080445.72799997</v>
      </c>
      <c r="T137" s="101"/>
      <c r="U137" s="256"/>
      <c r="V137" s="31"/>
      <c r="W137" s="101"/>
      <c r="X137" s="101"/>
      <c r="AS137" s="31"/>
      <c r="AX137" s="103"/>
    </row>
    <row r="138">
      <c r="C138" s="146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146"/>
      <c r="AL138" s="146"/>
      <c r="AM138" s="146"/>
      <c r="AN138" s="146"/>
      <c r="AO138" s="146"/>
      <c r="AP138" s="146"/>
      <c r="AQ138" s="146"/>
      <c r="AR138" s="146"/>
      <c r="AS138" s="31"/>
      <c r="AT138" s="31"/>
      <c r="AU138" s="31"/>
      <c r="AV138" s="31"/>
      <c r="AW138" s="31"/>
      <c r="AX138" s="103"/>
    </row>
    <row r="139">
      <c r="C139" s="123"/>
      <c r="O139" s="258" t="s">
        <v>410</v>
      </c>
      <c r="P139" s="31">
        <f>+P136+R136</f>
        <v>32703025.178999953</v>
      </c>
      <c r="Q139" s="31">
        <f>SUM(AC134,AE134)</f>
        <v>14262649.25999999</v>
      </c>
      <c r="S139" s="31"/>
      <c r="T139" s="31"/>
      <c r="U139" s="146"/>
      <c r="AB139" s="31"/>
      <c r="AD139" s="31"/>
      <c r="AX139" s="103"/>
    </row>
    <row r="140">
      <c r="C140" s="123"/>
      <c r="M140" s="146"/>
      <c r="N140" s="146"/>
      <c r="O140" s="259" t="s">
        <v>411</v>
      </c>
      <c r="P140" s="31">
        <f>SUM(Q136)</f>
        <v>19124744.15999999</v>
      </c>
      <c r="Q140" s="31">
        <f>SUM(AD134)</f>
        <v>4736196.419999997</v>
      </c>
      <c r="R140" s="31"/>
      <c r="S140" s="31"/>
      <c r="T140" s="31"/>
      <c r="U140" s="146"/>
      <c r="V140" s="31"/>
      <c r="W140" s="31"/>
      <c r="X140" s="31"/>
      <c r="AD140" s="31"/>
      <c r="AX140" s="103"/>
    </row>
    <row r="141">
      <c r="C141" s="123"/>
      <c r="P141" s="31">
        <f>SUM(P139:P140)</f>
        <v>51827769.33899994</v>
      </c>
      <c r="Q141" s="31">
        <f>SUM(Q139:Q140)</f>
        <v>18998845.67999999</v>
      </c>
      <c r="S141" s="31"/>
      <c r="T141" s="31"/>
      <c r="U141" s="146"/>
      <c r="AS141" s="31"/>
      <c r="AX141" s="103"/>
    </row>
    <row r="142">
      <c r="C142" s="123"/>
      <c r="P142" s="31">
        <f>SUM(P141:Q141)</f>
        <v>70826615.01899993</v>
      </c>
      <c r="AX142" s="103"/>
    </row>
    <row r="143">
      <c r="P143" s="31">
        <f>+S136+AF134</f>
        <v>70826615.01899996</v>
      </c>
      <c r="AX143" s="103"/>
    </row>
    <row r="144">
      <c r="T144" s="101"/>
      <c r="AX144" s="103"/>
    </row>
    <row r="145">
      <c r="O145" s="146"/>
      <c r="P145" s="31"/>
      <c r="T145" s="101"/>
      <c r="AH145" s="101"/>
      <c r="AX145" s="103"/>
    </row>
    <row r="146">
      <c r="C146" s="110"/>
      <c r="D146" s="131"/>
      <c r="E146" s="110"/>
      <c r="F146" s="110"/>
      <c r="G146" s="110"/>
      <c r="H146" s="110"/>
      <c r="I146" s="110"/>
      <c r="M146" s="146"/>
      <c r="P146" s="31"/>
      <c r="S146" s="101"/>
      <c r="T146" s="101"/>
      <c r="AX146" s="103"/>
    </row>
    <row r="147">
      <c r="A147" s="277" t="s">
        <v>244</v>
      </c>
      <c r="B147" s="277" t="s">
        <v>412</v>
      </c>
      <c r="C147" s="110" t="s">
        <v>78</v>
      </c>
      <c r="D147" s="110"/>
      <c r="E147" s="110"/>
      <c r="F147" s="110"/>
      <c r="G147" s="110"/>
      <c r="H147" s="110"/>
      <c r="I147" s="110"/>
      <c r="P147" s="31"/>
      <c r="S147" s="101"/>
      <c r="T147" s="101"/>
      <c r="AX147" s="103"/>
    </row>
    <row r="148">
      <c r="A148" s="277" t="s">
        <v>413</v>
      </c>
      <c r="B148" s="277" t="s">
        <v>412</v>
      </c>
      <c r="C148" s="279" t="s">
        <v>414</v>
      </c>
      <c r="D148" s="124"/>
      <c r="E148" s="124"/>
      <c r="F148" s="110"/>
      <c r="G148" s="110"/>
      <c r="H148" s="110"/>
      <c r="I148" s="110"/>
      <c r="M148" s="146"/>
      <c r="S148" s="101"/>
      <c r="T148" s="101"/>
      <c r="AX148" s="103"/>
    </row>
    <row r="149">
      <c r="A149" s="277" t="s">
        <v>415</v>
      </c>
      <c r="B149" s="277" t="s">
        <v>412</v>
      </c>
      <c r="C149" s="278" t="s">
        <v>416</v>
      </c>
      <c r="D149" s="124"/>
      <c r="E149" s="124"/>
      <c r="F149" s="110"/>
      <c r="G149" s="110"/>
      <c r="H149" s="110"/>
      <c r="I149" s="110"/>
      <c r="M149" s="146"/>
      <c r="P149" s="31"/>
      <c r="S149" s="101"/>
      <c r="T149" s="101"/>
      <c r="AX149" s="103"/>
    </row>
    <row r="150">
      <c r="A150" s="277" t="s">
        <v>248</v>
      </c>
      <c r="B150" s="277" t="s">
        <v>412</v>
      </c>
      <c r="C150" s="278" t="s">
        <v>417</v>
      </c>
      <c r="D150" s="124"/>
      <c r="E150" s="124"/>
      <c r="F150" s="110"/>
      <c r="G150" s="110"/>
      <c r="H150" s="110"/>
      <c r="I150" s="110"/>
      <c r="P150" s="101"/>
      <c r="S150" s="101"/>
      <c r="T150" s="101">
        <f>+T124*12</f>
        <v>4146132</v>
      </c>
      <c r="AX150" s="103"/>
    </row>
    <row r="151">
      <c r="A151" s="277" t="s">
        <v>295</v>
      </c>
      <c r="B151" s="277" t="s">
        <v>412</v>
      </c>
      <c r="C151" s="277" t="s">
        <v>418</v>
      </c>
      <c r="F151" s="110"/>
      <c r="G151" s="110"/>
      <c r="H151" s="110"/>
      <c r="I151" s="110"/>
      <c r="S151" s="101"/>
      <c r="T151" s="101"/>
      <c r="AX151" s="103"/>
    </row>
    <row r="152">
      <c r="F152" s="280"/>
      <c r="G152" s="280"/>
      <c r="H152" s="280"/>
      <c r="I152" s="124"/>
      <c r="J152" s="101"/>
      <c r="K152" s="101"/>
      <c r="S152" s="101"/>
      <c r="T152" s="101"/>
      <c r="AV152" s="103"/>
      <c r="AW152" s="103"/>
      <c r="AX152" s="103"/>
    </row>
    <row r="153">
      <c r="F153" s="124"/>
      <c r="G153" s="124"/>
      <c r="H153" s="124"/>
      <c r="I153" s="124"/>
      <c r="J153" s="101"/>
      <c r="K153" s="101"/>
      <c r="S153" s="101"/>
      <c r="T153" s="101"/>
      <c r="AV153" s="103"/>
      <c r="AW153" s="103"/>
      <c r="AX153" s="103"/>
    </row>
    <row r="154">
      <c r="F154" s="110"/>
      <c r="G154" s="110"/>
      <c r="H154" s="110"/>
      <c r="I154" s="110"/>
      <c r="L154" s="101"/>
      <c r="M154" s="256"/>
      <c r="S154" s="101"/>
      <c r="T154" s="101"/>
      <c r="AV154" s="103"/>
      <c r="AW154" s="103"/>
      <c r="AX154" s="103"/>
    </row>
    <row r="155">
      <c r="F155" s="110"/>
      <c r="G155" s="110"/>
      <c r="H155" s="110"/>
      <c r="I155" s="110"/>
      <c r="L155" s="101"/>
      <c r="M155" s="256"/>
      <c r="AV155" s="103"/>
      <c r="AW155" s="103"/>
      <c r="AX155" s="103"/>
    </row>
    <row r="156">
      <c r="F156" s="110"/>
      <c r="G156" s="110"/>
      <c r="H156" s="110"/>
      <c r="I156" s="110"/>
      <c r="AV156" s="103"/>
      <c r="AW156" s="103"/>
      <c r="AX156" s="103"/>
    </row>
    <row r="157">
      <c r="F157" s="110"/>
      <c r="G157" s="110"/>
      <c r="H157" s="146"/>
      <c r="I157" s="110"/>
      <c r="AV157" s="103"/>
      <c r="AW157" s="103"/>
      <c r="AX157" s="103"/>
    </row>
    <row r="158">
      <c r="F158" s="110"/>
      <c r="G158" s="110"/>
      <c r="H158" s="110"/>
      <c r="I158" s="110"/>
      <c r="AV158" s="103"/>
      <c r="AW158" s="103"/>
      <c r="AX158" s="103"/>
    </row>
    <row r="159">
      <c r="F159" s="110"/>
      <c r="G159" s="110"/>
      <c r="H159" s="110"/>
      <c r="I159" s="110"/>
      <c r="AV159" s="103"/>
      <c r="AW159" s="103"/>
      <c r="AX159" s="103"/>
    </row>
    <row r="160">
      <c r="F160" s="110"/>
      <c r="G160" s="110"/>
      <c r="H160" s="110"/>
      <c r="I160" s="110"/>
      <c r="AV160" s="103"/>
      <c r="AW160" s="103"/>
      <c r="AX160" s="103"/>
    </row>
    <row r="161">
      <c r="F161" s="110"/>
      <c r="G161" s="110"/>
      <c r="H161" s="110"/>
      <c r="I161" s="110"/>
      <c r="M161" s="256"/>
      <c r="AV161" s="103"/>
      <c r="AW161" s="103"/>
      <c r="AX161" s="103"/>
    </row>
    <row r="167">
      <c r="AV167" s="103"/>
      <c r="AW167" s="103"/>
      <c r="AX167" s="103"/>
    </row>
    <row r="168">
      <c r="AV168" s="103"/>
      <c r="AW168" s="103"/>
      <c r="AX168" s="103"/>
    </row>
  </sheetData>
  <sortState ref="A34:BG113">
    <sortCondition ref="B34:B113"/>
  </sortState>
  <mergeCells>
    <mergeCell ref="F152:H152"/>
  </mergeCells>
  <printOptions horizontalCentered="1"/>
  <pageMargins left="0.7" right="0.7" top="0.75" bottom="0.75" header="0.3" footer="0.3"/>
  <pageSetup paperSize="9" scale="75" orientation="landscape" horizontalDpi="240" verticalDpi="144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">
    <tabColor rgb="FF7030A0"/>
  </sheetPr>
  <dimension ref="A1:BB114"/>
  <sheetViews>
    <sheetView zoomScale="70" zoomScaleNormal="70" workbookViewId="0">
      <pane xSplit="5" ySplit="9" topLeftCell="AL67" activePane="bottomRight" state="frozen"/>
      <selection activeCell="AP73" sqref="AP73"/>
      <selection pane="topRight" activeCell="AP73" sqref="AP73"/>
      <selection pane="bottomLeft" activeCell="AP73" sqref="AP73"/>
      <selection pane="bottomRight" activeCell="AY82" sqref="AY82"/>
    </sheetView>
  </sheetViews>
  <sheetFormatPr defaultRowHeight="15" x14ac:dyDescent="0.25"/>
  <cols>
    <col min="1" max="1" bestFit="1" width="9.28515625" customWidth="1" style="103"/>
    <col min="2" max="2" bestFit="1" width="4.28515625" customWidth="1" style="103"/>
    <col min="3" max="3" bestFit="1" width="29.140625" customWidth="1" style="103"/>
    <col min="4" max="4" bestFit="1" width="16.42578125" customWidth="1" style="103"/>
    <col min="5" max="5" bestFit="1" width="7.140625" customWidth="1" style="103"/>
    <col min="6" max="6" bestFit="1" width="7.42578125" customWidth="1" style="103"/>
    <col min="7" max="7" bestFit="1" width="8.7109375" customWidth="1" style="103"/>
    <col min="8" max="8" bestFit="1" width="11.140625" customWidth="1" style="103"/>
    <col min="9" max="9" bestFit="1" width="5.28515625" customWidth="1" style="103"/>
    <col min="10" max="10" bestFit="1" width="4.5703125" customWidth="1" style="103"/>
    <col min="11" max="11" bestFit="1" width="5.28515625" customWidth="1" style="103"/>
    <col min="12" max="12" bestFit="1" width="11" customWidth="1" style="103"/>
    <col min="13" max="13" bestFit="1" width="17.28515625" customWidth="1" style="103"/>
    <col min="14" max="14" bestFit="1" width="8.5703125" customWidth="1" style="103"/>
    <col min="15" max="15" bestFit="1" width="16.28515625" customWidth="1" style="103"/>
    <col min="16" max="16" bestFit="1" width="15.28515625" customWidth="1" style="103"/>
    <col min="17" max="18" bestFit="1" width="16.42578125" customWidth="1" style="103"/>
    <col min="19" max="19" bestFit="1" width="16.28515625" customWidth="1" style="103"/>
    <col min="20" max="21" bestFit="1" width="15.85546875" customWidth="1" style="103"/>
    <col min="22" max="22" bestFit="1" width="17.7109375" customWidth="1" style="103"/>
    <col min="23" max="23" bestFit="1" width="14.5703125" customWidth="1" style="103"/>
    <col min="24" max="24" bestFit="1" width="11.5703125" customWidth="1" style="103"/>
    <col min="25" max="25" bestFit="1" width="4.28515625" customWidth="1" style="103"/>
    <col min="26" max="26" bestFit="1" width="34.42578125" customWidth="1" style="103"/>
    <col min="27" max="27" bestFit="1" width="10.28515625" customWidth="1" style="103"/>
    <col min="28" max="28" bestFit="1" width="16.85546875" customWidth="1" style="103"/>
    <col min="29" max="31" bestFit="1" width="15.28515625" customWidth="1" style="103"/>
    <col min="32" max="32" bestFit="1" width="17.7109375" customWidth="1" style="103"/>
    <col min="33" max="33" bestFit="1" width="18.28515625" customWidth="1" style="103"/>
    <col min="34" max="34" bestFit="1" width="17.28515625" customWidth="1" style="103"/>
    <col min="35" max="35" bestFit="1" width="7.7109375" customWidth="1" style="103"/>
    <col min="36" max="36" bestFit="1" width="17.7109375" customWidth="1" style="103"/>
    <col min="37" max="37" bestFit="1" width="12.42578125" customWidth="1" style="103"/>
    <col min="38" max="38" bestFit="1" width="8.7109375" customWidth="1" style="103"/>
    <col min="39" max="39" bestFit="1" width="15.28515625" customWidth="1" style="103"/>
    <col min="40" max="41" bestFit="1" width="10" customWidth="1" style="103"/>
    <col min="42" max="42" bestFit="1" width="14.42578125" customWidth="1" style="103"/>
    <col min="43" max="43" bestFit="1" width="17.28515625" customWidth="1" style="103"/>
    <col min="44" max="44" hidden="1" width="5.140625" customWidth="1" style="103"/>
    <col min="45" max="45" bestFit="1" width="4.85546875" customWidth="1" style="103"/>
    <col min="46" max="46" bestFit="1" width="34.42578125" customWidth="1" style="105"/>
    <col min="47" max="47" bestFit="1" width="17.28515625" customWidth="1" style="58"/>
    <col min="48" max="48" width="9.7109375" customWidth="1" style="104"/>
    <col min="49" max="50" width="9.7109375" customWidth="1" style="103"/>
    <col min="51" max="51" bestFit="1" width="12.5703125" customWidth="1" style="103"/>
    <col min="52" max="52" bestFit="1" width="15" customWidth="1" style="103"/>
    <col min="53" max="53" bestFit="1" width="13.85546875" customWidth="1" style="103"/>
    <col min="54" max="54" bestFit="1" width="11.5703125" customWidth="1" style="103"/>
    <col min="55" max="16384" width="9.140625" customWidth="1" style="103"/>
  </cols>
  <sheetData>
    <row r="1">
      <c r="AB1" s="31">
        <f>+AB19-AN19</f>
        <v>2960335.1</v>
      </c>
      <c r="AC1" s="102" t="s">
        <v>215</v>
      </c>
      <c r="AD1" s="102">
        <v>4500000</v>
      </c>
      <c r="AH1" s="122"/>
      <c r="AT1" s="105">
        <f>45+39</f>
        <v>84</v>
      </c>
    </row>
    <row r="2">
      <c r="M2" s="31"/>
      <c r="AC2" s="102" t="s">
        <v>216</v>
      </c>
      <c r="AD2" s="102">
        <v>4875000</v>
      </c>
    </row>
    <row r="3">
      <c r="M3" s="31"/>
      <c r="O3" s="31"/>
      <c r="AC3" s="102" t="s">
        <v>217</v>
      </c>
      <c r="AD3" s="102">
        <v>5250000</v>
      </c>
      <c r="AJ3" s="31"/>
      <c r="AT3" s="224">
        <f>165845*85%</f>
        <v>140968.25</v>
      </c>
      <c r="AU3" s="58">
        <f>+AT3*4</f>
        <v>563873</v>
      </c>
    </row>
    <row r="4">
      <c r="AC4" s="102" t="s">
        <v>218</v>
      </c>
      <c r="AD4" s="102">
        <v>5625000</v>
      </c>
      <c r="AR4" s="101"/>
    </row>
    <row r="5">
      <c r="AC5" s="102" t="s">
        <v>219</v>
      </c>
      <c r="AD5" s="102">
        <v>6000000</v>
      </c>
    </row>
    <row r="6">
      <c r="C6" s="103">
        <v>1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  <c r="L6" s="103">
        <v>12</v>
      </c>
      <c r="M6" s="103">
        <v>13</v>
      </c>
      <c r="N6" s="103">
        <v>14</v>
      </c>
      <c r="O6" s="103">
        <v>15</v>
      </c>
      <c r="P6" s="103">
        <v>16</v>
      </c>
      <c r="Q6" s="103">
        <v>17</v>
      </c>
      <c r="R6" s="103">
        <v>18</v>
      </c>
      <c r="S6" s="103">
        <v>19</v>
      </c>
      <c r="T6" s="103">
        <v>18</v>
      </c>
      <c r="U6" s="103">
        <v>21</v>
      </c>
      <c r="V6" s="103">
        <v>22</v>
      </c>
      <c r="W6" s="103">
        <v>23</v>
      </c>
      <c r="X6" s="103">
        <v>24</v>
      </c>
      <c r="Y6" s="103">
        <v>25</v>
      </c>
      <c r="Z6" s="103">
        <v>26</v>
      </c>
      <c r="AA6" s="103">
        <v>27</v>
      </c>
      <c r="AB6" s="103">
        <v>28</v>
      </c>
      <c r="AC6" s="103">
        <v>29</v>
      </c>
      <c r="AD6" s="103">
        <v>30</v>
      </c>
      <c r="AE6" s="103">
        <v>31</v>
      </c>
      <c r="AF6" s="103">
        <v>32</v>
      </c>
      <c r="AG6" s="103">
        <v>33</v>
      </c>
      <c r="AH6" s="103">
        <v>34</v>
      </c>
      <c r="AI6" s="103">
        <v>35</v>
      </c>
      <c r="AJ6" s="103">
        <v>36</v>
      </c>
      <c r="AK6" s="103">
        <v>37</v>
      </c>
      <c r="AL6" s="103">
        <v>38</v>
      </c>
      <c r="AM6" s="103">
        <v>39</v>
      </c>
      <c r="AN6" s="103">
        <v>40</v>
      </c>
      <c r="AO6" s="103">
        <v>41</v>
      </c>
      <c r="AP6" s="103">
        <v>42</v>
      </c>
      <c r="AQ6" s="103">
        <v>43</v>
      </c>
    </row>
    <row r="7">
      <c r="A7" s="100" t="s">
        <v>220</v>
      </c>
      <c r="Y7" s="100"/>
      <c r="Z7" s="100" t="s">
        <v>221</v>
      </c>
    </row>
    <row r="8">
      <c r="A8" s="100" t="s">
        <v>222</v>
      </c>
      <c r="Y8" s="100"/>
      <c r="Z8" s="100" t="s">
        <v>223</v>
      </c>
    </row>
    <row r="9" ht="27" customHeight="1" s="93" customFormat="1">
      <c r="A9" s="99" t="s">
        <v>3</v>
      </c>
      <c r="B9" s="99" t="s">
        <v>224</v>
      </c>
      <c r="C9" s="99" t="s">
        <v>4</v>
      </c>
      <c r="D9" s="99" t="s">
        <v>5</v>
      </c>
      <c r="E9" s="99" t="s">
        <v>6</v>
      </c>
      <c r="F9" s="99" t="s">
        <v>225</v>
      </c>
      <c r="G9" s="99" t="s">
        <v>226</v>
      </c>
      <c r="H9" s="99" t="s">
        <v>227</v>
      </c>
      <c r="I9" s="99" t="s">
        <v>228</v>
      </c>
      <c r="J9" s="99" t="s">
        <v>229</v>
      </c>
      <c r="K9" s="99" t="s">
        <v>230</v>
      </c>
      <c r="L9" s="99" t="s">
        <v>211</v>
      </c>
      <c r="M9" s="98" t="s">
        <v>231</v>
      </c>
      <c r="N9" s="98" t="s">
        <v>232</v>
      </c>
      <c r="O9" s="98" t="s">
        <v>233</v>
      </c>
      <c r="P9" s="98" t="s">
        <v>234</v>
      </c>
      <c r="Q9" s="98" t="s">
        <v>235</v>
      </c>
      <c r="R9" s="98" t="s">
        <v>236</v>
      </c>
      <c r="S9" s="98" t="s">
        <v>237</v>
      </c>
      <c r="T9" s="98" t="s">
        <v>238</v>
      </c>
      <c r="U9" s="98" t="s">
        <v>239</v>
      </c>
      <c r="V9" s="98" t="s">
        <v>240</v>
      </c>
      <c r="W9" s="97" t="s">
        <v>241</v>
      </c>
      <c r="X9" s="99" t="s">
        <v>242</v>
      </c>
      <c r="Y9" s="96" t="s">
        <v>243</v>
      </c>
      <c r="Z9" s="95" t="s">
        <v>244</v>
      </c>
      <c r="AA9" s="95" t="s">
        <v>245</v>
      </c>
      <c r="AB9" s="95" t="s">
        <v>246</v>
      </c>
      <c r="AC9" s="95" t="s">
        <v>247</v>
      </c>
      <c r="AD9" s="95" t="s">
        <v>248</v>
      </c>
      <c r="AE9" s="95" t="s">
        <v>249</v>
      </c>
      <c r="AF9" s="95" t="s">
        <v>250</v>
      </c>
      <c r="AG9" s="95" t="s">
        <v>251</v>
      </c>
      <c r="AH9" s="95" t="s">
        <v>252</v>
      </c>
      <c r="AI9" s="95" t="s">
        <v>253</v>
      </c>
      <c r="AJ9" s="94" t="s">
        <v>254</v>
      </c>
      <c r="AK9" s="94" t="s">
        <v>255</v>
      </c>
      <c r="AL9" s="94" t="s">
        <v>256</v>
      </c>
      <c r="AM9" s="94" t="s">
        <v>257</v>
      </c>
      <c r="AN9" s="94" t="s">
        <v>258</v>
      </c>
      <c r="AO9" s="94" t="s">
        <v>259</v>
      </c>
      <c r="AP9" s="94" t="s">
        <v>260</v>
      </c>
      <c r="AQ9" s="94" t="s">
        <v>254</v>
      </c>
      <c r="AS9" s="92" t="s">
        <v>3</v>
      </c>
      <c r="AT9" s="91" t="str">
        <f ref="AT9:AT25" t="shared" si="0">+C9</f>
        <v>Name  </v>
      </c>
      <c r="AU9" s="81" t="s">
        <v>8</v>
      </c>
      <c r="AV9" s="92" t="s">
        <v>261</v>
      </c>
      <c r="AW9" s="92" t="s">
        <v>12</v>
      </c>
      <c r="AX9" s="92" t="s">
        <v>262</v>
      </c>
    </row>
    <row r="10" ht="21" s="83" customFormat="1">
      <c r="A10" s="90" t="s">
        <v>263</v>
      </c>
      <c r="B10" s="321"/>
      <c r="C10" s="322" t="s">
        <v>264</v>
      </c>
      <c r="D10" s="90"/>
      <c r="E10" s="90"/>
      <c r="F10" s="90"/>
      <c r="G10" s="90"/>
      <c r="H10" s="90"/>
      <c r="I10" s="90"/>
      <c r="J10" s="90"/>
      <c r="K10" s="90"/>
      <c r="L10" s="90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7"/>
      <c r="X10" s="90"/>
      <c r="Y10" s="86"/>
      <c r="Z10" s="89" t="s">
        <v>264</v>
      </c>
      <c r="AA10" s="85"/>
      <c r="AB10" s="85"/>
      <c r="AC10" s="85"/>
      <c r="AD10" s="85"/>
      <c r="AE10" s="85"/>
      <c r="AF10" s="85"/>
      <c r="AG10" s="85"/>
      <c r="AH10" s="85"/>
      <c r="AI10" s="85"/>
      <c r="AJ10" s="84"/>
      <c r="AK10" s="84"/>
      <c r="AL10" s="84"/>
      <c r="AM10" s="84"/>
      <c r="AN10" s="84"/>
      <c r="AO10" s="84"/>
      <c r="AP10" s="84"/>
      <c r="AQ10" s="84"/>
      <c r="AS10" s="82"/>
      <c r="AT10" s="81"/>
      <c r="AU10" s="81"/>
      <c r="AV10" s="82"/>
      <c r="AW10" s="82"/>
      <c r="AX10" s="82"/>
    </row>
    <row r="11" s="105" customFormat="1">
      <c r="A11" s="80" t="s">
        <v>263</v>
      </c>
      <c r="B11" s="323"/>
      <c r="C11" s="324" t="s">
        <v>26</v>
      </c>
      <c r="D11" s="80" t="s">
        <v>15</v>
      </c>
      <c r="E11" s="80" t="s">
        <v>17</v>
      </c>
      <c r="F11" s="80"/>
      <c r="G11" s="80"/>
      <c r="H11" s="139">
        <v>0.85</v>
      </c>
      <c r="I11" s="79"/>
      <c r="J11" s="79"/>
      <c r="K11" s="79"/>
      <c r="L11" s="79">
        <f>SUM(I11:K11)</f>
        <v>0</v>
      </c>
      <c r="M11" s="79">
        <f>4146126*85%</f>
        <v>3524207.1</v>
      </c>
      <c r="N11" s="79">
        <f ref="N11:N23" t="shared" si="1">+F11*100000</f>
        <v>0</v>
      </c>
      <c r="O11" s="77">
        <f ref="O11:O23" t="shared" si="2">+G11*165845</f>
        <v>0</v>
      </c>
      <c r="P11" s="78">
        <f>0.0489*4498960</f>
        <v>219999.144</v>
      </c>
      <c r="Q11" s="78">
        <f>0.04*4498962</f>
        <v>179958.48</v>
      </c>
      <c r="R11" s="78">
        <f>4498962*2%</f>
        <v>89979.24</v>
      </c>
      <c r="S11" s="77">
        <f>SUM(P11:R11)</f>
        <v>489936.864</v>
      </c>
      <c r="T11" s="77">
        <v>345510.5</v>
      </c>
      <c r="U11" s="79"/>
      <c r="V11" s="79">
        <f>+M11+N11+O11+U11</f>
        <v>3524207.1</v>
      </c>
      <c r="W11" s="79"/>
      <c r="X11" s="80"/>
      <c r="Y11" s="80">
        <f>+A11</f>
        <v>1</v>
      </c>
      <c r="Z11" s="76" t="str">
        <f ref="Z11:Z67" t="shared" si="3">+C11</f>
        <v>AGUS SUPRIYADI</v>
      </c>
      <c r="AA11" s="75" t="s">
        <v>217</v>
      </c>
      <c r="AB11" s="74">
        <f>+M11+N11+O11+U11</f>
        <v>3524207.1</v>
      </c>
      <c r="AC11" s="74">
        <v>89979.24</v>
      </c>
      <c r="AD11" s="74">
        <v>44989.62</v>
      </c>
      <c r="AE11" s="74">
        <v>44989.62</v>
      </c>
      <c r="AF11" s="74">
        <f ref="AF11:AF67" t="shared" si="4">+AB11-AC11-AD11-AE11</f>
        <v>3344248.6199999996</v>
      </c>
      <c r="AG11" s="74">
        <f>VLOOKUP(AA11,$AC$1:$AD$5,2,0)</f>
        <v>5250000</v>
      </c>
      <c r="AH11" s="74">
        <f ref="AH11:AH67" t="shared" si="5">+AF11-AG11</f>
        <v>-1905751.3800000004</v>
      </c>
      <c r="AI11" s="74">
        <f>+IF(AH11&gt;0,AH11*5%,0)</f>
        <v>0</v>
      </c>
      <c r="AJ11" s="73">
        <f ref="AJ11:AJ67" t="shared" si="6">+AB11-AC11-AD11-AE11-AI11</f>
        <v>3344248.6199999996</v>
      </c>
      <c r="AK11" s="73"/>
      <c r="AL11" s="73"/>
      <c r="AM11" s="73"/>
      <c r="AN11" s="73">
        <f>+IF(I11+J11+K11&gt;2,(I11+J11+K11)*165845,0)</f>
        <v>0</v>
      </c>
      <c r="AO11" s="73"/>
      <c r="AP11" s="73">
        <v>300000</v>
      </c>
      <c r="AQ11" s="62">
        <f ref="AQ11:AQ67" t="shared" si="7">+AJ11-AK11-AL11-AM11-AP11-AO11-AN11</f>
        <v>3044248.6199999996</v>
      </c>
      <c r="AR11" s="72"/>
      <c r="AS11" s="71">
        <v>1</v>
      </c>
      <c r="AT11" s="70" t="str">
        <f>+C11</f>
        <v>AGUS SUPRIYADI</v>
      </c>
      <c r="AU11" s="60">
        <f>+AQ11</f>
        <v>3044248.6199999996</v>
      </c>
      <c r="AV11" s="69"/>
      <c r="AW11" s="80"/>
      <c r="AX11" s="80"/>
      <c r="AY11" s="72"/>
      <c r="AZ11" s="72"/>
    </row>
    <row r="12" s="105" customFormat="1">
      <c r="A12" s="80" t="s">
        <v>263</v>
      </c>
      <c r="B12" s="323"/>
      <c r="C12" s="324" t="s">
        <v>32</v>
      </c>
      <c r="D12" s="80" t="s">
        <v>15</v>
      </c>
      <c r="E12" s="80" t="s">
        <v>17</v>
      </c>
      <c r="F12" s="80"/>
      <c r="G12" s="80"/>
      <c r="H12" s="139">
        <v>0.85</v>
      </c>
      <c r="I12" s="79"/>
      <c r="J12" s="79"/>
      <c r="K12" s="79"/>
      <c r="L12" s="79">
        <f ref="L12:L38" t="shared" si="8">SUM(I12:K12)</f>
        <v>0</v>
      </c>
      <c r="M12" s="79">
        <f ref="M12:M23" t="shared" si="9">4146126*85%</f>
        <v>3524207.1</v>
      </c>
      <c r="N12" s="79">
        <f t="shared" si="1"/>
        <v>0</v>
      </c>
      <c r="O12" s="77">
        <f t="shared" si="2"/>
        <v>0</v>
      </c>
      <c r="P12" s="78">
        <f ref="P12:P23" t="shared" si="10">0.0489*4498960</f>
        <v>219999.144</v>
      </c>
      <c r="Q12" s="78">
        <f ref="Q12:Q23" t="shared" si="11">0.04*4498962</f>
        <v>179958.48</v>
      </c>
      <c r="R12" s="78">
        <f ref="R12:R23" t="shared" si="12">4498962*2%</f>
        <v>89979.24</v>
      </c>
      <c r="S12" s="77">
        <f>SUM(P12:R12)</f>
        <v>489936.864</v>
      </c>
      <c r="T12" s="77">
        <v>345510.5</v>
      </c>
      <c r="U12" s="79"/>
      <c r="V12" s="79">
        <f>+M12+N12+O12+U12</f>
        <v>3524207.1</v>
      </c>
      <c r="W12" s="79"/>
      <c r="X12" s="80"/>
      <c r="Y12" s="80">
        <f>+A12</f>
        <v>2</v>
      </c>
      <c r="Z12" s="76" t="str">
        <f t="shared" si="3"/>
        <v>ANDI WARDANI</v>
      </c>
      <c r="AA12" s="75" t="s">
        <v>217</v>
      </c>
      <c r="AB12" s="74">
        <f ref="AB12:AB25" t="shared" si="13">+M12+N12+O12+U12</f>
        <v>3524207.1</v>
      </c>
      <c r="AC12" s="74">
        <v>89979.24</v>
      </c>
      <c r="AD12" s="74">
        <v>44989.62</v>
      </c>
      <c r="AE12" s="74">
        <v>44989.62</v>
      </c>
      <c r="AF12" s="74">
        <f t="shared" si="4"/>
        <v>3344248.6199999996</v>
      </c>
      <c r="AG12" s="74">
        <f>VLOOKUP(AA12,$AC$1:$AD$5,2,0)</f>
        <v>5250000</v>
      </c>
      <c r="AH12" s="74">
        <f t="shared" si="5"/>
        <v>-1905751.3800000004</v>
      </c>
      <c r="AI12" s="74">
        <f>+IF(AH12&gt;0,AH12*5%,0)</f>
        <v>0</v>
      </c>
      <c r="AJ12" s="73">
        <f t="shared" si="6"/>
        <v>3344248.6199999996</v>
      </c>
      <c r="AK12" s="73"/>
      <c r="AL12" s="73"/>
      <c r="AM12" s="73"/>
      <c r="AN12" s="73">
        <f>+IF(I12+J12+K12&gt;2,(I12+J12+K12)*165845,0)</f>
        <v>0</v>
      </c>
      <c r="AO12" s="73"/>
      <c r="AP12" s="73"/>
      <c r="AQ12" s="62">
        <f t="shared" si="7"/>
        <v>3344248.6199999996</v>
      </c>
      <c r="AR12" s="72"/>
      <c r="AS12" s="71">
        <f>+AS11+1</f>
        <v>2</v>
      </c>
      <c r="AT12" s="70" t="str">
        <f t="shared" si="0"/>
        <v>ANDI WARDANI</v>
      </c>
      <c r="AU12" s="60">
        <f>+AQ12</f>
        <v>3344248.6199999996</v>
      </c>
      <c r="AV12" s="69"/>
      <c r="AW12" s="80"/>
      <c r="AX12" s="80"/>
      <c r="AY12" s="72"/>
      <c r="AZ12" s="72"/>
    </row>
    <row r="13" s="105" customFormat="1">
      <c r="A13" s="80" t="s">
        <v>263</v>
      </c>
      <c r="B13" s="323"/>
      <c r="C13" s="324" t="s">
        <v>43</v>
      </c>
      <c r="D13" s="80" t="s">
        <v>15</v>
      </c>
      <c r="E13" s="80" t="s">
        <v>17</v>
      </c>
      <c r="F13" s="80"/>
      <c r="G13" s="80"/>
      <c r="H13" s="139">
        <v>0.85</v>
      </c>
      <c r="I13" s="79"/>
      <c r="J13" s="79"/>
      <c r="K13" s="79"/>
      <c r="L13" s="79">
        <f t="shared" si="8"/>
        <v>0</v>
      </c>
      <c r="M13" s="79">
        <f t="shared" si="9"/>
        <v>3524207.1</v>
      </c>
      <c r="N13" s="79">
        <f t="shared" si="1"/>
        <v>0</v>
      </c>
      <c r="O13" s="77">
        <f t="shared" si="2"/>
        <v>0</v>
      </c>
      <c r="P13" s="78">
        <f t="shared" si="10"/>
        <v>219999.144</v>
      </c>
      <c r="Q13" s="78">
        <f t="shared" si="11"/>
        <v>179958.48</v>
      </c>
      <c r="R13" s="78">
        <f t="shared" si="12"/>
        <v>89979.24</v>
      </c>
      <c r="S13" s="77">
        <f>SUM(P13:R13)</f>
        <v>489936.864</v>
      </c>
      <c r="T13" s="77">
        <v>345510.5</v>
      </c>
      <c r="U13" s="79"/>
      <c r="V13" s="79">
        <f ref="V13:V67" t="shared" si="15">+M13+N13+O13+U13</f>
        <v>3524207.1</v>
      </c>
      <c r="W13" s="79"/>
      <c r="X13" s="80"/>
      <c r="Y13" s="80">
        <f ref="Y13:Y25" t="shared" si="16">+A13</f>
        <v>3</v>
      </c>
      <c r="Z13" s="76" t="str">
        <f t="shared" si="3"/>
        <v>BUDIYANTO</v>
      </c>
      <c r="AA13" s="75" t="s">
        <v>217</v>
      </c>
      <c r="AB13" s="74">
        <f t="shared" si="13"/>
        <v>3524207.1</v>
      </c>
      <c r="AC13" s="74">
        <v>89979.24</v>
      </c>
      <c r="AD13" s="74">
        <v>44989.62</v>
      </c>
      <c r="AE13" s="74">
        <v>44989.62</v>
      </c>
      <c r="AF13" s="74">
        <f t="shared" si="4"/>
        <v>3344248.6199999996</v>
      </c>
      <c r="AG13" s="74">
        <f ref="AG13:AG67" t="shared" si="17">VLOOKUP(AA13,$AC$1:$AD$5,2,0)</f>
        <v>5250000</v>
      </c>
      <c r="AH13" s="74">
        <f t="shared" si="5"/>
        <v>-1905751.3800000004</v>
      </c>
      <c r="AI13" s="74">
        <f ref="AI13:AI25" t="shared" si="18">+IF(AH13&gt;0,AH13*5%,0)</f>
        <v>0</v>
      </c>
      <c r="AJ13" s="73">
        <f t="shared" si="6"/>
        <v>3344248.6199999996</v>
      </c>
      <c r="AK13" s="73"/>
      <c r="AL13" s="73"/>
      <c r="AM13" s="73"/>
      <c r="AN13" s="73">
        <f ref="AN13:AN25" t="shared" si="19">+IF(I13+J13+K13&gt;2,(I13+J13+K13)*165845,0)</f>
        <v>0</v>
      </c>
      <c r="AO13" s="73"/>
      <c r="AP13" s="73"/>
      <c r="AQ13" s="62">
        <f t="shared" si="7"/>
        <v>3344248.6199999996</v>
      </c>
      <c r="AR13" s="72"/>
      <c r="AS13" s="71">
        <f ref="AS13:AS25" t="shared" si="20">+AS12+1</f>
        <v>3</v>
      </c>
      <c r="AT13" s="70" t="str">
        <f t="shared" si="0"/>
        <v>BUDIYANTO</v>
      </c>
      <c r="AU13" s="60">
        <f ref="AU13:AU25" t="shared" si="21">+AQ13</f>
        <v>3344248.6199999996</v>
      </c>
      <c r="AV13" s="69"/>
      <c r="AW13" s="80"/>
      <c r="AX13" s="80"/>
      <c r="AY13" s="72"/>
      <c r="AZ13" s="72"/>
    </row>
    <row r="14" s="105" customFormat="1">
      <c r="A14" s="80" t="s">
        <v>263</v>
      </c>
      <c r="B14" s="323"/>
      <c r="C14" s="324" t="s">
        <v>47</v>
      </c>
      <c r="D14" s="80" t="s">
        <v>15</v>
      </c>
      <c r="E14" s="80" t="s">
        <v>17</v>
      </c>
      <c r="F14" s="80"/>
      <c r="G14" s="80"/>
      <c r="H14" s="139">
        <v>0.85</v>
      </c>
      <c r="I14" s="79"/>
      <c r="J14" s="79"/>
      <c r="K14" s="79"/>
      <c r="L14" s="79">
        <f>SUM(I14:K14)</f>
        <v>0</v>
      </c>
      <c r="M14" s="79">
        <f t="shared" si="9"/>
        <v>3524207.1</v>
      </c>
      <c r="N14" s="79">
        <f t="shared" si="1"/>
        <v>0</v>
      </c>
      <c r="O14" s="77">
        <f t="shared" si="2"/>
        <v>0</v>
      </c>
      <c r="P14" s="78">
        <f t="shared" si="10"/>
        <v>219999.144</v>
      </c>
      <c r="Q14" s="78">
        <f t="shared" si="11"/>
        <v>179958.48</v>
      </c>
      <c r="R14" s="78">
        <f t="shared" si="12"/>
        <v>89979.24</v>
      </c>
      <c r="S14" s="77">
        <f>SUM(P14:R14)</f>
        <v>489936.864</v>
      </c>
      <c r="T14" s="77">
        <v>345510.5</v>
      </c>
      <c r="U14" s="79"/>
      <c r="V14" s="79">
        <f t="shared" si="15"/>
        <v>3524207.1</v>
      </c>
      <c r="W14" s="79"/>
      <c r="X14" s="80"/>
      <c r="Y14" s="80">
        <f t="shared" si="16"/>
        <v>4</v>
      </c>
      <c r="Z14" s="76" t="str">
        <f t="shared" si="3"/>
        <v>DANI SAMBAS</v>
      </c>
      <c r="AA14" s="75" t="s">
        <v>217</v>
      </c>
      <c r="AB14" s="74">
        <f t="shared" si="13"/>
        <v>3524207.1</v>
      </c>
      <c r="AC14" s="74">
        <v>89979.24</v>
      </c>
      <c r="AD14" s="74">
        <v>44989.62</v>
      </c>
      <c r="AE14" s="74">
        <v>44989.62</v>
      </c>
      <c r="AF14" s="74">
        <f t="shared" si="4"/>
        <v>3344248.6199999996</v>
      </c>
      <c r="AG14" s="74">
        <f t="shared" si="17"/>
        <v>5250000</v>
      </c>
      <c r="AH14" s="74">
        <f t="shared" si="5"/>
        <v>-1905751.3800000004</v>
      </c>
      <c r="AI14" s="74">
        <f t="shared" si="18"/>
        <v>0</v>
      </c>
      <c r="AJ14" s="73">
        <f t="shared" si="6"/>
        <v>3344248.6199999996</v>
      </c>
      <c r="AK14" s="73"/>
      <c r="AL14" s="73"/>
      <c r="AM14" s="73">
        <v>400000</v>
      </c>
      <c r="AN14" s="73">
        <f t="shared" si="19"/>
        <v>0</v>
      </c>
      <c r="AO14" s="73"/>
      <c r="AP14" s="73">
        <v>450000</v>
      </c>
      <c r="AQ14" s="62">
        <f t="shared" si="7"/>
        <v>2494248.6199999996</v>
      </c>
      <c r="AR14" s="72"/>
      <c r="AS14" s="71">
        <f t="shared" si="20"/>
        <v>4</v>
      </c>
      <c r="AT14" s="70" t="str">
        <f t="shared" si="0"/>
        <v>DANI SAMBAS</v>
      </c>
      <c r="AU14" s="60">
        <f t="shared" si="21"/>
        <v>2494248.6199999996</v>
      </c>
      <c r="AV14" s="69"/>
      <c r="AW14" s="80"/>
      <c r="AX14" s="80"/>
      <c r="AY14" s="72"/>
      <c r="AZ14" s="72"/>
    </row>
    <row r="15" s="105" customFormat="1">
      <c r="A15" s="80" t="s">
        <v>263</v>
      </c>
      <c r="B15" s="323"/>
      <c r="C15" s="324" t="s">
        <v>59</v>
      </c>
      <c r="D15" s="80" t="s">
        <v>15</v>
      </c>
      <c r="E15" s="80" t="s">
        <v>17</v>
      </c>
      <c r="F15" s="80"/>
      <c r="G15" s="80"/>
      <c r="H15" s="139">
        <v>0.85</v>
      </c>
      <c r="I15" s="79"/>
      <c r="J15" s="79"/>
      <c r="K15" s="79"/>
      <c r="L15" s="79">
        <f t="shared" si="8"/>
        <v>0</v>
      </c>
      <c r="M15" s="79">
        <f t="shared" si="9"/>
        <v>3524207.1</v>
      </c>
      <c r="N15" s="79">
        <f t="shared" si="1"/>
        <v>0</v>
      </c>
      <c r="O15" s="77">
        <f t="shared" si="2"/>
        <v>0</v>
      </c>
      <c r="P15" s="78">
        <f t="shared" si="10"/>
        <v>219999.144</v>
      </c>
      <c r="Q15" s="78">
        <f t="shared" si="11"/>
        <v>179958.48</v>
      </c>
      <c r="R15" s="78">
        <f t="shared" si="12"/>
        <v>89979.24</v>
      </c>
      <c r="S15" s="77">
        <f>SUM(P15:R15)</f>
        <v>489936.864</v>
      </c>
      <c r="T15" s="77">
        <v>345510.5</v>
      </c>
      <c r="U15" s="79"/>
      <c r="V15" s="79">
        <f t="shared" si="15"/>
        <v>3524207.1</v>
      </c>
      <c r="W15" s="79"/>
      <c r="X15" s="80"/>
      <c r="Y15" s="80">
        <f t="shared" si="16"/>
        <v>5</v>
      </c>
      <c r="Z15" s="76" t="str">
        <f t="shared" si="3"/>
        <v>DWI HARYANTO</v>
      </c>
      <c r="AA15" s="75" t="s">
        <v>216</v>
      </c>
      <c r="AB15" s="74">
        <f t="shared" si="13"/>
        <v>3524207.1</v>
      </c>
      <c r="AC15" s="74">
        <v>89979.24</v>
      </c>
      <c r="AD15" s="74">
        <v>44989.62</v>
      </c>
      <c r="AE15" s="74">
        <v>44989.62</v>
      </c>
      <c r="AF15" s="74">
        <f t="shared" si="4"/>
        <v>3344248.6199999996</v>
      </c>
      <c r="AG15" s="74">
        <f t="shared" si="17"/>
        <v>4875000</v>
      </c>
      <c r="AH15" s="74">
        <f t="shared" si="5"/>
        <v>-1530751.3800000004</v>
      </c>
      <c r="AI15" s="74">
        <f t="shared" si="18"/>
        <v>0</v>
      </c>
      <c r="AJ15" s="73">
        <f t="shared" si="6"/>
        <v>3344248.6199999996</v>
      </c>
      <c r="AK15" s="73"/>
      <c r="AL15" s="73"/>
      <c r="AM15" s="73"/>
      <c r="AN15" s="73">
        <f t="shared" si="19"/>
        <v>0</v>
      </c>
      <c r="AO15" s="73"/>
      <c r="AP15" s="73"/>
      <c r="AQ15" s="62">
        <f t="shared" si="7"/>
        <v>3344248.6199999996</v>
      </c>
      <c r="AR15" s="72"/>
      <c r="AS15" s="71">
        <f t="shared" si="20"/>
        <v>5</v>
      </c>
      <c r="AT15" s="70" t="str">
        <f t="shared" si="0"/>
        <v>DWI HARYANTO</v>
      </c>
      <c r="AU15" s="60">
        <f t="shared" si="21"/>
        <v>3344248.6199999996</v>
      </c>
      <c r="AV15" s="69"/>
      <c r="AW15" s="80"/>
      <c r="AX15" s="80"/>
      <c r="AY15" s="72"/>
      <c r="AZ15" s="72"/>
    </row>
    <row r="16" s="105" customFormat="1">
      <c r="A16" s="80" t="s">
        <v>263</v>
      </c>
      <c r="B16" s="323"/>
      <c r="C16" s="324" t="s">
        <v>265</v>
      </c>
      <c r="D16" s="80" t="s">
        <v>15</v>
      </c>
      <c r="E16" s="80" t="s">
        <v>17</v>
      </c>
      <c r="F16" s="80"/>
      <c r="G16" s="80"/>
      <c r="H16" s="139">
        <v>0.85</v>
      </c>
      <c r="I16" s="79"/>
      <c r="J16" s="79"/>
      <c r="K16" s="79"/>
      <c r="L16" s="79">
        <f t="shared" si="8"/>
        <v>0</v>
      </c>
      <c r="M16" s="79">
        <f t="shared" si="9"/>
        <v>3524207.1</v>
      </c>
      <c r="N16" s="79">
        <f t="shared" si="1"/>
        <v>0</v>
      </c>
      <c r="O16" s="77">
        <f t="shared" si="2"/>
        <v>0</v>
      </c>
      <c r="P16" s="78">
        <f t="shared" si="10"/>
        <v>219999.144</v>
      </c>
      <c r="Q16" s="78">
        <f t="shared" si="11"/>
        <v>179958.48</v>
      </c>
      <c r="R16" s="78">
        <f t="shared" si="12"/>
        <v>89979.24</v>
      </c>
      <c r="S16" s="77">
        <f ref="S16:S23" t="shared" si="22">SUM(P16:R16)</f>
        <v>489936.864</v>
      </c>
      <c r="T16" s="77">
        <v>345510.5</v>
      </c>
      <c r="U16" s="79"/>
      <c r="V16" s="79">
        <f t="shared" si="15"/>
        <v>3524207.1</v>
      </c>
      <c r="W16" s="79"/>
      <c r="X16" s="80"/>
      <c r="Y16" s="80">
        <f t="shared" si="16"/>
        <v>6</v>
      </c>
      <c r="Z16" s="76" t="str">
        <f t="shared" si="3"/>
        <v>JAENURI</v>
      </c>
      <c r="AA16" s="75" t="s">
        <v>216</v>
      </c>
      <c r="AB16" s="74">
        <f t="shared" si="13"/>
        <v>3524207.1</v>
      </c>
      <c r="AC16" s="74">
        <v>89979.24</v>
      </c>
      <c r="AD16" s="74">
        <v>44989.62</v>
      </c>
      <c r="AE16" s="74">
        <v>44989.62</v>
      </c>
      <c r="AF16" s="74">
        <f t="shared" si="4"/>
        <v>3344248.6199999996</v>
      </c>
      <c r="AG16" s="74">
        <f t="shared" si="17"/>
        <v>4875000</v>
      </c>
      <c r="AH16" s="74">
        <f t="shared" si="5"/>
        <v>-1530751.3800000004</v>
      </c>
      <c r="AI16" s="74">
        <f t="shared" si="18"/>
        <v>0</v>
      </c>
      <c r="AJ16" s="73">
        <f t="shared" si="6"/>
        <v>3344248.6199999996</v>
      </c>
      <c r="AK16" s="73"/>
      <c r="AL16" s="73"/>
      <c r="AM16" s="73"/>
      <c r="AN16" s="73">
        <f t="shared" si="19"/>
        <v>0</v>
      </c>
      <c r="AO16" s="73"/>
      <c r="AP16" s="73"/>
      <c r="AQ16" s="62">
        <f t="shared" si="7"/>
        <v>3344248.6199999996</v>
      </c>
      <c r="AR16" s="72"/>
      <c r="AS16" s="71">
        <f t="shared" si="20"/>
        <v>6</v>
      </c>
      <c r="AT16" s="70" t="str">
        <f t="shared" si="0"/>
        <v>JAENURI</v>
      </c>
      <c r="AU16" s="60">
        <f t="shared" si="21"/>
        <v>3344248.6199999996</v>
      </c>
      <c r="AV16" s="69"/>
      <c r="AW16" s="80"/>
      <c r="AX16" s="80"/>
      <c r="AY16" s="72"/>
      <c r="AZ16" s="72"/>
    </row>
    <row r="17" s="105" customFormat="1">
      <c r="A17" s="80" t="s">
        <v>263</v>
      </c>
      <c r="B17" s="323"/>
      <c r="C17" s="324" t="s">
        <v>101</v>
      </c>
      <c r="D17" s="80" t="s">
        <v>15</v>
      </c>
      <c r="E17" s="80" t="s">
        <v>17</v>
      </c>
      <c r="F17" s="80"/>
      <c r="G17" s="80"/>
      <c r="H17" s="139">
        <v>0.85</v>
      </c>
      <c r="I17" s="79"/>
      <c r="J17" s="79"/>
      <c r="K17" s="79"/>
      <c r="L17" s="79">
        <f t="shared" si="8"/>
        <v>0</v>
      </c>
      <c r="M17" s="79">
        <f t="shared" si="9"/>
        <v>3524207.1</v>
      </c>
      <c r="N17" s="79">
        <f t="shared" si="1"/>
        <v>0</v>
      </c>
      <c r="O17" s="77">
        <f t="shared" si="2"/>
        <v>0</v>
      </c>
      <c r="P17" s="78">
        <f t="shared" si="10"/>
        <v>219999.144</v>
      </c>
      <c r="Q17" s="78">
        <f t="shared" si="11"/>
        <v>179958.48</v>
      </c>
      <c r="R17" s="78">
        <f t="shared" si="12"/>
        <v>89979.24</v>
      </c>
      <c r="S17" s="77">
        <f t="shared" si="22"/>
        <v>489936.864</v>
      </c>
      <c r="T17" s="77">
        <v>345510.5</v>
      </c>
      <c r="U17" s="79">
        <v>100000</v>
      </c>
      <c r="V17" s="79">
        <f t="shared" si="15"/>
        <v>3624207.1</v>
      </c>
      <c r="W17" s="79"/>
      <c r="X17" s="80"/>
      <c r="Y17" s="80">
        <f t="shared" si="16"/>
        <v>7</v>
      </c>
      <c r="Z17" s="76" t="str">
        <f t="shared" si="3"/>
        <v>M FIKRI ALFIYANSAH</v>
      </c>
      <c r="AA17" s="75" t="s">
        <v>216</v>
      </c>
      <c r="AB17" s="74">
        <f t="shared" si="13"/>
        <v>3624207.1</v>
      </c>
      <c r="AC17" s="74">
        <v>89979.24</v>
      </c>
      <c r="AD17" s="74">
        <v>44989.62</v>
      </c>
      <c r="AE17" s="74">
        <v>44989.62</v>
      </c>
      <c r="AF17" s="74">
        <f t="shared" si="4"/>
        <v>3444248.6199999996</v>
      </c>
      <c r="AG17" s="74">
        <f t="shared" si="17"/>
        <v>4875000</v>
      </c>
      <c r="AH17" s="74">
        <f t="shared" si="5"/>
        <v>-1430751.3800000004</v>
      </c>
      <c r="AI17" s="74">
        <f t="shared" si="18"/>
        <v>0</v>
      </c>
      <c r="AJ17" s="73">
        <f t="shared" si="6"/>
        <v>3444248.6199999996</v>
      </c>
      <c r="AK17" s="73"/>
      <c r="AL17" s="73"/>
      <c r="AM17" s="73"/>
      <c r="AN17" s="73">
        <f t="shared" si="19"/>
        <v>0</v>
      </c>
      <c r="AO17" s="73"/>
      <c r="AP17" s="73"/>
      <c r="AQ17" s="62">
        <f t="shared" si="7"/>
        <v>3444248.6199999996</v>
      </c>
      <c r="AR17" s="72"/>
      <c r="AS17" s="71">
        <f t="shared" si="20"/>
        <v>7</v>
      </c>
      <c r="AT17" s="70" t="str">
        <f t="shared" si="0"/>
        <v>M FIKRI ALFIYANSAH</v>
      </c>
      <c r="AU17" s="60">
        <f t="shared" si="21"/>
        <v>3444248.6199999996</v>
      </c>
      <c r="AV17" s="69"/>
      <c r="AW17" s="80"/>
      <c r="AX17" s="80"/>
      <c r="AY17" s="72"/>
      <c r="AZ17" s="72"/>
    </row>
    <row r="18" s="105" customFormat="1">
      <c r="A18" s="80" t="s">
        <v>263</v>
      </c>
      <c r="B18" s="323"/>
      <c r="C18" s="324" t="s">
        <v>266</v>
      </c>
      <c r="D18" s="80" t="s">
        <v>15</v>
      </c>
      <c r="E18" s="80" t="s">
        <v>17</v>
      </c>
      <c r="F18" s="80"/>
      <c r="G18" s="80"/>
      <c r="H18" s="139">
        <v>0.85</v>
      </c>
      <c r="I18" s="79"/>
      <c r="J18" s="79"/>
      <c r="K18" s="79"/>
      <c r="L18" s="79">
        <f t="shared" si="8"/>
        <v>0</v>
      </c>
      <c r="M18" s="79">
        <f t="shared" si="9"/>
        <v>3524207.1</v>
      </c>
      <c r="N18" s="79">
        <f t="shared" si="1"/>
        <v>0</v>
      </c>
      <c r="O18" s="77">
        <f t="shared" si="2"/>
        <v>0</v>
      </c>
      <c r="P18" s="78">
        <f t="shared" si="10"/>
        <v>219999.144</v>
      </c>
      <c r="Q18" s="78">
        <f t="shared" si="11"/>
        <v>179958.48</v>
      </c>
      <c r="R18" s="78">
        <f t="shared" si="12"/>
        <v>89979.24</v>
      </c>
      <c r="S18" s="77">
        <f t="shared" si="22"/>
        <v>489936.864</v>
      </c>
      <c r="T18" s="77">
        <v>345510.5</v>
      </c>
      <c r="U18" s="79"/>
      <c r="V18" s="79">
        <f t="shared" si="15"/>
        <v>3524207.1</v>
      </c>
      <c r="W18" s="79"/>
      <c r="X18" s="80"/>
      <c r="Y18" s="80">
        <f t="shared" si="16"/>
        <v>8</v>
      </c>
      <c r="Z18" s="76" t="str">
        <f t="shared" si="3"/>
        <v>MUHTADI</v>
      </c>
      <c r="AA18" s="75" t="s">
        <v>216</v>
      </c>
      <c r="AB18" s="74">
        <f t="shared" si="13"/>
        <v>3524207.1</v>
      </c>
      <c r="AC18" s="74">
        <v>89979.24</v>
      </c>
      <c r="AD18" s="74"/>
      <c r="AE18" s="74">
        <v>44989.62</v>
      </c>
      <c r="AF18" s="74">
        <f t="shared" si="4"/>
        <v>3389238.2399999998</v>
      </c>
      <c r="AG18" s="74">
        <f t="shared" si="17"/>
        <v>4875000</v>
      </c>
      <c r="AH18" s="74">
        <f t="shared" si="5"/>
        <v>-1485761.7600000002</v>
      </c>
      <c r="AI18" s="74">
        <f t="shared" si="18"/>
        <v>0</v>
      </c>
      <c r="AJ18" s="73">
        <f t="shared" si="6"/>
        <v>3389238.2399999998</v>
      </c>
      <c r="AK18" s="73"/>
      <c r="AL18" s="73"/>
      <c r="AM18" s="73"/>
      <c r="AN18" s="73">
        <f t="shared" si="19"/>
        <v>0</v>
      </c>
      <c r="AO18" s="73"/>
      <c r="AP18" s="73"/>
      <c r="AQ18" s="62">
        <f t="shared" si="7"/>
        <v>3389238.2399999998</v>
      </c>
      <c r="AR18" s="72"/>
      <c r="AS18" s="71">
        <f t="shared" si="20"/>
        <v>8</v>
      </c>
      <c r="AT18" s="70" t="str">
        <f t="shared" si="0"/>
        <v>MUHTADI</v>
      </c>
      <c r="AU18" s="60">
        <f t="shared" si="21"/>
        <v>3389238.2399999998</v>
      </c>
      <c r="AV18" s="69"/>
      <c r="AW18" s="80"/>
      <c r="AX18" s="80"/>
      <c r="AY18" s="72"/>
      <c r="AZ18" s="72"/>
    </row>
    <row r="19" s="223" customFormat="1">
      <c r="A19" s="210" t="s">
        <v>263</v>
      </c>
      <c r="B19" s="327"/>
      <c r="C19" s="328" t="s">
        <v>53</v>
      </c>
      <c r="D19" s="210" t="s">
        <v>15</v>
      </c>
      <c r="E19" s="210" t="s">
        <v>17</v>
      </c>
      <c r="F19" s="210"/>
      <c r="G19" s="210"/>
      <c r="H19" s="211">
        <v>0.85</v>
      </c>
      <c r="I19" s="212">
        <v>4</v>
      </c>
      <c r="J19" s="212"/>
      <c r="K19" s="212"/>
      <c r="L19" s="212">
        <f t="shared" si="8"/>
        <v>4</v>
      </c>
      <c r="M19" s="212">
        <f t="shared" si="9"/>
        <v>3524207.1</v>
      </c>
      <c r="N19" s="212">
        <f t="shared" si="1"/>
        <v>0</v>
      </c>
      <c r="O19" s="213">
        <f t="shared" si="2"/>
        <v>0</v>
      </c>
      <c r="P19" s="214">
        <f t="shared" si="10"/>
        <v>219999.144</v>
      </c>
      <c r="Q19" s="214">
        <f t="shared" si="11"/>
        <v>179958.48</v>
      </c>
      <c r="R19" s="214">
        <f t="shared" si="12"/>
        <v>89979.24</v>
      </c>
      <c r="S19" s="213">
        <f t="shared" si="22"/>
        <v>489936.864</v>
      </c>
      <c r="T19" s="213">
        <v>345510.5</v>
      </c>
      <c r="U19" s="212"/>
      <c r="V19" s="212">
        <f t="shared" si="15"/>
        <v>3524207.1</v>
      </c>
      <c r="W19" s="212"/>
      <c r="X19" s="210"/>
      <c r="Y19" s="210">
        <f t="shared" si="16"/>
        <v>9</v>
      </c>
      <c r="Z19" s="215" t="str">
        <f t="shared" si="3"/>
        <v>DEDI MAULANA</v>
      </c>
      <c r="AA19" s="216" t="s">
        <v>216</v>
      </c>
      <c r="AB19" s="217">
        <f t="shared" si="13"/>
        <v>3524207.1</v>
      </c>
      <c r="AC19" s="217">
        <v>89979.24</v>
      </c>
      <c r="AD19" s="217">
        <v>44989.62</v>
      </c>
      <c r="AE19" s="217">
        <v>44989.62</v>
      </c>
      <c r="AF19" s="217">
        <f t="shared" si="4"/>
        <v>3344248.6199999996</v>
      </c>
      <c r="AG19" s="217">
        <f t="shared" si="17"/>
        <v>4875000</v>
      </c>
      <c r="AH19" s="217">
        <f t="shared" si="5"/>
        <v>-1530751.3800000004</v>
      </c>
      <c r="AI19" s="217">
        <f t="shared" si="18"/>
        <v>0</v>
      </c>
      <c r="AJ19" s="218">
        <f t="shared" si="6"/>
        <v>3344248.6199999996</v>
      </c>
      <c r="AK19" s="218"/>
      <c r="AL19" s="218"/>
      <c r="AM19" s="218"/>
      <c r="AN19" s="218">
        <f>+IF(I19+J19+K19&gt;=2,(I19+J19+K19)*140968,0)</f>
        <v>563872</v>
      </c>
      <c r="AO19" s="218"/>
      <c r="AP19" s="218"/>
      <c r="AQ19" s="218">
        <f t="shared" si="7"/>
        <v>2780376.6199999996</v>
      </c>
      <c r="AR19" s="219"/>
      <c r="AS19" s="220">
        <f t="shared" si="20"/>
        <v>9</v>
      </c>
      <c r="AT19" s="221" t="str">
        <f t="shared" si="0"/>
        <v>DEDI MAULANA</v>
      </c>
      <c r="AU19" s="222">
        <f t="shared" si="21"/>
        <v>2780376.6199999996</v>
      </c>
      <c r="AV19" s="216"/>
      <c r="AW19" s="210"/>
      <c r="AX19" s="210"/>
      <c r="AY19" s="219"/>
      <c r="AZ19" s="219"/>
    </row>
    <row r="20" s="105" customFormat="1">
      <c r="A20" s="80" t="s">
        <v>263</v>
      </c>
      <c r="B20" s="323"/>
      <c r="C20" s="324" t="s">
        <v>129</v>
      </c>
      <c r="D20" s="80" t="s">
        <v>15</v>
      </c>
      <c r="E20" s="80" t="s">
        <v>17</v>
      </c>
      <c r="F20" s="80"/>
      <c r="G20" s="80"/>
      <c r="H20" s="139">
        <v>0.85</v>
      </c>
      <c r="I20" s="79"/>
      <c r="J20" s="79"/>
      <c r="K20" s="79"/>
      <c r="L20" s="79">
        <f t="shared" si="8"/>
        <v>0</v>
      </c>
      <c r="M20" s="79">
        <f t="shared" si="9"/>
        <v>3524207.1</v>
      </c>
      <c r="N20" s="79">
        <f t="shared" si="1"/>
        <v>0</v>
      </c>
      <c r="O20" s="77">
        <f t="shared" si="2"/>
        <v>0</v>
      </c>
      <c r="P20" s="78">
        <f t="shared" si="10"/>
        <v>219999.144</v>
      </c>
      <c r="Q20" s="78">
        <f t="shared" si="11"/>
        <v>179958.48</v>
      </c>
      <c r="R20" s="78">
        <f t="shared" si="12"/>
        <v>89979.24</v>
      </c>
      <c r="S20" s="77">
        <f t="shared" si="22"/>
        <v>489936.864</v>
      </c>
      <c r="T20" s="77">
        <v>345510.5</v>
      </c>
      <c r="U20" s="79"/>
      <c r="V20" s="79">
        <f t="shared" si="15"/>
        <v>3524207.1</v>
      </c>
      <c r="W20" s="79"/>
      <c r="X20" s="80"/>
      <c r="Y20" s="80">
        <f t="shared" si="16"/>
        <v>10</v>
      </c>
      <c r="Z20" s="76" t="str">
        <f t="shared" si="3"/>
        <v>SUHENDRA</v>
      </c>
      <c r="AA20" s="75" t="s">
        <v>216</v>
      </c>
      <c r="AB20" s="74">
        <f t="shared" si="13"/>
        <v>3524207.1</v>
      </c>
      <c r="AC20" s="74">
        <v>89979.24</v>
      </c>
      <c r="AD20" s="74">
        <v>44989.62</v>
      </c>
      <c r="AE20" s="74">
        <v>44989.62</v>
      </c>
      <c r="AF20" s="74">
        <f t="shared" si="4"/>
        <v>3344248.6199999996</v>
      </c>
      <c r="AG20" s="74">
        <f t="shared" si="17"/>
        <v>4875000</v>
      </c>
      <c r="AH20" s="74">
        <f t="shared" si="5"/>
        <v>-1530751.3800000004</v>
      </c>
      <c r="AI20" s="74">
        <f t="shared" si="18"/>
        <v>0</v>
      </c>
      <c r="AJ20" s="73">
        <f t="shared" si="6"/>
        <v>3344248.6199999996</v>
      </c>
      <c r="AK20" s="73"/>
      <c r="AL20" s="73"/>
      <c r="AM20" s="73"/>
      <c r="AN20" s="73">
        <f t="shared" si="19"/>
        <v>0</v>
      </c>
      <c r="AO20" s="73"/>
      <c r="AP20" s="73"/>
      <c r="AQ20" s="62">
        <f t="shared" si="7"/>
        <v>3344248.6199999996</v>
      </c>
      <c r="AR20" s="72"/>
      <c r="AS20" s="71">
        <f t="shared" si="20"/>
        <v>10</v>
      </c>
      <c r="AT20" s="70" t="str">
        <f t="shared" si="0"/>
        <v>SUHENDRA</v>
      </c>
      <c r="AU20" s="60">
        <f t="shared" si="21"/>
        <v>3344248.6199999996</v>
      </c>
      <c r="AV20" s="69"/>
      <c r="AW20" s="80"/>
      <c r="AX20" s="80"/>
      <c r="AY20" s="72"/>
      <c r="AZ20" s="72"/>
    </row>
    <row r="21" s="105" customFormat="1">
      <c r="A21" s="80" t="s">
        <v>263</v>
      </c>
      <c r="B21" s="323"/>
      <c r="C21" s="324" t="s">
        <v>133</v>
      </c>
      <c r="D21" s="80" t="s">
        <v>15</v>
      </c>
      <c r="E21" s="80" t="s">
        <v>17</v>
      </c>
      <c r="F21" s="80"/>
      <c r="G21" s="80"/>
      <c r="H21" s="139">
        <v>0.85</v>
      </c>
      <c r="I21" s="79"/>
      <c r="J21" s="79"/>
      <c r="K21" s="79"/>
      <c r="L21" s="79">
        <f t="shared" si="8"/>
        <v>0</v>
      </c>
      <c r="M21" s="79">
        <f t="shared" si="9"/>
        <v>3524207.1</v>
      </c>
      <c r="N21" s="79">
        <f t="shared" si="1"/>
        <v>0</v>
      </c>
      <c r="O21" s="77">
        <f t="shared" si="2"/>
        <v>0</v>
      </c>
      <c r="P21" s="78">
        <f t="shared" si="10"/>
        <v>219999.144</v>
      </c>
      <c r="Q21" s="78">
        <f t="shared" si="11"/>
        <v>179958.48</v>
      </c>
      <c r="R21" s="78">
        <f t="shared" si="12"/>
        <v>89979.24</v>
      </c>
      <c r="S21" s="77">
        <f t="shared" si="22"/>
        <v>489936.864</v>
      </c>
      <c r="T21" s="77">
        <v>345510.5</v>
      </c>
      <c r="U21" s="79"/>
      <c r="V21" s="79">
        <f t="shared" si="15"/>
        <v>3524207.1</v>
      </c>
      <c r="W21" s="79"/>
      <c r="X21" s="80"/>
      <c r="Y21" s="80">
        <f t="shared" si="16"/>
        <v>11</v>
      </c>
      <c r="Z21" s="76" t="str">
        <f t="shared" si="3"/>
        <v>SUPIYARTO</v>
      </c>
      <c r="AA21" s="75" t="s">
        <v>216</v>
      </c>
      <c r="AB21" s="74">
        <f t="shared" si="13"/>
        <v>3524207.1</v>
      </c>
      <c r="AC21" s="74">
        <v>89979.24</v>
      </c>
      <c r="AD21" s="74">
        <v>44989.62</v>
      </c>
      <c r="AE21" s="74">
        <v>44989.62</v>
      </c>
      <c r="AF21" s="74">
        <f t="shared" si="4"/>
        <v>3344248.6199999996</v>
      </c>
      <c r="AG21" s="74">
        <f t="shared" si="17"/>
        <v>4875000</v>
      </c>
      <c r="AH21" s="74">
        <f t="shared" si="5"/>
        <v>-1530751.3800000004</v>
      </c>
      <c r="AI21" s="74">
        <f t="shared" si="18"/>
        <v>0</v>
      </c>
      <c r="AJ21" s="73">
        <f t="shared" si="6"/>
        <v>3344248.6199999996</v>
      </c>
      <c r="AK21" s="73"/>
      <c r="AL21" s="73"/>
      <c r="AM21" s="73"/>
      <c r="AN21" s="73">
        <f t="shared" si="19"/>
        <v>0</v>
      </c>
      <c r="AO21" s="73"/>
      <c r="AP21" s="73"/>
      <c r="AQ21" s="62">
        <f t="shared" si="7"/>
        <v>3344248.6199999996</v>
      </c>
      <c r="AR21" s="72"/>
      <c r="AS21" s="71">
        <f t="shared" si="20"/>
        <v>11</v>
      </c>
      <c r="AT21" s="70" t="str">
        <f t="shared" si="0"/>
        <v>SUPIYARTO</v>
      </c>
      <c r="AU21" s="60">
        <f t="shared" si="21"/>
        <v>3344248.6199999996</v>
      </c>
      <c r="AV21" s="69"/>
      <c r="AW21" s="80"/>
      <c r="AX21" s="80"/>
      <c r="AY21" s="72"/>
      <c r="AZ21" s="72"/>
    </row>
    <row r="22" s="223" customFormat="1">
      <c r="A22" s="210" t="s">
        <v>263</v>
      </c>
      <c r="B22" s="327"/>
      <c r="C22" s="328" t="s">
        <v>22</v>
      </c>
      <c r="D22" s="210" t="s">
        <v>15</v>
      </c>
      <c r="E22" s="210" t="s">
        <v>17</v>
      </c>
      <c r="F22" s="210"/>
      <c r="G22" s="210"/>
      <c r="H22" s="211">
        <v>0.85</v>
      </c>
      <c r="I22" s="212">
        <v>2</v>
      </c>
      <c r="J22" s="212"/>
      <c r="K22" s="212"/>
      <c r="L22" s="212">
        <f t="shared" si="8"/>
        <v>2</v>
      </c>
      <c r="M22" s="212">
        <f t="shared" si="9"/>
        <v>3524207.1</v>
      </c>
      <c r="N22" s="212">
        <f t="shared" si="1"/>
        <v>0</v>
      </c>
      <c r="O22" s="213">
        <f t="shared" si="2"/>
        <v>0</v>
      </c>
      <c r="P22" s="214">
        <f t="shared" si="10"/>
        <v>219999.144</v>
      </c>
      <c r="Q22" s="214">
        <f t="shared" si="11"/>
        <v>179958.48</v>
      </c>
      <c r="R22" s="214">
        <f t="shared" si="12"/>
        <v>89979.24</v>
      </c>
      <c r="S22" s="213">
        <f t="shared" si="22"/>
        <v>489936.864</v>
      </c>
      <c r="T22" s="213">
        <v>345510.5</v>
      </c>
      <c r="U22" s="212"/>
      <c r="V22" s="212">
        <f t="shared" si="15"/>
        <v>3524207.1</v>
      </c>
      <c r="W22" s="212"/>
      <c r="X22" s="210"/>
      <c r="Y22" s="210">
        <f t="shared" si="16"/>
        <v>12</v>
      </c>
      <c r="Z22" s="215" t="str">
        <f t="shared" si="3"/>
        <v>ADE HIDAYAT</v>
      </c>
      <c r="AA22" s="216" t="s">
        <v>216</v>
      </c>
      <c r="AB22" s="217">
        <f t="shared" si="13"/>
        <v>3524207.1</v>
      </c>
      <c r="AC22" s="217">
        <v>89979.24</v>
      </c>
      <c r="AD22" s="217"/>
      <c r="AE22" s="217">
        <v>44989.62</v>
      </c>
      <c r="AF22" s="217">
        <f t="shared" si="4"/>
        <v>3389238.2399999998</v>
      </c>
      <c r="AG22" s="217">
        <f t="shared" si="17"/>
        <v>4875000</v>
      </c>
      <c r="AH22" s="217">
        <f t="shared" si="5"/>
        <v>-1485761.7600000002</v>
      </c>
      <c r="AI22" s="217">
        <f t="shared" si="18"/>
        <v>0</v>
      </c>
      <c r="AJ22" s="218">
        <f t="shared" si="6"/>
        <v>3389238.2399999998</v>
      </c>
      <c r="AK22" s="218"/>
      <c r="AL22" s="218"/>
      <c r="AM22" s="218"/>
      <c r="AN22" s="218">
        <f>+IF(I22+J22+K22&gt;=2,(I22+J22+K22)*140968,0)</f>
        <v>281936</v>
      </c>
      <c r="AO22" s="218"/>
      <c r="AP22" s="218"/>
      <c r="AQ22" s="218">
        <f t="shared" si="7"/>
        <v>3107302.2399999998</v>
      </c>
      <c r="AR22" s="219"/>
      <c r="AS22" s="220">
        <f t="shared" si="20"/>
        <v>12</v>
      </c>
      <c r="AT22" s="221" t="str">
        <f t="shared" si="0"/>
        <v>ADE HIDAYAT</v>
      </c>
      <c r="AU22" s="222">
        <f t="shared" si="21"/>
        <v>3107302.2399999998</v>
      </c>
      <c r="AV22" s="216"/>
      <c r="AW22" s="210"/>
      <c r="AX22" s="210"/>
      <c r="AY22" s="219"/>
      <c r="AZ22" s="219"/>
    </row>
    <row r="23" s="105" customFormat="1">
      <c r="A23" s="80" t="s">
        <v>263</v>
      </c>
      <c r="B23" s="323"/>
      <c r="C23" s="324" t="s">
        <v>148</v>
      </c>
      <c r="D23" s="80" t="s">
        <v>15</v>
      </c>
      <c r="E23" s="80" t="s">
        <v>17</v>
      </c>
      <c r="F23" s="80"/>
      <c r="G23" s="80"/>
      <c r="H23" s="139">
        <v>0.85</v>
      </c>
      <c r="I23" s="79"/>
      <c r="J23" s="79"/>
      <c r="K23" s="79"/>
      <c r="L23" s="79">
        <f t="shared" si="8"/>
        <v>0</v>
      </c>
      <c r="M23" s="79">
        <f t="shared" si="9"/>
        <v>3524207.1</v>
      </c>
      <c r="N23" s="79">
        <f t="shared" si="1"/>
        <v>0</v>
      </c>
      <c r="O23" s="77">
        <f t="shared" si="2"/>
        <v>0</v>
      </c>
      <c r="P23" s="78">
        <f t="shared" si="10"/>
        <v>219999.144</v>
      </c>
      <c r="Q23" s="78">
        <f t="shared" si="11"/>
        <v>179958.48</v>
      </c>
      <c r="R23" s="78">
        <f t="shared" si="12"/>
        <v>89979.24</v>
      </c>
      <c r="S23" s="77">
        <f t="shared" si="22"/>
        <v>489936.864</v>
      </c>
      <c r="T23" s="77">
        <v>345510.5</v>
      </c>
      <c r="U23" s="79"/>
      <c r="V23" s="79">
        <f t="shared" si="15"/>
        <v>3524207.1</v>
      </c>
      <c r="W23" s="79"/>
      <c r="X23" s="80"/>
      <c r="Y23" s="80">
        <f t="shared" si="16"/>
        <v>13</v>
      </c>
      <c r="Z23" s="76" t="str">
        <f t="shared" si="3"/>
        <v>WAWAN GUNAWAN</v>
      </c>
      <c r="AA23" s="75" t="s">
        <v>216</v>
      </c>
      <c r="AB23" s="74">
        <f t="shared" si="13"/>
        <v>3524207.1</v>
      </c>
      <c r="AC23" s="74">
        <v>89979.24</v>
      </c>
      <c r="AD23" s="74"/>
      <c r="AE23" s="74">
        <v>44989.62</v>
      </c>
      <c r="AF23" s="74">
        <f t="shared" si="4"/>
        <v>3389238.2399999998</v>
      </c>
      <c r="AG23" s="74">
        <f t="shared" si="17"/>
        <v>4875000</v>
      </c>
      <c r="AH23" s="74">
        <f t="shared" si="5"/>
        <v>-1485761.7600000002</v>
      </c>
      <c r="AI23" s="74">
        <f t="shared" si="18"/>
        <v>0</v>
      </c>
      <c r="AJ23" s="73">
        <f t="shared" si="6"/>
        <v>3389238.2399999998</v>
      </c>
      <c r="AK23" s="73"/>
      <c r="AL23" s="73"/>
      <c r="AM23" s="73"/>
      <c r="AN23" s="73">
        <f t="shared" si="19"/>
        <v>0</v>
      </c>
      <c r="AO23" s="73"/>
      <c r="AP23" s="73"/>
      <c r="AQ23" s="62">
        <f t="shared" si="7"/>
        <v>3389238.2399999998</v>
      </c>
      <c r="AR23" s="72"/>
      <c r="AS23" s="71">
        <f t="shared" si="20"/>
        <v>13</v>
      </c>
      <c r="AT23" s="70" t="str">
        <f t="shared" si="0"/>
        <v>WAWAN GUNAWAN</v>
      </c>
      <c r="AU23" s="60">
        <f t="shared" si="21"/>
        <v>3389238.2399999998</v>
      </c>
      <c r="AV23" s="69"/>
      <c r="AW23" s="80"/>
      <c r="AX23" s="80"/>
      <c r="AY23" s="72"/>
      <c r="AZ23" s="72"/>
    </row>
    <row r="24" s="105" customFormat="1">
      <c r="A24" s="80" t="s">
        <v>263</v>
      </c>
      <c r="B24" s="323"/>
      <c r="C24" s="324" t="s">
        <v>267</v>
      </c>
      <c r="D24" s="80" t="s">
        <v>15</v>
      </c>
      <c r="E24" s="80" t="s">
        <v>17</v>
      </c>
      <c r="F24" s="80"/>
      <c r="G24" s="80">
        <v>4</v>
      </c>
      <c r="H24" s="139" t="s">
        <v>268</v>
      </c>
      <c r="I24" s="79"/>
      <c r="J24" s="79"/>
      <c r="K24" s="79"/>
      <c r="L24" s="79"/>
      <c r="M24" s="79"/>
      <c r="N24" s="79"/>
      <c r="O24" s="77">
        <f>+(G24*165845)*85%</f>
        <v>563873</v>
      </c>
      <c r="P24" s="78"/>
      <c r="Q24" s="78"/>
      <c r="R24" s="78"/>
      <c r="S24" s="77"/>
      <c r="T24" s="77"/>
      <c r="U24" s="79"/>
      <c r="V24" s="79">
        <f t="shared" si="15"/>
        <v>563873</v>
      </c>
      <c r="W24" s="79"/>
      <c r="X24" s="80"/>
      <c r="Y24" s="80">
        <f t="shared" si="16"/>
        <v>14</v>
      </c>
      <c r="Z24" s="76" t="str">
        <f t="shared" si="3"/>
        <v>TOHANDRI</v>
      </c>
      <c r="AA24" s="75" t="s">
        <v>216</v>
      </c>
      <c r="AB24" s="74">
        <f t="shared" si="13"/>
        <v>563873</v>
      </c>
      <c r="AC24" s="74"/>
      <c r="AD24" s="74"/>
      <c r="AE24" s="74"/>
      <c r="AF24" s="74">
        <f t="shared" si="4"/>
        <v>563873</v>
      </c>
      <c r="AG24" s="74">
        <f t="shared" si="17"/>
        <v>4875000</v>
      </c>
      <c r="AH24" s="74">
        <f t="shared" si="5"/>
        <v>-4311127</v>
      </c>
      <c r="AI24" s="74">
        <f t="shared" si="18"/>
        <v>0</v>
      </c>
      <c r="AJ24" s="73">
        <f t="shared" si="6"/>
        <v>563873</v>
      </c>
      <c r="AK24" s="73"/>
      <c r="AL24" s="73"/>
      <c r="AM24" s="73"/>
      <c r="AN24" s="73">
        <f t="shared" si="19"/>
        <v>0</v>
      </c>
      <c r="AO24" s="73"/>
      <c r="AP24" s="73"/>
      <c r="AQ24" s="62">
        <f t="shared" si="7"/>
        <v>563873</v>
      </c>
      <c r="AR24" s="72"/>
      <c r="AS24" s="71">
        <f t="shared" si="20"/>
        <v>14</v>
      </c>
      <c r="AT24" s="70" t="str">
        <f t="shared" si="0"/>
        <v>TOHANDRI</v>
      </c>
      <c r="AU24" s="60">
        <f t="shared" si="21"/>
        <v>563873</v>
      </c>
      <c r="AV24" s="69"/>
      <c r="AW24" s="80"/>
      <c r="AX24" s="80"/>
      <c r="AY24" s="72"/>
      <c r="AZ24" s="72"/>
    </row>
    <row r="25" s="105" customFormat="1">
      <c r="A25" s="80" t="s">
        <v>263</v>
      </c>
      <c r="B25" s="323"/>
      <c r="C25" s="324" t="s">
        <v>269</v>
      </c>
      <c r="D25" s="80" t="s">
        <v>15</v>
      </c>
      <c r="E25" s="80" t="s">
        <v>17</v>
      </c>
      <c r="F25" s="80"/>
      <c r="G25" s="80">
        <v>4</v>
      </c>
      <c r="H25" s="139" t="s">
        <v>268</v>
      </c>
      <c r="I25" s="79"/>
      <c r="J25" s="79"/>
      <c r="K25" s="79"/>
      <c r="L25" s="79"/>
      <c r="M25" s="79"/>
      <c r="N25" s="79"/>
      <c r="O25" s="77">
        <f>+(G25*165845)*85%</f>
        <v>563873</v>
      </c>
      <c r="P25" s="78"/>
      <c r="Q25" s="78"/>
      <c r="R25" s="78"/>
      <c r="S25" s="77"/>
      <c r="T25" s="77"/>
      <c r="U25" s="79"/>
      <c r="V25" s="79">
        <f t="shared" si="15"/>
        <v>563873</v>
      </c>
      <c r="W25" s="79"/>
      <c r="X25" s="80"/>
      <c r="Y25" s="80">
        <f t="shared" si="16"/>
        <v>15</v>
      </c>
      <c r="Z25" s="76" t="str">
        <f t="shared" si="3"/>
        <v>HENDRIK</v>
      </c>
      <c r="AA25" s="75" t="s">
        <v>216</v>
      </c>
      <c r="AB25" s="74">
        <f t="shared" si="13"/>
        <v>563873</v>
      </c>
      <c r="AC25" s="74"/>
      <c r="AD25" s="74"/>
      <c r="AE25" s="74"/>
      <c r="AF25" s="74">
        <f t="shared" si="4"/>
        <v>563873</v>
      </c>
      <c r="AG25" s="74">
        <f t="shared" si="17"/>
        <v>4875000</v>
      </c>
      <c r="AH25" s="74">
        <f t="shared" si="5"/>
        <v>-4311127</v>
      </c>
      <c r="AI25" s="74">
        <f t="shared" si="18"/>
        <v>0</v>
      </c>
      <c r="AJ25" s="73">
        <f t="shared" si="6"/>
        <v>563873</v>
      </c>
      <c r="AK25" s="73"/>
      <c r="AL25" s="73"/>
      <c r="AM25" s="73"/>
      <c r="AN25" s="73">
        <f t="shared" si="19"/>
        <v>0</v>
      </c>
      <c r="AO25" s="73"/>
      <c r="AP25" s="73"/>
      <c r="AQ25" s="62">
        <f t="shared" si="7"/>
        <v>563873</v>
      </c>
      <c r="AR25" s="72"/>
      <c r="AS25" s="71">
        <f t="shared" si="20"/>
        <v>15</v>
      </c>
      <c r="AT25" s="70" t="str">
        <f t="shared" si="0"/>
        <v>HENDRIK</v>
      </c>
      <c r="AU25" s="60">
        <f t="shared" si="21"/>
        <v>563873</v>
      </c>
      <c r="AV25" s="69"/>
      <c r="AW25" s="80"/>
      <c r="AX25" s="80"/>
      <c r="AY25" s="72"/>
      <c r="AZ25" s="72"/>
    </row>
    <row r="26" s="105" customFormat="1">
      <c r="A26" s="80"/>
      <c r="B26" s="80"/>
      <c r="C26" s="129"/>
      <c r="D26" s="80"/>
      <c r="E26" s="80"/>
      <c r="F26" s="80"/>
      <c r="G26" s="80"/>
      <c r="H26" s="139"/>
      <c r="I26" s="79"/>
      <c r="J26" s="79"/>
      <c r="K26" s="79"/>
      <c r="L26" s="79"/>
      <c r="M26" s="79"/>
      <c r="N26" s="79"/>
      <c r="O26" s="77"/>
      <c r="P26" s="78"/>
      <c r="Q26" s="78"/>
      <c r="R26" s="78"/>
      <c r="S26" s="77"/>
      <c r="T26" s="77"/>
      <c r="U26" s="79"/>
      <c r="V26" s="79"/>
      <c r="W26" s="79"/>
      <c r="X26" s="80"/>
      <c r="Y26" s="80"/>
      <c r="Z26" s="76"/>
      <c r="AA26" s="75"/>
      <c r="AB26" s="74"/>
      <c r="AC26" s="74"/>
      <c r="AD26" s="74"/>
      <c r="AE26" s="74"/>
      <c r="AF26" s="74"/>
      <c r="AG26" s="74"/>
      <c r="AH26" s="74"/>
      <c r="AI26" s="74"/>
      <c r="AJ26" s="73"/>
      <c r="AK26" s="73"/>
      <c r="AL26" s="73"/>
      <c r="AM26" s="73"/>
      <c r="AN26" s="73"/>
      <c r="AO26" s="73"/>
      <c r="AP26" s="73"/>
      <c r="AQ26" s="62"/>
      <c r="AR26" s="72"/>
      <c r="AS26" s="71"/>
      <c r="AT26" s="70"/>
      <c r="AU26" s="60"/>
      <c r="AV26" s="69"/>
      <c r="AW26" s="80"/>
      <c r="AX26" s="80"/>
      <c r="AY26" s="72"/>
      <c r="AZ26" s="72"/>
    </row>
    <row r="27" ht="23.25" customHeight="1" s="170" customFormat="1">
      <c r="A27" s="161"/>
      <c r="B27" s="161"/>
      <c r="C27" s="162"/>
      <c r="D27" s="161"/>
      <c r="E27" s="161"/>
      <c r="F27" s="163"/>
      <c r="G27" s="163"/>
      <c r="H27" s="164"/>
      <c r="I27" s="164"/>
      <c r="J27" s="164"/>
      <c r="K27" s="164"/>
      <c r="L27" s="164">
        <f>SUM(L11:L15)</f>
        <v>0</v>
      </c>
      <c r="M27" s="164">
        <f>SUM(M11:M26)</f>
        <v>45814692.30000001</v>
      </c>
      <c r="N27" s="164">
        <f ref="N27:V27" t="shared" si="23">SUM(N11:N26)</f>
        <v>0</v>
      </c>
      <c r="O27" s="164">
        <f t="shared" si="23"/>
        <v>1127746</v>
      </c>
      <c r="P27" s="164">
        <f t="shared" si="23"/>
        <v>2859988.872</v>
      </c>
      <c r="Q27" s="164">
        <f t="shared" si="23"/>
        <v>2339460.24</v>
      </c>
      <c r="R27" s="164">
        <f t="shared" si="23"/>
        <v>1169730.12</v>
      </c>
      <c r="S27" s="164">
        <f t="shared" si="23"/>
        <v>6369179.232</v>
      </c>
      <c r="T27" s="164">
        <f t="shared" si="23"/>
        <v>4491636.5</v>
      </c>
      <c r="U27" s="164">
        <f t="shared" si="23"/>
        <v>100000</v>
      </c>
      <c r="V27" s="164">
        <f t="shared" si="23"/>
        <v>47042438.30000001</v>
      </c>
      <c r="W27" s="164"/>
      <c r="X27" s="161"/>
      <c r="Y27" s="161"/>
      <c r="Z27" s="165"/>
      <c r="AA27" s="163"/>
      <c r="AB27" s="164">
        <f ref="AB27:AQ27" t="shared" si="24">SUM(AB11:AB26)</f>
        <v>47042438.30000001</v>
      </c>
      <c r="AC27" s="164">
        <f t="shared" si="24"/>
        <v>1169730.12</v>
      </c>
      <c r="AD27" s="164">
        <f t="shared" si="24"/>
        <v>449896.2</v>
      </c>
      <c r="AE27" s="164">
        <f t="shared" si="24"/>
        <v>584865.06</v>
      </c>
      <c r="AF27" s="164">
        <f t="shared" si="24"/>
        <v>44837946.92</v>
      </c>
      <c r="AG27" s="164">
        <f t="shared" si="24"/>
        <v>74625000</v>
      </c>
      <c r="AH27" s="164">
        <f t="shared" si="24"/>
        <v>-29787053.08000001</v>
      </c>
      <c r="AI27" s="164">
        <f t="shared" si="24"/>
        <v>0</v>
      </c>
      <c r="AJ27" s="164">
        <f t="shared" si="24"/>
        <v>44837946.92</v>
      </c>
      <c r="AK27" s="164">
        <f t="shared" si="24"/>
        <v>0</v>
      </c>
      <c r="AL27" s="164">
        <f t="shared" si="24"/>
        <v>0</v>
      </c>
      <c r="AM27" s="164">
        <f t="shared" si="24"/>
        <v>400000</v>
      </c>
      <c r="AN27" s="164">
        <f t="shared" si="24"/>
        <v>845808</v>
      </c>
      <c r="AO27" s="164">
        <f t="shared" si="24"/>
        <v>0</v>
      </c>
      <c r="AP27" s="164">
        <f t="shared" si="24"/>
        <v>750000</v>
      </c>
      <c r="AQ27" s="164">
        <f t="shared" si="24"/>
        <v>42842138.92</v>
      </c>
      <c r="AR27" s="166"/>
      <c r="AS27" s="167"/>
      <c r="AT27" s="168"/>
      <c r="AU27" s="169">
        <f>SUM(AU11:AU26)</f>
        <v>42842138.92</v>
      </c>
      <c r="AV27" s="163"/>
      <c r="AW27" s="161"/>
      <c r="AX27" s="161"/>
      <c r="AY27" s="166"/>
      <c r="AZ27" s="166"/>
    </row>
    <row r="28" ht="21" s="105" customFormat="1">
      <c r="A28" s="80"/>
      <c r="B28" s="80"/>
      <c r="C28" s="89" t="s">
        <v>270</v>
      </c>
      <c r="D28" s="80"/>
      <c r="E28" s="80"/>
      <c r="F28" s="80"/>
      <c r="G28" s="80"/>
      <c r="H28" s="79"/>
      <c r="I28" s="79"/>
      <c r="J28" s="79"/>
      <c r="K28" s="79"/>
      <c r="L28" s="79"/>
      <c r="M28" s="79"/>
      <c r="N28" s="79"/>
      <c r="O28" s="77"/>
      <c r="P28" s="78"/>
      <c r="Q28" s="78"/>
      <c r="R28" s="78"/>
      <c r="S28" s="77"/>
      <c r="T28" s="77"/>
      <c r="U28" s="79"/>
      <c r="V28" s="79"/>
      <c r="W28" s="79"/>
      <c r="X28" s="80"/>
      <c r="Y28" s="80"/>
      <c r="Z28" s="89" t="s">
        <v>270</v>
      </c>
      <c r="AA28" s="75"/>
      <c r="AB28" s="74"/>
      <c r="AC28" s="74"/>
      <c r="AD28" s="74"/>
      <c r="AE28" s="74"/>
      <c r="AF28" s="74"/>
      <c r="AG28" s="74"/>
      <c r="AH28" s="74"/>
      <c r="AI28" s="74"/>
      <c r="AJ28" s="73"/>
      <c r="AK28" s="73"/>
      <c r="AL28" s="73"/>
      <c r="AM28" s="73"/>
      <c r="AN28" s="73">
        <f>+IF(I28+J28&gt;2,I28+J28*165845,0)</f>
        <v>0</v>
      </c>
      <c r="AO28" s="73"/>
      <c r="AP28" s="73"/>
      <c r="AQ28" s="62"/>
      <c r="AR28" s="72"/>
      <c r="AS28" s="71"/>
      <c r="AT28" s="70"/>
      <c r="AU28" s="60"/>
      <c r="AV28" s="69"/>
      <c r="AW28" s="80"/>
      <c r="AX28" s="56"/>
      <c r="AY28" s="72"/>
      <c r="AZ28" s="72"/>
      <c r="BA28" s="72"/>
      <c r="BB28" s="72"/>
    </row>
    <row r="29" s="105" customFormat="1">
      <c r="A29" s="80">
        <v>1</v>
      </c>
      <c r="B29" s="80"/>
      <c r="C29" s="17" t="s">
        <v>41</v>
      </c>
      <c r="D29" s="80" t="s">
        <v>15</v>
      </c>
      <c r="E29" s="80" t="s">
        <v>17</v>
      </c>
      <c r="F29" s="80"/>
      <c r="G29" s="80"/>
      <c r="H29" s="139">
        <v>0.85</v>
      </c>
      <c r="I29" s="16"/>
      <c r="J29" s="16"/>
      <c r="K29" s="16"/>
      <c r="L29" s="79">
        <f t="shared" si="8"/>
        <v>0</v>
      </c>
      <c r="M29" s="79">
        <f ref="M29:M58" t="shared" si="25">4146126*85%</f>
        <v>3524207.1</v>
      </c>
      <c r="N29" s="55">
        <f ref="N29:N67" t="shared" si="26">+F29*100000</f>
        <v>0</v>
      </c>
      <c r="O29" s="77">
        <f ref="O29:O58" t="shared" si="27">+G29*165845</f>
        <v>0</v>
      </c>
      <c r="P29" s="78">
        <f ref="P29:P67" t="shared" si="28">0.0489*4498960</f>
        <v>219999.144</v>
      </c>
      <c r="Q29" s="78">
        <f ref="Q29:Q67" t="shared" si="29">0.04*4498962</f>
        <v>179958.48</v>
      </c>
      <c r="R29" s="78">
        <f ref="R29:R67" t="shared" si="30">4498962*2%</f>
        <v>89979.24</v>
      </c>
      <c r="S29" s="77">
        <f ref="S29:S38" t="shared" si="31">SUM(P29:R29)</f>
        <v>489936.864</v>
      </c>
      <c r="T29" s="77">
        <v>345510.5</v>
      </c>
      <c r="U29" s="79"/>
      <c r="V29" s="79">
        <f t="shared" si="15"/>
        <v>3524207.1</v>
      </c>
      <c r="W29" s="79"/>
      <c r="X29" s="80"/>
      <c r="Y29" s="80">
        <f ref="Y29:Y67" t="shared" si="32">+A29</f>
        <v>1</v>
      </c>
      <c r="Z29" s="76" t="str">
        <f t="shared" si="3"/>
        <v>ATDI YUSHADI</v>
      </c>
      <c r="AA29" s="75" t="s">
        <v>217</v>
      </c>
      <c r="AB29" s="74">
        <f ref="AB29:AB64" t="shared" si="33">+M29+N29+O29+U29</f>
        <v>3524207.1</v>
      </c>
      <c r="AC29" s="74">
        <f ref="AC29:AC67" t="shared" si="34">4498962*2%</f>
        <v>89979.24</v>
      </c>
      <c r="AD29" s="74">
        <f ref="AD29:AE56" t="shared" si="35">4498962*1%</f>
        <v>44989.62</v>
      </c>
      <c r="AE29" s="74">
        <f t="shared" si="35"/>
        <v>44989.62</v>
      </c>
      <c r="AF29" s="74">
        <f t="shared" si="4"/>
        <v>3344248.6199999996</v>
      </c>
      <c r="AG29" s="74">
        <f t="shared" si="17"/>
        <v>5250000</v>
      </c>
      <c r="AH29" s="74">
        <f t="shared" si="5"/>
        <v>-1905751.3800000004</v>
      </c>
      <c r="AI29" s="74">
        <f ref="AI29:AI67" t="shared" si="36">+IF(AH29&gt;0,AH29*5%,0)</f>
        <v>0</v>
      </c>
      <c r="AJ29" s="73">
        <f t="shared" si="6"/>
        <v>3344248.6199999996</v>
      </c>
      <c r="AK29" s="73"/>
      <c r="AL29" s="73"/>
      <c r="AM29" s="73"/>
      <c r="AN29" s="73">
        <f ref="AN29:AN67" t="shared" si="37">+IF(I29+J29+K29&gt;2,(I29+J29+K29)*165845,0)</f>
        <v>0</v>
      </c>
      <c r="AO29" s="73"/>
      <c r="AP29" s="73"/>
      <c r="AQ29" s="62">
        <f t="shared" si="7"/>
        <v>3344248.6199999996</v>
      </c>
      <c r="AR29" s="72"/>
      <c r="AS29" s="71">
        <f>+A29</f>
        <v>1</v>
      </c>
      <c r="AT29" s="70" t="str">
        <f ref="AT29:AT67" t="shared" si="38">+C29</f>
        <v>ATDI YUSHADI</v>
      </c>
      <c r="AU29" s="60">
        <f ref="AU29:AU67" t="shared" si="39">+AQ29</f>
        <v>3344248.6199999996</v>
      </c>
      <c r="AV29" s="69"/>
      <c r="AW29" s="80"/>
      <c r="AX29" s="80"/>
      <c r="AY29" s="72"/>
      <c r="AZ29" s="72"/>
    </row>
    <row r="30" s="105" customFormat="1">
      <c r="A30" s="80">
        <f>+A29+1</f>
        <v>2</v>
      </c>
      <c r="B30" s="80"/>
      <c r="C30" s="19" t="s">
        <v>99</v>
      </c>
      <c r="D30" s="80" t="s">
        <v>15</v>
      </c>
      <c r="E30" s="80" t="s">
        <v>17</v>
      </c>
      <c r="F30" s="80"/>
      <c r="G30" s="80"/>
      <c r="H30" s="139">
        <v>0.85</v>
      </c>
      <c r="I30" s="16"/>
      <c r="J30" s="16"/>
      <c r="K30" s="16"/>
      <c r="L30" s="79">
        <f t="shared" si="8"/>
        <v>0</v>
      </c>
      <c r="M30" s="79">
        <f t="shared" si="25"/>
        <v>3524207.1</v>
      </c>
      <c r="N30" s="55">
        <f t="shared" si="26"/>
        <v>0</v>
      </c>
      <c r="O30" s="77">
        <f t="shared" si="27"/>
        <v>0</v>
      </c>
      <c r="P30" s="78">
        <f t="shared" si="28"/>
        <v>219999.144</v>
      </c>
      <c r="Q30" s="78">
        <f t="shared" si="29"/>
        <v>179958.48</v>
      </c>
      <c r="R30" s="78">
        <f t="shared" si="30"/>
        <v>89979.24</v>
      </c>
      <c r="S30" s="77">
        <f t="shared" si="31"/>
        <v>489936.864</v>
      </c>
      <c r="T30" s="77">
        <v>345510.5</v>
      </c>
      <c r="U30" s="79"/>
      <c r="V30" s="79">
        <f t="shared" si="15"/>
        <v>3524207.1</v>
      </c>
      <c r="W30" s="79"/>
      <c r="X30" s="80"/>
      <c r="Y30" s="80">
        <f t="shared" si="32"/>
        <v>2</v>
      </c>
      <c r="Z30" s="76" t="str">
        <f t="shared" si="3"/>
        <v>KUSNANTO</v>
      </c>
      <c r="AA30" s="75" t="s">
        <v>271</v>
      </c>
      <c r="AB30" s="74">
        <f t="shared" si="33"/>
        <v>3524207.1</v>
      </c>
      <c r="AC30" s="74">
        <f t="shared" si="34"/>
        <v>89979.24</v>
      </c>
      <c r="AD30" s="74">
        <f t="shared" si="35"/>
        <v>44989.62</v>
      </c>
      <c r="AE30" s="74">
        <f t="shared" si="35"/>
        <v>44989.62</v>
      </c>
      <c r="AF30" s="74">
        <f t="shared" si="4"/>
        <v>3344248.6199999996</v>
      </c>
      <c r="AG30" s="74">
        <f t="shared" si="17"/>
        <v>6000000</v>
      </c>
      <c r="AH30" s="74">
        <f t="shared" si="5"/>
        <v>-2655751.3800000004</v>
      </c>
      <c r="AI30" s="74">
        <f t="shared" si="36"/>
        <v>0</v>
      </c>
      <c r="AJ30" s="73">
        <f t="shared" si="6"/>
        <v>3344248.6199999996</v>
      </c>
      <c r="AK30" s="73"/>
      <c r="AL30" s="73"/>
      <c r="AM30" s="73"/>
      <c r="AN30" s="73">
        <f t="shared" si="37"/>
        <v>0</v>
      </c>
      <c r="AO30" s="73"/>
      <c r="AP30" s="73"/>
      <c r="AQ30" s="62">
        <f>+AJ30-AK30-AL30-AM30-AP30-AO30-AN30</f>
        <v>3344248.6199999996</v>
      </c>
      <c r="AR30" s="72"/>
      <c r="AS30" s="71">
        <f ref="AS30:AS67" t="shared" si="40">+A30</f>
        <v>2</v>
      </c>
      <c r="AT30" s="70" t="str">
        <f t="shared" si="38"/>
        <v>KUSNANTO</v>
      </c>
      <c r="AU30" s="60">
        <f t="shared" si="39"/>
        <v>3344248.6199999996</v>
      </c>
      <c r="AV30" s="69"/>
      <c r="AW30" s="80"/>
      <c r="AX30" s="80"/>
      <c r="AY30" s="72"/>
      <c r="AZ30" s="72"/>
    </row>
    <row r="31" s="105" customFormat="1">
      <c r="A31" s="80">
        <f ref="A31:A67" t="shared" si="41">+A30+1</f>
        <v>3</v>
      </c>
      <c r="B31" s="80"/>
      <c r="C31" s="19" t="s">
        <v>272</v>
      </c>
      <c r="D31" s="80" t="s">
        <v>15</v>
      </c>
      <c r="E31" s="80" t="s">
        <v>17</v>
      </c>
      <c r="F31" s="80"/>
      <c r="G31" s="80"/>
      <c r="H31" s="139">
        <v>0.85</v>
      </c>
      <c r="I31" s="16"/>
      <c r="J31" s="16"/>
      <c r="K31" s="16"/>
      <c r="L31" s="79">
        <f t="shared" si="8"/>
        <v>0</v>
      </c>
      <c r="M31" s="79">
        <f t="shared" si="25"/>
        <v>3524207.1</v>
      </c>
      <c r="N31" s="55">
        <f t="shared" si="26"/>
        <v>0</v>
      </c>
      <c r="O31" s="77">
        <f t="shared" si="27"/>
        <v>0</v>
      </c>
      <c r="P31" s="78">
        <f t="shared" si="28"/>
        <v>219999.144</v>
      </c>
      <c r="Q31" s="78">
        <f t="shared" si="29"/>
        <v>179958.48</v>
      </c>
      <c r="R31" s="78">
        <f t="shared" si="30"/>
        <v>89979.24</v>
      </c>
      <c r="S31" s="77">
        <f t="shared" si="31"/>
        <v>489936.864</v>
      </c>
      <c r="T31" s="77">
        <v>345510.5</v>
      </c>
      <c r="U31" s="79"/>
      <c r="V31" s="79">
        <f t="shared" si="15"/>
        <v>3524207.1</v>
      </c>
      <c r="W31" s="79"/>
      <c r="X31" s="80"/>
      <c r="Y31" s="80">
        <f t="shared" si="32"/>
        <v>3</v>
      </c>
      <c r="Z31" s="76" t="str">
        <f t="shared" si="3"/>
        <v>M. AMINULLAH</v>
      </c>
      <c r="AA31" s="75" t="s">
        <v>219</v>
      </c>
      <c r="AB31" s="74">
        <f t="shared" si="33"/>
        <v>3524207.1</v>
      </c>
      <c r="AC31" s="74">
        <f t="shared" si="34"/>
        <v>89979.24</v>
      </c>
      <c r="AD31" s="74">
        <f t="shared" si="35"/>
        <v>44989.62</v>
      </c>
      <c r="AE31" s="74">
        <f t="shared" si="35"/>
        <v>44989.62</v>
      </c>
      <c r="AF31" s="74">
        <f t="shared" si="4"/>
        <v>3344248.6199999996</v>
      </c>
      <c r="AG31" s="74">
        <f t="shared" si="17"/>
        <v>6000000</v>
      </c>
      <c r="AH31" s="74">
        <f t="shared" si="5"/>
        <v>-2655751.3800000004</v>
      </c>
      <c r="AI31" s="74">
        <f t="shared" si="36"/>
        <v>0</v>
      </c>
      <c r="AJ31" s="73">
        <f t="shared" si="6"/>
        <v>3344248.6199999996</v>
      </c>
      <c r="AK31" s="73"/>
      <c r="AL31" s="73"/>
      <c r="AM31" s="73"/>
      <c r="AN31" s="73">
        <f t="shared" si="37"/>
        <v>0</v>
      </c>
      <c r="AO31" s="73"/>
      <c r="AP31" s="73"/>
      <c r="AQ31" s="62">
        <f t="shared" si="7"/>
        <v>3344248.6199999996</v>
      </c>
      <c r="AR31" s="72"/>
      <c r="AS31" s="71">
        <f t="shared" si="40"/>
        <v>3</v>
      </c>
      <c r="AT31" s="70" t="str">
        <f t="shared" si="38"/>
        <v>M. AMINULLAH</v>
      </c>
      <c r="AU31" s="60">
        <f t="shared" si="39"/>
        <v>3344248.6199999996</v>
      </c>
      <c r="AV31" s="69"/>
      <c r="AW31" s="80"/>
      <c r="AX31" s="80"/>
      <c r="AY31" s="72"/>
      <c r="AZ31" s="72"/>
    </row>
    <row r="32" s="105" customFormat="1">
      <c r="A32" s="80">
        <f t="shared" si="41"/>
        <v>4</v>
      </c>
      <c r="B32" s="80"/>
      <c r="C32" s="17" t="s">
        <v>273</v>
      </c>
      <c r="D32" s="80" t="s">
        <v>15</v>
      </c>
      <c r="E32" s="80" t="s">
        <v>17</v>
      </c>
      <c r="F32" s="80"/>
      <c r="G32" s="80"/>
      <c r="H32" s="139">
        <v>0.85</v>
      </c>
      <c r="I32" s="16"/>
      <c r="J32" s="16"/>
      <c r="K32" s="16"/>
      <c r="L32" s="79">
        <f t="shared" si="8"/>
        <v>0</v>
      </c>
      <c r="M32" s="79">
        <f t="shared" si="25"/>
        <v>3524207.1</v>
      </c>
      <c r="N32" s="55">
        <f t="shared" si="26"/>
        <v>0</v>
      </c>
      <c r="O32" s="77">
        <f t="shared" si="27"/>
        <v>0</v>
      </c>
      <c r="P32" s="78">
        <f t="shared" si="28"/>
        <v>219999.144</v>
      </c>
      <c r="Q32" s="78">
        <f t="shared" si="29"/>
        <v>179958.48</v>
      </c>
      <c r="R32" s="78">
        <f t="shared" si="30"/>
        <v>89979.24</v>
      </c>
      <c r="S32" s="77">
        <f t="shared" si="31"/>
        <v>489936.864</v>
      </c>
      <c r="T32" s="77">
        <v>345510.5</v>
      </c>
      <c r="U32" s="79"/>
      <c r="V32" s="79">
        <f t="shared" si="15"/>
        <v>3524207.1</v>
      </c>
      <c r="W32" s="79"/>
      <c r="X32" s="80"/>
      <c r="Y32" s="80">
        <f t="shared" si="32"/>
        <v>4</v>
      </c>
      <c r="Z32" s="76" t="str">
        <f t="shared" si="3"/>
        <v>SAMSUL MUARIFIN</v>
      </c>
      <c r="AA32" s="75" t="s">
        <v>218</v>
      </c>
      <c r="AB32" s="74">
        <f t="shared" si="33"/>
        <v>3524207.1</v>
      </c>
      <c r="AC32" s="74">
        <f t="shared" si="34"/>
        <v>89979.24</v>
      </c>
      <c r="AD32" s="74">
        <f t="shared" si="35"/>
        <v>44989.62</v>
      </c>
      <c r="AE32" s="74">
        <f t="shared" si="35"/>
        <v>44989.62</v>
      </c>
      <c r="AF32" s="74">
        <f t="shared" si="4"/>
        <v>3344248.6199999996</v>
      </c>
      <c r="AG32" s="74">
        <f t="shared" si="17"/>
        <v>5625000</v>
      </c>
      <c r="AH32" s="74">
        <f t="shared" si="5"/>
        <v>-2280751.3800000004</v>
      </c>
      <c r="AI32" s="74">
        <f t="shared" si="36"/>
        <v>0</v>
      </c>
      <c r="AJ32" s="73">
        <f t="shared" si="6"/>
        <v>3344248.6199999996</v>
      </c>
      <c r="AK32" s="73">
        <v>150000</v>
      </c>
      <c r="AL32" s="73"/>
      <c r="AM32" s="73"/>
      <c r="AN32" s="73">
        <f t="shared" si="37"/>
        <v>0</v>
      </c>
      <c r="AO32" s="73"/>
      <c r="AP32" s="73"/>
      <c r="AQ32" s="62">
        <f t="shared" si="7"/>
        <v>3194248.6199999996</v>
      </c>
      <c r="AR32" s="72"/>
      <c r="AS32" s="71">
        <f t="shared" si="40"/>
        <v>4</v>
      </c>
      <c r="AT32" s="70" t="str">
        <f t="shared" si="38"/>
        <v>SAMSUL MUARIFIN</v>
      </c>
      <c r="AU32" s="60">
        <f t="shared" si="39"/>
        <v>3194248.6199999996</v>
      </c>
      <c r="AV32" s="69"/>
      <c r="AW32" s="80"/>
      <c r="AX32" s="80"/>
      <c r="AY32" s="72"/>
      <c r="AZ32" s="72"/>
    </row>
    <row r="33" s="105" customFormat="1">
      <c r="A33" s="80">
        <f t="shared" si="41"/>
        <v>5</v>
      </c>
      <c r="B33" s="80"/>
      <c r="C33" s="17" t="s">
        <v>104</v>
      </c>
      <c r="D33" s="80" t="s">
        <v>15</v>
      </c>
      <c r="E33" s="80" t="s">
        <v>17</v>
      </c>
      <c r="F33" s="80"/>
      <c r="G33" s="80"/>
      <c r="H33" s="139">
        <v>0.85</v>
      </c>
      <c r="I33" s="16"/>
      <c r="J33" s="16"/>
      <c r="K33" s="16"/>
      <c r="L33" s="79">
        <f t="shared" si="8"/>
        <v>0</v>
      </c>
      <c r="M33" s="79">
        <f t="shared" si="25"/>
        <v>3524207.1</v>
      </c>
      <c r="N33" s="55">
        <f t="shared" si="26"/>
        <v>0</v>
      </c>
      <c r="O33" s="77">
        <f t="shared" si="27"/>
        <v>0</v>
      </c>
      <c r="P33" s="78">
        <f t="shared" si="28"/>
        <v>219999.144</v>
      </c>
      <c r="Q33" s="78">
        <f t="shared" si="29"/>
        <v>179958.48</v>
      </c>
      <c r="R33" s="78">
        <f t="shared" si="30"/>
        <v>89979.24</v>
      </c>
      <c r="S33" s="77">
        <f t="shared" si="31"/>
        <v>489936.864</v>
      </c>
      <c r="T33" s="77">
        <v>345510.5</v>
      </c>
      <c r="U33" s="79"/>
      <c r="V33" s="79">
        <f t="shared" si="15"/>
        <v>3524207.1</v>
      </c>
      <c r="W33" s="79"/>
      <c r="X33" s="80"/>
      <c r="Y33" s="80">
        <f t="shared" si="32"/>
        <v>5</v>
      </c>
      <c r="Z33" s="76" t="str">
        <f t="shared" si="3"/>
        <v>MUHAMAD ILYAS</v>
      </c>
      <c r="AA33" s="75" t="s">
        <v>218</v>
      </c>
      <c r="AB33" s="74">
        <f t="shared" si="33"/>
        <v>3524207.1</v>
      </c>
      <c r="AC33" s="74">
        <f t="shared" si="34"/>
        <v>89979.24</v>
      </c>
      <c r="AD33" s="74">
        <f t="shared" si="35"/>
        <v>44989.62</v>
      </c>
      <c r="AE33" s="74">
        <f t="shared" si="35"/>
        <v>44989.62</v>
      </c>
      <c r="AF33" s="74">
        <f t="shared" si="4"/>
        <v>3344248.6199999996</v>
      </c>
      <c r="AG33" s="74">
        <f t="shared" si="17"/>
        <v>5625000</v>
      </c>
      <c r="AH33" s="74">
        <f t="shared" si="5"/>
        <v>-2280751.3800000004</v>
      </c>
      <c r="AI33" s="74">
        <f t="shared" si="36"/>
        <v>0</v>
      </c>
      <c r="AJ33" s="73">
        <f t="shared" si="6"/>
        <v>3344248.6199999996</v>
      </c>
      <c r="AK33" s="73"/>
      <c r="AL33" s="73"/>
      <c r="AM33" s="73"/>
      <c r="AN33" s="73">
        <f t="shared" si="37"/>
        <v>0</v>
      </c>
      <c r="AO33" s="73"/>
      <c r="AP33" s="73"/>
      <c r="AQ33" s="62">
        <f>+AJ33-AK33-AL33-AM33-AP33-AO33-AN33</f>
        <v>3344248.6199999996</v>
      </c>
      <c r="AR33" s="72"/>
      <c r="AS33" s="71">
        <f t="shared" si="40"/>
        <v>5</v>
      </c>
      <c r="AT33" s="70" t="str">
        <f t="shared" si="38"/>
        <v>MUHAMAD ILYAS</v>
      </c>
      <c r="AU33" s="60">
        <f t="shared" si="39"/>
        <v>3344248.6199999996</v>
      </c>
      <c r="AV33" s="69"/>
      <c r="AW33" s="80"/>
      <c r="AX33" s="80"/>
      <c r="AY33" s="72"/>
      <c r="AZ33" s="72"/>
    </row>
    <row r="34" s="51" customFormat="1">
      <c r="A34" s="80">
        <f t="shared" si="41"/>
        <v>6</v>
      </c>
      <c r="B34" s="54"/>
      <c r="C34" s="17" t="s">
        <v>274</v>
      </c>
      <c r="D34" s="54" t="s">
        <v>15</v>
      </c>
      <c r="E34" s="54" t="s">
        <v>17</v>
      </c>
      <c r="F34" s="54"/>
      <c r="G34" s="54"/>
      <c r="H34" s="139">
        <v>0.85</v>
      </c>
      <c r="I34" s="126"/>
      <c r="J34" s="126"/>
      <c r="K34" s="126"/>
      <c r="L34" s="53">
        <f t="shared" si="8"/>
        <v>0</v>
      </c>
      <c r="M34" s="79">
        <f t="shared" si="25"/>
        <v>3524207.1</v>
      </c>
      <c r="N34" s="55">
        <f t="shared" si="26"/>
        <v>0</v>
      </c>
      <c r="O34" s="77">
        <f t="shared" si="27"/>
        <v>0</v>
      </c>
      <c r="P34" s="78">
        <f t="shared" si="28"/>
        <v>219999.144</v>
      </c>
      <c r="Q34" s="78">
        <f t="shared" si="29"/>
        <v>179958.48</v>
      </c>
      <c r="R34" s="78">
        <f t="shared" si="30"/>
        <v>89979.24</v>
      </c>
      <c r="S34" s="77">
        <f t="shared" si="31"/>
        <v>489936.864</v>
      </c>
      <c r="T34" s="77">
        <v>345510.5</v>
      </c>
      <c r="U34" s="79"/>
      <c r="V34" s="53">
        <f t="shared" si="15"/>
        <v>3524207.1</v>
      </c>
      <c r="W34" s="53"/>
      <c r="X34" s="54"/>
      <c r="Y34" s="80">
        <f t="shared" si="32"/>
        <v>6</v>
      </c>
      <c r="Z34" s="76" t="str">
        <f t="shared" si="3"/>
        <v>RASDI SUMASDI</v>
      </c>
      <c r="AA34" s="75" t="s">
        <v>219</v>
      </c>
      <c r="AB34" s="74">
        <f t="shared" si="33"/>
        <v>3524207.1</v>
      </c>
      <c r="AC34" s="74">
        <f t="shared" si="34"/>
        <v>89979.24</v>
      </c>
      <c r="AD34" s="74">
        <f t="shared" si="35"/>
        <v>44989.62</v>
      </c>
      <c r="AE34" s="74">
        <f t="shared" si="35"/>
        <v>44989.62</v>
      </c>
      <c r="AF34" s="74">
        <f t="shared" si="4"/>
        <v>3344248.6199999996</v>
      </c>
      <c r="AG34" s="74">
        <f t="shared" si="17"/>
        <v>6000000</v>
      </c>
      <c r="AH34" s="74">
        <f t="shared" si="5"/>
        <v>-2655751.3800000004</v>
      </c>
      <c r="AI34" s="74">
        <f t="shared" si="36"/>
        <v>0</v>
      </c>
      <c r="AJ34" s="73">
        <f t="shared" si="6"/>
        <v>3344248.6199999996</v>
      </c>
      <c r="AK34" s="73"/>
      <c r="AL34" s="73"/>
      <c r="AM34" s="57"/>
      <c r="AN34" s="73">
        <f t="shared" si="37"/>
        <v>0</v>
      </c>
      <c r="AO34" s="73"/>
      <c r="AP34" s="73"/>
      <c r="AQ34" s="62">
        <f t="shared" si="7"/>
        <v>3344248.6199999996</v>
      </c>
      <c r="AR34" s="72"/>
      <c r="AS34" s="71">
        <f t="shared" si="40"/>
        <v>6</v>
      </c>
      <c r="AT34" s="52" t="str">
        <f t="shared" si="38"/>
        <v>RASDI SUMASDI</v>
      </c>
      <c r="AU34" s="60">
        <f t="shared" si="39"/>
        <v>3344248.6199999996</v>
      </c>
      <c r="AV34" s="69"/>
      <c r="AW34" s="54"/>
      <c r="AX34" s="54"/>
      <c r="AY34" s="72"/>
      <c r="AZ34" s="72"/>
      <c r="BA34" s="105"/>
    </row>
    <row r="35" s="51" customFormat="1">
      <c r="A35" s="68">
        <f t="shared" si="41"/>
        <v>7</v>
      </c>
      <c r="B35" s="68"/>
      <c r="C35" s="17" t="s">
        <v>275</v>
      </c>
      <c r="D35" s="54" t="s">
        <v>15</v>
      </c>
      <c r="E35" s="54" t="s">
        <v>17</v>
      </c>
      <c r="F35" s="54"/>
      <c r="G35" s="54"/>
      <c r="H35" s="139">
        <v>0.85</v>
      </c>
      <c r="I35" s="126"/>
      <c r="J35" s="126"/>
      <c r="K35" s="126"/>
      <c r="L35" s="53">
        <f t="shared" si="8"/>
        <v>0</v>
      </c>
      <c r="M35" s="79">
        <f t="shared" si="25"/>
        <v>3524207.1</v>
      </c>
      <c r="N35" s="55">
        <f t="shared" si="26"/>
        <v>0</v>
      </c>
      <c r="O35" s="77">
        <f t="shared" si="27"/>
        <v>0</v>
      </c>
      <c r="P35" s="78">
        <f t="shared" si="28"/>
        <v>219999.144</v>
      </c>
      <c r="Q35" s="78">
        <f t="shared" si="29"/>
        <v>179958.48</v>
      </c>
      <c r="R35" s="78">
        <f t="shared" si="30"/>
        <v>89979.24</v>
      </c>
      <c r="S35" s="77">
        <f t="shared" si="31"/>
        <v>489936.864</v>
      </c>
      <c r="T35" s="77">
        <v>345510.5</v>
      </c>
      <c r="U35" s="79"/>
      <c r="V35" s="53">
        <f t="shared" si="15"/>
        <v>3524207.1</v>
      </c>
      <c r="W35" s="53"/>
      <c r="X35" s="54"/>
      <c r="Y35" s="80">
        <f t="shared" si="32"/>
        <v>7</v>
      </c>
      <c r="Z35" s="76" t="str">
        <f t="shared" si="3"/>
        <v>ABDUL RAHMAN</v>
      </c>
      <c r="AA35" s="75" t="s">
        <v>219</v>
      </c>
      <c r="AB35" s="74">
        <f t="shared" si="33"/>
        <v>3524207.1</v>
      </c>
      <c r="AC35" s="74">
        <f t="shared" si="34"/>
        <v>89979.24</v>
      </c>
      <c r="AD35" s="74">
        <f t="shared" si="35"/>
        <v>44989.62</v>
      </c>
      <c r="AE35" s="74">
        <f t="shared" si="35"/>
        <v>44989.62</v>
      </c>
      <c r="AF35" s="74">
        <f t="shared" si="4"/>
        <v>3344248.6199999996</v>
      </c>
      <c r="AG35" s="74">
        <f t="shared" si="17"/>
        <v>6000000</v>
      </c>
      <c r="AH35" s="74">
        <f t="shared" si="5"/>
        <v>-2655751.3800000004</v>
      </c>
      <c r="AI35" s="74">
        <f t="shared" si="36"/>
        <v>0</v>
      </c>
      <c r="AJ35" s="73">
        <f t="shared" si="6"/>
        <v>3344248.6199999996</v>
      </c>
      <c r="AK35" s="73"/>
      <c r="AL35" s="73"/>
      <c r="AM35" s="73"/>
      <c r="AN35" s="73">
        <f t="shared" si="37"/>
        <v>0</v>
      </c>
      <c r="AO35" s="73"/>
      <c r="AP35" s="73"/>
      <c r="AQ35" s="62">
        <f t="shared" si="7"/>
        <v>3344248.6199999996</v>
      </c>
      <c r="AR35" s="72"/>
      <c r="AS35" s="71">
        <f t="shared" si="40"/>
        <v>7</v>
      </c>
      <c r="AT35" s="52" t="str">
        <f t="shared" si="38"/>
        <v>ABDUL RAHMAN</v>
      </c>
      <c r="AU35" s="60">
        <f t="shared" si="39"/>
        <v>3344248.6199999996</v>
      </c>
      <c r="AV35" s="69"/>
      <c r="AW35" s="54"/>
      <c r="AX35" s="54"/>
      <c r="AY35" s="72"/>
      <c r="AZ35" s="72"/>
      <c r="BA35" s="105"/>
    </row>
    <row r="36" s="51" customFormat="1">
      <c r="A36" s="80">
        <f t="shared" si="41"/>
        <v>8</v>
      </c>
      <c r="B36" s="54"/>
      <c r="C36" s="17" t="s">
        <v>276</v>
      </c>
      <c r="D36" s="54" t="s">
        <v>15</v>
      </c>
      <c r="E36" s="54" t="s">
        <v>17</v>
      </c>
      <c r="F36" s="54"/>
      <c r="G36" s="54"/>
      <c r="H36" s="139">
        <v>0.85</v>
      </c>
      <c r="I36" s="126"/>
      <c r="J36" s="126"/>
      <c r="K36" s="126"/>
      <c r="L36" s="53">
        <f t="shared" si="8"/>
        <v>0</v>
      </c>
      <c r="M36" s="79">
        <f t="shared" si="25"/>
        <v>3524207.1</v>
      </c>
      <c r="N36" s="55">
        <f t="shared" si="26"/>
        <v>0</v>
      </c>
      <c r="O36" s="77">
        <f t="shared" si="27"/>
        <v>0</v>
      </c>
      <c r="P36" s="78">
        <f t="shared" si="28"/>
        <v>219999.144</v>
      </c>
      <c r="Q36" s="78">
        <f t="shared" si="29"/>
        <v>179958.48</v>
      </c>
      <c r="R36" s="78">
        <f t="shared" si="30"/>
        <v>89979.24</v>
      </c>
      <c r="S36" s="77">
        <f t="shared" si="31"/>
        <v>489936.864</v>
      </c>
      <c r="T36" s="77">
        <v>345510.5</v>
      </c>
      <c r="U36" s="79"/>
      <c r="V36" s="53">
        <f t="shared" si="15"/>
        <v>3524207.1</v>
      </c>
      <c r="W36" s="53"/>
      <c r="X36" s="54"/>
      <c r="Y36" s="80">
        <f t="shared" si="32"/>
        <v>8</v>
      </c>
      <c r="Z36" s="76" t="str">
        <f t="shared" si="3"/>
        <v>HERI PRASETIO</v>
      </c>
      <c r="AA36" s="75" t="s">
        <v>218</v>
      </c>
      <c r="AB36" s="74">
        <f t="shared" si="33"/>
        <v>3524207.1</v>
      </c>
      <c r="AC36" s="74">
        <f t="shared" si="34"/>
        <v>89979.24</v>
      </c>
      <c r="AD36" s="74">
        <f t="shared" si="35"/>
        <v>44989.62</v>
      </c>
      <c r="AE36" s="74">
        <f t="shared" si="35"/>
        <v>44989.62</v>
      </c>
      <c r="AF36" s="74">
        <f t="shared" si="4"/>
        <v>3344248.6199999996</v>
      </c>
      <c r="AG36" s="74">
        <f t="shared" si="17"/>
        <v>5625000</v>
      </c>
      <c r="AH36" s="74">
        <f t="shared" si="5"/>
        <v>-2280751.3800000004</v>
      </c>
      <c r="AI36" s="74">
        <f t="shared" si="36"/>
        <v>0</v>
      </c>
      <c r="AJ36" s="73">
        <f t="shared" si="6"/>
        <v>3344248.6199999996</v>
      </c>
      <c r="AK36" s="73"/>
      <c r="AL36" s="73"/>
      <c r="AM36" s="73"/>
      <c r="AN36" s="73">
        <f t="shared" si="37"/>
        <v>0</v>
      </c>
      <c r="AO36" s="73"/>
      <c r="AP36" s="73"/>
      <c r="AQ36" s="62">
        <f t="shared" si="7"/>
        <v>3344248.6199999996</v>
      </c>
      <c r="AR36" s="72"/>
      <c r="AS36" s="71">
        <f t="shared" si="40"/>
        <v>8</v>
      </c>
      <c r="AT36" s="52" t="str">
        <f t="shared" si="38"/>
        <v>HERI PRASETIO</v>
      </c>
      <c r="AU36" s="60">
        <f t="shared" si="39"/>
        <v>3344248.6199999996</v>
      </c>
      <c r="AV36" s="69"/>
      <c r="AW36" s="54"/>
      <c r="AX36" s="54"/>
      <c r="AY36" s="72"/>
      <c r="AZ36" s="72"/>
    </row>
    <row r="37" s="51" customFormat="1">
      <c r="A37" s="80">
        <f t="shared" si="41"/>
        <v>9</v>
      </c>
      <c r="B37" s="54"/>
      <c r="C37" s="17" t="s">
        <v>136</v>
      </c>
      <c r="D37" s="54" t="s">
        <v>15</v>
      </c>
      <c r="E37" s="54" t="s">
        <v>17</v>
      </c>
      <c r="F37" s="54"/>
      <c r="G37" s="54"/>
      <c r="H37" s="139">
        <v>0.85</v>
      </c>
      <c r="I37" s="126"/>
      <c r="J37" s="126"/>
      <c r="K37" s="126"/>
      <c r="L37" s="53">
        <f t="shared" si="8"/>
        <v>0</v>
      </c>
      <c r="M37" s="79">
        <f t="shared" si="25"/>
        <v>3524207.1</v>
      </c>
      <c r="N37" s="55">
        <f t="shared" si="26"/>
        <v>0</v>
      </c>
      <c r="O37" s="77">
        <f t="shared" si="27"/>
        <v>0</v>
      </c>
      <c r="P37" s="78">
        <f t="shared" si="28"/>
        <v>219999.144</v>
      </c>
      <c r="Q37" s="78">
        <f t="shared" si="29"/>
        <v>179958.48</v>
      </c>
      <c r="R37" s="78">
        <f t="shared" si="30"/>
        <v>89979.24</v>
      </c>
      <c r="S37" s="77">
        <f t="shared" si="31"/>
        <v>489936.864</v>
      </c>
      <c r="T37" s="77">
        <v>345510.5</v>
      </c>
      <c r="U37" s="79"/>
      <c r="V37" s="53">
        <f t="shared" si="15"/>
        <v>3524207.1</v>
      </c>
      <c r="W37" s="53"/>
      <c r="X37" s="54"/>
      <c r="Y37" s="80">
        <f t="shared" si="32"/>
        <v>9</v>
      </c>
      <c r="Z37" s="76" t="str">
        <f t="shared" si="3"/>
        <v>SURYANA</v>
      </c>
      <c r="AA37" s="75" t="s">
        <v>219</v>
      </c>
      <c r="AB37" s="74">
        <f t="shared" si="33"/>
        <v>3524207.1</v>
      </c>
      <c r="AC37" s="74">
        <f t="shared" si="34"/>
        <v>89979.24</v>
      </c>
      <c r="AD37" s="74">
        <f t="shared" si="35"/>
        <v>44989.62</v>
      </c>
      <c r="AE37" s="74">
        <f t="shared" si="35"/>
        <v>44989.62</v>
      </c>
      <c r="AF37" s="74">
        <f t="shared" si="4"/>
        <v>3344248.6199999996</v>
      </c>
      <c r="AG37" s="74">
        <f t="shared" si="17"/>
        <v>6000000</v>
      </c>
      <c r="AH37" s="74">
        <f t="shared" si="5"/>
        <v>-2655751.3800000004</v>
      </c>
      <c r="AI37" s="74">
        <f t="shared" si="36"/>
        <v>0</v>
      </c>
      <c r="AJ37" s="73">
        <f t="shared" si="6"/>
        <v>3344248.6199999996</v>
      </c>
      <c r="AK37" s="73"/>
      <c r="AL37" s="73"/>
      <c r="AM37" s="73"/>
      <c r="AN37" s="73">
        <f t="shared" si="37"/>
        <v>0</v>
      </c>
      <c r="AO37" s="73"/>
      <c r="AP37" s="73"/>
      <c r="AQ37" s="62">
        <f t="shared" si="7"/>
        <v>3344248.6199999996</v>
      </c>
      <c r="AR37" s="72"/>
      <c r="AS37" s="71">
        <f t="shared" si="40"/>
        <v>9</v>
      </c>
      <c r="AT37" s="52" t="str">
        <f t="shared" si="38"/>
        <v>SURYANA</v>
      </c>
      <c r="AU37" s="60">
        <f t="shared" si="39"/>
        <v>3344248.6199999996</v>
      </c>
      <c r="AV37" s="69"/>
      <c r="AW37" s="54"/>
      <c r="AX37" s="54"/>
      <c r="AY37" s="72"/>
      <c r="AZ37" s="72"/>
    </row>
    <row r="38" s="51" customFormat="1">
      <c r="A38" s="80">
        <f t="shared" si="41"/>
        <v>10</v>
      </c>
      <c r="B38" s="54"/>
      <c r="C38" s="17" t="s">
        <v>277</v>
      </c>
      <c r="D38" s="54" t="s">
        <v>15</v>
      </c>
      <c r="E38" s="54" t="s">
        <v>17</v>
      </c>
      <c r="F38" s="54"/>
      <c r="G38" s="54"/>
      <c r="H38" s="139">
        <v>0.85</v>
      </c>
      <c r="I38" s="126"/>
      <c r="J38" s="126"/>
      <c r="K38" s="126"/>
      <c r="L38" s="53">
        <f t="shared" si="8"/>
        <v>0</v>
      </c>
      <c r="M38" s="79">
        <f t="shared" si="25"/>
        <v>3524207.1</v>
      </c>
      <c r="N38" s="55">
        <f t="shared" si="26"/>
        <v>0</v>
      </c>
      <c r="O38" s="77">
        <f t="shared" si="27"/>
        <v>0</v>
      </c>
      <c r="P38" s="78">
        <f t="shared" si="28"/>
        <v>219999.144</v>
      </c>
      <c r="Q38" s="78">
        <f t="shared" si="29"/>
        <v>179958.48</v>
      </c>
      <c r="R38" s="78">
        <f t="shared" si="30"/>
        <v>89979.24</v>
      </c>
      <c r="S38" s="77">
        <f t="shared" si="31"/>
        <v>489936.864</v>
      </c>
      <c r="T38" s="77">
        <v>345510.5</v>
      </c>
      <c r="U38" s="79"/>
      <c r="V38" s="53">
        <f t="shared" si="15"/>
        <v>3524207.1</v>
      </c>
      <c r="W38" s="53"/>
      <c r="X38" s="54"/>
      <c r="Y38" s="80">
        <f t="shared" si="32"/>
        <v>10</v>
      </c>
      <c r="Z38" s="76" t="str">
        <f t="shared" si="3"/>
        <v>RANO KARNO</v>
      </c>
      <c r="AA38" s="75" t="s">
        <v>215</v>
      </c>
      <c r="AB38" s="74">
        <f t="shared" si="33"/>
        <v>3524207.1</v>
      </c>
      <c r="AC38" s="74">
        <f t="shared" si="34"/>
        <v>89979.24</v>
      </c>
      <c r="AD38" s="74">
        <f t="shared" si="35"/>
        <v>44989.62</v>
      </c>
      <c r="AE38" s="74">
        <f t="shared" si="35"/>
        <v>44989.62</v>
      </c>
      <c r="AF38" s="74">
        <f t="shared" si="4"/>
        <v>3344248.6199999996</v>
      </c>
      <c r="AG38" s="74">
        <f t="shared" si="17"/>
        <v>4500000</v>
      </c>
      <c r="AH38" s="74">
        <f t="shared" si="5"/>
        <v>-1155751.3800000004</v>
      </c>
      <c r="AI38" s="74">
        <f t="shared" si="36"/>
        <v>0</v>
      </c>
      <c r="AJ38" s="73">
        <f t="shared" si="6"/>
        <v>3344248.6199999996</v>
      </c>
      <c r="AK38" s="73"/>
      <c r="AL38" s="73"/>
      <c r="AM38" s="73">
        <v>400000</v>
      </c>
      <c r="AN38" s="73">
        <f t="shared" si="37"/>
        <v>0</v>
      </c>
      <c r="AO38" s="73"/>
      <c r="AP38" s="73">
        <v>350000</v>
      </c>
      <c r="AQ38" s="62">
        <f t="shared" si="7"/>
        <v>2594248.6199999996</v>
      </c>
      <c r="AR38" s="72"/>
      <c r="AS38" s="71">
        <f t="shared" si="40"/>
        <v>10</v>
      </c>
      <c r="AT38" s="52" t="str">
        <f t="shared" si="38"/>
        <v>RANO KARNO</v>
      </c>
      <c r="AU38" s="60">
        <f t="shared" si="39"/>
        <v>2594248.6199999996</v>
      </c>
      <c r="AV38" s="69"/>
      <c r="AW38" s="54"/>
      <c r="AX38" s="54"/>
      <c r="AY38" s="72"/>
      <c r="AZ38" s="72"/>
    </row>
    <row r="39" ht="15.75" customHeight="1" s="51" customFormat="1">
      <c r="A39" s="80">
        <f t="shared" si="41"/>
        <v>11</v>
      </c>
      <c r="B39" s="54"/>
      <c r="C39" s="17" t="s">
        <v>124</v>
      </c>
      <c r="D39" s="54" t="s">
        <v>15</v>
      </c>
      <c r="E39" s="54" t="s">
        <v>17</v>
      </c>
      <c r="F39" s="54"/>
      <c r="G39" s="54"/>
      <c r="H39" s="139">
        <v>0.85</v>
      </c>
      <c r="I39" s="126"/>
      <c r="J39" s="126"/>
      <c r="K39" s="126"/>
      <c r="L39" s="53">
        <f>SUM(I39:K39)</f>
        <v>0</v>
      </c>
      <c r="M39" s="79">
        <f t="shared" si="25"/>
        <v>3524207.1</v>
      </c>
      <c r="N39" s="55">
        <f t="shared" si="26"/>
        <v>0</v>
      </c>
      <c r="O39" s="77">
        <f t="shared" si="27"/>
        <v>0</v>
      </c>
      <c r="P39" s="78">
        <f t="shared" si="28"/>
        <v>219999.144</v>
      </c>
      <c r="Q39" s="78">
        <f t="shared" si="29"/>
        <v>179958.48</v>
      </c>
      <c r="R39" s="78">
        <f t="shared" si="30"/>
        <v>89979.24</v>
      </c>
      <c r="S39" s="77">
        <f ref="S39:S52" t="shared" si="42">SUM(P39:R39)</f>
        <v>489936.864</v>
      </c>
      <c r="T39" s="77">
        <v>345510.5</v>
      </c>
      <c r="U39" s="79"/>
      <c r="V39" s="53">
        <f t="shared" si="15"/>
        <v>3524207.1</v>
      </c>
      <c r="W39" s="53"/>
      <c r="X39" s="54"/>
      <c r="Y39" s="80">
        <f t="shared" si="32"/>
        <v>11</v>
      </c>
      <c r="Z39" s="76" t="str">
        <f t="shared" si="3"/>
        <v>SE SURYADI</v>
      </c>
      <c r="AA39" s="75" t="s">
        <v>215</v>
      </c>
      <c r="AB39" s="74">
        <f t="shared" si="33"/>
        <v>3524207.1</v>
      </c>
      <c r="AC39" s="74">
        <f t="shared" si="34"/>
        <v>89979.24</v>
      </c>
      <c r="AD39" s="74">
        <f t="shared" si="35"/>
        <v>44989.62</v>
      </c>
      <c r="AE39" s="74">
        <f t="shared" si="35"/>
        <v>44989.62</v>
      </c>
      <c r="AF39" s="74">
        <f t="shared" si="4"/>
        <v>3344248.6199999996</v>
      </c>
      <c r="AG39" s="74">
        <f t="shared" si="17"/>
        <v>4500000</v>
      </c>
      <c r="AH39" s="74">
        <f t="shared" si="5"/>
        <v>-1155751.3800000004</v>
      </c>
      <c r="AI39" s="74">
        <f t="shared" si="36"/>
        <v>0</v>
      </c>
      <c r="AJ39" s="73">
        <f t="shared" si="6"/>
        <v>3344248.6199999996</v>
      </c>
      <c r="AK39" s="73"/>
      <c r="AL39" s="73"/>
      <c r="AM39" s="73">
        <v>400000</v>
      </c>
      <c r="AN39" s="73">
        <f t="shared" si="37"/>
        <v>0</v>
      </c>
      <c r="AO39" s="73"/>
      <c r="AP39" s="73"/>
      <c r="AQ39" s="62">
        <f>+AJ39-AK39-AL39-AM39-AP39-AO39-AN39</f>
        <v>2944248.6199999996</v>
      </c>
      <c r="AR39" s="72"/>
      <c r="AS39" s="71">
        <f t="shared" si="40"/>
        <v>11</v>
      </c>
      <c r="AT39" s="52" t="str">
        <f t="shared" si="38"/>
        <v>SE SURYADI</v>
      </c>
      <c r="AU39" s="60">
        <f t="shared" si="39"/>
        <v>2944248.6199999996</v>
      </c>
      <c r="AV39" s="69"/>
      <c r="AW39" s="54"/>
      <c r="AX39" s="54"/>
      <c r="AY39" s="72"/>
      <c r="AZ39" s="72"/>
    </row>
    <row r="40" ht="15.75" customHeight="1" s="48" customFormat="1">
      <c r="A40" s="80">
        <f t="shared" si="41"/>
        <v>12</v>
      </c>
      <c r="B40" s="50"/>
      <c r="C40" s="107" t="s">
        <v>89</v>
      </c>
      <c r="D40" s="80" t="s">
        <v>15</v>
      </c>
      <c r="E40" s="80" t="s">
        <v>17</v>
      </c>
      <c r="F40" s="49"/>
      <c r="G40" s="49"/>
      <c r="H40" s="139">
        <v>0.85</v>
      </c>
      <c r="I40" s="126"/>
      <c r="J40" s="126"/>
      <c r="K40" s="126"/>
      <c r="L40" s="53">
        <f>SUM(I40:K40)</f>
        <v>0</v>
      </c>
      <c r="M40" s="79">
        <f t="shared" si="25"/>
        <v>3524207.1</v>
      </c>
      <c r="N40" s="55">
        <f t="shared" si="26"/>
        <v>0</v>
      </c>
      <c r="O40" s="77">
        <f t="shared" si="27"/>
        <v>0</v>
      </c>
      <c r="P40" s="78">
        <f t="shared" si="28"/>
        <v>219999.144</v>
      </c>
      <c r="Q40" s="78">
        <f t="shared" si="29"/>
        <v>179958.48</v>
      </c>
      <c r="R40" s="78">
        <f t="shared" si="30"/>
        <v>89979.24</v>
      </c>
      <c r="S40" s="77">
        <f t="shared" si="42"/>
        <v>489936.864</v>
      </c>
      <c r="T40" s="77">
        <v>345510.5</v>
      </c>
      <c r="U40" s="79"/>
      <c r="V40" s="53">
        <f t="shared" si="15"/>
        <v>3524207.1</v>
      </c>
      <c r="W40" s="53"/>
      <c r="X40" s="54"/>
      <c r="Y40" s="80">
        <f t="shared" si="32"/>
        <v>12</v>
      </c>
      <c r="Z40" s="76" t="str">
        <f t="shared" si="3"/>
        <v>IRWAN SATYANTO SIMATUPANG</v>
      </c>
      <c r="AA40" s="75" t="s">
        <v>215</v>
      </c>
      <c r="AB40" s="74">
        <f t="shared" si="33"/>
        <v>3524207.1</v>
      </c>
      <c r="AC40" s="74">
        <f t="shared" si="34"/>
        <v>89979.24</v>
      </c>
      <c r="AD40" s="74">
        <f t="shared" si="35"/>
        <v>44989.62</v>
      </c>
      <c r="AE40" s="74">
        <f t="shared" si="35"/>
        <v>44989.62</v>
      </c>
      <c r="AF40" s="74">
        <f t="shared" si="4"/>
        <v>3344248.6199999996</v>
      </c>
      <c r="AG40" s="74">
        <f t="shared" si="17"/>
        <v>4500000</v>
      </c>
      <c r="AH40" s="74">
        <f t="shared" si="5"/>
        <v>-1155751.3800000004</v>
      </c>
      <c r="AI40" s="74">
        <f t="shared" si="36"/>
        <v>0</v>
      </c>
      <c r="AJ40" s="73">
        <f t="shared" si="6"/>
        <v>3344248.6199999996</v>
      </c>
      <c r="AK40" s="73"/>
      <c r="AL40" s="73"/>
      <c r="AM40" s="73">
        <v>400000</v>
      </c>
      <c r="AN40" s="73">
        <f t="shared" si="37"/>
        <v>0</v>
      </c>
      <c r="AO40" s="73"/>
      <c r="AP40" s="73"/>
      <c r="AQ40" s="62">
        <f t="shared" si="7"/>
        <v>2944248.6199999996</v>
      </c>
      <c r="AR40" s="72"/>
      <c r="AS40" s="71">
        <f t="shared" si="40"/>
        <v>12</v>
      </c>
      <c r="AT40" s="52" t="str">
        <f t="shared" si="38"/>
        <v>IRWAN SATYANTO SIMATUPANG</v>
      </c>
      <c r="AU40" s="60">
        <f t="shared" si="39"/>
        <v>2944248.6199999996</v>
      </c>
      <c r="AV40" s="69"/>
      <c r="AW40" s="54"/>
      <c r="AX40" s="54"/>
      <c r="AY40" s="72"/>
      <c r="AZ40" s="72"/>
    </row>
    <row r="41" ht="15.75" customHeight="1" s="51" customFormat="1">
      <c r="A41" s="80">
        <f t="shared" si="41"/>
        <v>13</v>
      </c>
      <c r="B41" s="54"/>
      <c r="C41" s="26" t="s">
        <v>57</v>
      </c>
      <c r="D41" s="54" t="s">
        <v>15</v>
      </c>
      <c r="E41" s="54" t="s">
        <v>17</v>
      </c>
      <c r="F41" s="54"/>
      <c r="G41" s="54"/>
      <c r="H41" s="139">
        <v>0.85</v>
      </c>
      <c r="I41" s="126"/>
      <c r="J41" s="126"/>
      <c r="K41" s="126"/>
      <c r="L41" s="53">
        <f ref="L41:L55" t="shared" si="43">SUM(I41:K41)</f>
        <v>0</v>
      </c>
      <c r="M41" s="79">
        <f t="shared" si="25"/>
        <v>3524207.1</v>
      </c>
      <c r="N41" s="55">
        <f t="shared" si="26"/>
        <v>0</v>
      </c>
      <c r="O41" s="77">
        <f t="shared" si="27"/>
        <v>0</v>
      </c>
      <c r="P41" s="78">
        <f t="shared" si="28"/>
        <v>219999.144</v>
      </c>
      <c r="Q41" s="78">
        <f t="shared" si="29"/>
        <v>179958.48</v>
      </c>
      <c r="R41" s="78">
        <f t="shared" si="30"/>
        <v>89979.24</v>
      </c>
      <c r="S41" s="77">
        <f t="shared" si="42"/>
        <v>489936.864</v>
      </c>
      <c r="T41" s="77">
        <v>345510.5</v>
      </c>
      <c r="U41" s="79"/>
      <c r="V41" s="53">
        <f t="shared" si="15"/>
        <v>3524207.1</v>
      </c>
      <c r="W41" s="53"/>
      <c r="X41" s="54"/>
      <c r="Y41" s="80">
        <f t="shared" si="32"/>
        <v>13</v>
      </c>
      <c r="Z41" s="76" t="str">
        <f t="shared" si="3"/>
        <v>DIAN JUHYANDI</v>
      </c>
      <c r="AA41" s="75" t="s">
        <v>215</v>
      </c>
      <c r="AB41" s="74">
        <f t="shared" si="33"/>
        <v>3524207.1</v>
      </c>
      <c r="AC41" s="74">
        <f t="shared" si="34"/>
        <v>89979.24</v>
      </c>
      <c r="AD41" s="74">
        <f t="shared" si="35"/>
        <v>44989.62</v>
      </c>
      <c r="AE41" s="74">
        <f t="shared" si="35"/>
        <v>44989.62</v>
      </c>
      <c r="AF41" s="74">
        <f t="shared" si="4"/>
        <v>3344248.6199999996</v>
      </c>
      <c r="AG41" s="74">
        <f t="shared" si="17"/>
        <v>4500000</v>
      </c>
      <c r="AH41" s="74">
        <f t="shared" si="5"/>
        <v>-1155751.3800000004</v>
      </c>
      <c r="AI41" s="74">
        <f t="shared" si="36"/>
        <v>0</v>
      </c>
      <c r="AJ41" s="73">
        <f t="shared" si="6"/>
        <v>3344248.6199999996</v>
      </c>
      <c r="AK41" s="73"/>
      <c r="AL41" s="73"/>
      <c r="AM41" s="57">
        <v>400000</v>
      </c>
      <c r="AN41" s="73">
        <f t="shared" si="37"/>
        <v>0</v>
      </c>
      <c r="AO41" s="73"/>
      <c r="AP41" s="73"/>
      <c r="AQ41" s="62">
        <f t="shared" si="7"/>
        <v>2944248.6199999996</v>
      </c>
      <c r="AR41" s="72"/>
      <c r="AS41" s="71">
        <f t="shared" si="40"/>
        <v>13</v>
      </c>
      <c r="AT41" s="52" t="str">
        <f t="shared" si="38"/>
        <v>DIAN JUHYANDI</v>
      </c>
      <c r="AU41" s="60">
        <f t="shared" si="39"/>
        <v>2944248.6199999996</v>
      </c>
      <c r="AV41" s="69"/>
      <c r="AW41" s="54"/>
      <c r="AX41" s="54"/>
      <c r="AY41" s="72"/>
      <c r="AZ41" s="72"/>
    </row>
    <row r="42" ht="15.75" customHeight="1" s="51" customFormat="1">
      <c r="A42" s="80">
        <f>+A41+1</f>
        <v>14</v>
      </c>
      <c r="B42" s="54"/>
      <c r="C42" s="17" t="s">
        <v>278</v>
      </c>
      <c r="D42" s="54" t="s">
        <v>15</v>
      </c>
      <c r="E42" s="54" t="s">
        <v>17</v>
      </c>
      <c r="F42" s="54"/>
      <c r="G42" s="54"/>
      <c r="H42" s="139">
        <v>0.85</v>
      </c>
      <c r="I42" s="126"/>
      <c r="J42" s="126"/>
      <c r="K42" s="126"/>
      <c r="L42" s="53">
        <f t="shared" si="43"/>
        <v>0</v>
      </c>
      <c r="M42" s="79">
        <f t="shared" si="25"/>
        <v>3524207.1</v>
      </c>
      <c r="N42" s="55">
        <f t="shared" si="26"/>
        <v>0</v>
      </c>
      <c r="O42" s="77">
        <f t="shared" si="27"/>
        <v>0</v>
      </c>
      <c r="P42" s="78">
        <f t="shared" si="28"/>
        <v>219999.144</v>
      </c>
      <c r="Q42" s="78">
        <f t="shared" si="29"/>
        <v>179958.48</v>
      </c>
      <c r="R42" s="78">
        <f t="shared" si="30"/>
        <v>89979.24</v>
      </c>
      <c r="S42" s="77">
        <f t="shared" si="42"/>
        <v>489936.864</v>
      </c>
      <c r="T42" s="77">
        <v>345510.5</v>
      </c>
      <c r="U42" s="79"/>
      <c r="V42" s="53">
        <f t="shared" si="15"/>
        <v>3524207.1</v>
      </c>
      <c r="W42" s="53"/>
      <c r="X42" s="54"/>
      <c r="Y42" s="80">
        <f t="shared" si="32"/>
        <v>14</v>
      </c>
      <c r="Z42" s="76" t="str">
        <f t="shared" si="3"/>
        <v>AHMAD</v>
      </c>
      <c r="AA42" s="75" t="s">
        <v>219</v>
      </c>
      <c r="AB42" s="74">
        <f t="shared" si="33"/>
        <v>3524207.1</v>
      </c>
      <c r="AC42" s="74">
        <f t="shared" si="34"/>
        <v>89979.24</v>
      </c>
      <c r="AD42" s="74">
        <f t="shared" si="35"/>
        <v>44989.62</v>
      </c>
      <c r="AE42" s="74">
        <f t="shared" si="35"/>
        <v>44989.62</v>
      </c>
      <c r="AF42" s="74">
        <f t="shared" si="4"/>
        <v>3344248.6199999996</v>
      </c>
      <c r="AG42" s="74">
        <f t="shared" si="17"/>
        <v>6000000</v>
      </c>
      <c r="AH42" s="74">
        <f t="shared" si="5"/>
        <v>-2655751.3800000004</v>
      </c>
      <c r="AI42" s="74">
        <f t="shared" si="36"/>
        <v>0</v>
      </c>
      <c r="AJ42" s="73">
        <f t="shared" si="6"/>
        <v>3344248.6199999996</v>
      </c>
      <c r="AK42" s="57"/>
      <c r="AL42" s="73"/>
      <c r="AM42" s="73">
        <v>400000</v>
      </c>
      <c r="AN42" s="73">
        <f t="shared" si="37"/>
        <v>0</v>
      </c>
      <c r="AO42" s="73"/>
      <c r="AP42" s="73"/>
      <c r="AQ42" s="62">
        <f t="shared" si="7"/>
        <v>2944248.6199999996</v>
      </c>
      <c r="AR42" s="72"/>
      <c r="AS42" s="71">
        <f t="shared" si="40"/>
        <v>14</v>
      </c>
      <c r="AT42" s="52" t="str">
        <f t="shared" si="38"/>
        <v>AHMAD</v>
      </c>
      <c r="AU42" s="60">
        <f t="shared" si="39"/>
        <v>2944248.6199999996</v>
      </c>
      <c r="AV42" s="69"/>
      <c r="AW42" s="54"/>
      <c r="AX42" s="54"/>
      <c r="AY42" s="72"/>
      <c r="AZ42" s="72"/>
    </row>
    <row r="43" ht="15.75" customHeight="1" s="51" customFormat="1">
      <c r="A43" s="80">
        <f t="shared" si="41"/>
        <v>15</v>
      </c>
      <c r="B43" s="47"/>
      <c r="C43" s="17" t="s">
        <v>131</v>
      </c>
      <c r="D43" s="47" t="s">
        <v>15</v>
      </c>
      <c r="E43" s="47" t="s">
        <v>17</v>
      </c>
      <c r="F43" s="47"/>
      <c r="G43" s="47"/>
      <c r="H43" s="139">
        <v>0.85</v>
      </c>
      <c r="I43" s="125"/>
      <c r="J43" s="125"/>
      <c r="K43" s="125"/>
      <c r="L43" s="53">
        <f t="shared" si="43"/>
        <v>0</v>
      </c>
      <c r="M43" s="79">
        <f t="shared" si="25"/>
        <v>3524207.1</v>
      </c>
      <c r="N43" s="55">
        <f t="shared" si="26"/>
        <v>0</v>
      </c>
      <c r="O43" s="77">
        <f t="shared" si="27"/>
        <v>0</v>
      </c>
      <c r="P43" s="78">
        <f t="shared" si="28"/>
        <v>219999.144</v>
      </c>
      <c r="Q43" s="78">
        <f t="shared" si="29"/>
        <v>179958.48</v>
      </c>
      <c r="R43" s="78">
        <f t="shared" si="30"/>
        <v>89979.24</v>
      </c>
      <c r="S43" s="77">
        <f t="shared" si="42"/>
        <v>489936.864</v>
      </c>
      <c r="T43" s="77">
        <v>345510.5</v>
      </c>
      <c r="U43" s="79"/>
      <c r="V43" s="46">
        <f t="shared" si="15"/>
        <v>3524207.1</v>
      </c>
      <c r="W43" s="46"/>
      <c r="X43" s="47"/>
      <c r="Y43" s="80">
        <f t="shared" si="32"/>
        <v>15</v>
      </c>
      <c r="Z43" s="45" t="str">
        <f t="shared" si="3"/>
        <v>SUKIYAT</v>
      </c>
      <c r="AA43" s="44" t="s">
        <v>219</v>
      </c>
      <c r="AB43" s="74">
        <f t="shared" si="33"/>
        <v>3524207.1</v>
      </c>
      <c r="AC43" s="74">
        <f t="shared" si="34"/>
        <v>89979.24</v>
      </c>
      <c r="AD43" s="74">
        <f t="shared" si="35"/>
        <v>44989.62</v>
      </c>
      <c r="AE43" s="74">
        <f t="shared" si="35"/>
        <v>44989.62</v>
      </c>
      <c r="AF43" s="43">
        <f t="shared" si="4"/>
        <v>3344248.6199999996</v>
      </c>
      <c r="AG43" s="43">
        <f t="shared" si="17"/>
        <v>6000000</v>
      </c>
      <c r="AH43" s="43">
        <f t="shared" si="5"/>
        <v>-2655751.3800000004</v>
      </c>
      <c r="AI43" s="74">
        <f t="shared" si="36"/>
        <v>0</v>
      </c>
      <c r="AJ43" s="57">
        <f t="shared" si="6"/>
        <v>3344248.6199999996</v>
      </c>
      <c r="AK43" s="57"/>
      <c r="AL43" s="57"/>
      <c r="AM43" s="73"/>
      <c r="AN43" s="73">
        <f t="shared" si="37"/>
        <v>0</v>
      </c>
      <c r="AO43" s="57"/>
      <c r="AP43" s="57"/>
      <c r="AQ43" s="33">
        <f t="shared" si="7"/>
        <v>3344248.6199999996</v>
      </c>
      <c r="AR43" s="72"/>
      <c r="AS43" s="71">
        <f t="shared" si="40"/>
        <v>15</v>
      </c>
      <c r="AT43" s="52" t="str">
        <f t="shared" si="38"/>
        <v>SUKIYAT</v>
      </c>
      <c r="AU43" s="60">
        <f t="shared" si="39"/>
        <v>3344248.6199999996</v>
      </c>
      <c r="AV43" s="69"/>
      <c r="AW43" s="54"/>
      <c r="AX43" s="54"/>
      <c r="AY43" s="72"/>
      <c r="AZ43" s="72"/>
    </row>
    <row r="44" ht="15.75" customHeight="1" s="51" customFormat="1">
      <c r="A44" s="80">
        <f t="shared" si="41"/>
        <v>16</v>
      </c>
      <c r="B44" s="47"/>
      <c r="C44" s="17" t="s">
        <v>279</v>
      </c>
      <c r="D44" s="47" t="s">
        <v>15</v>
      </c>
      <c r="E44" s="47" t="s">
        <v>17</v>
      </c>
      <c r="F44" s="47"/>
      <c r="G44" s="47"/>
      <c r="H44" s="139">
        <v>0.85</v>
      </c>
      <c r="I44" s="125"/>
      <c r="J44" s="125"/>
      <c r="K44" s="125"/>
      <c r="L44" s="53">
        <f t="shared" si="43"/>
        <v>0</v>
      </c>
      <c r="M44" s="79">
        <f t="shared" si="25"/>
        <v>3524207.1</v>
      </c>
      <c r="N44" s="55">
        <f t="shared" si="26"/>
        <v>0</v>
      </c>
      <c r="O44" s="77">
        <f t="shared" si="27"/>
        <v>0</v>
      </c>
      <c r="P44" s="78">
        <f t="shared" si="28"/>
        <v>219999.144</v>
      </c>
      <c r="Q44" s="78">
        <f t="shared" si="29"/>
        <v>179958.48</v>
      </c>
      <c r="R44" s="78">
        <f t="shared" si="30"/>
        <v>89979.24</v>
      </c>
      <c r="S44" s="77">
        <f t="shared" si="42"/>
        <v>489936.864</v>
      </c>
      <c r="T44" s="77">
        <v>345510.5</v>
      </c>
      <c r="U44" s="79"/>
      <c r="V44" s="46">
        <f t="shared" si="15"/>
        <v>3524207.1</v>
      </c>
      <c r="W44" s="46"/>
      <c r="X44" s="47"/>
      <c r="Y44" s="80">
        <f t="shared" si="32"/>
        <v>16</v>
      </c>
      <c r="Z44" s="45" t="str">
        <f t="shared" si="3"/>
        <v>YUSUP AKHMADI</v>
      </c>
      <c r="AA44" s="44" t="s">
        <v>219</v>
      </c>
      <c r="AB44" s="74">
        <f t="shared" si="33"/>
        <v>3524207.1</v>
      </c>
      <c r="AC44" s="74">
        <f t="shared" si="34"/>
        <v>89979.24</v>
      </c>
      <c r="AD44" s="74">
        <f t="shared" si="35"/>
        <v>44989.62</v>
      </c>
      <c r="AE44" s="74">
        <f t="shared" si="35"/>
        <v>44989.62</v>
      </c>
      <c r="AF44" s="43">
        <f t="shared" si="4"/>
        <v>3344248.6199999996</v>
      </c>
      <c r="AG44" s="43">
        <f t="shared" si="17"/>
        <v>6000000</v>
      </c>
      <c r="AH44" s="43">
        <f t="shared" si="5"/>
        <v>-2655751.3800000004</v>
      </c>
      <c r="AI44" s="74">
        <f t="shared" si="36"/>
        <v>0</v>
      </c>
      <c r="AJ44" s="57">
        <f t="shared" si="6"/>
        <v>3344248.6199999996</v>
      </c>
      <c r="AK44" s="57"/>
      <c r="AL44" s="57"/>
      <c r="AM44" s="73"/>
      <c r="AN44" s="73">
        <f t="shared" si="37"/>
        <v>0</v>
      </c>
      <c r="AO44" s="57"/>
      <c r="AP44" s="57"/>
      <c r="AQ44" s="33">
        <f t="shared" si="7"/>
        <v>3344248.6199999996</v>
      </c>
      <c r="AR44" s="72"/>
      <c r="AS44" s="71">
        <f t="shared" si="40"/>
        <v>16</v>
      </c>
      <c r="AT44" s="52" t="str">
        <f t="shared" si="38"/>
        <v>YUSUP AKHMADI</v>
      </c>
      <c r="AU44" s="60">
        <f t="shared" si="39"/>
        <v>3344248.6199999996</v>
      </c>
      <c r="AV44" s="69"/>
      <c r="AW44" s="54"/>
      <c r="AX44" s="54"/>
      <c r="AY44" s="72"/>
      <c r="AZ44" s="72"/>
    </row>
    <row r="45" s="51" customFormat="1">
      <c r="A45" s="80">
        <f t="shared" si="41"/>
        <v>17</v>
      </c>
      <c r="B45" s="54"/>
      <c r="C45" s="17" t="s">
        <v>63</v>
      </c>
      <c r="D45" s="54" t="s">
        <v>15</v>
      </c>
      <c r="E45" s="54" t="s">
        <v>17</v>
      </c>
      <c r="F45" s="54"/>
      <c r="G45" s="54"/>
      <c r="H45" s="139">
        <v>0.85</v>
      </c>
      <c r="I45" s="126"/>
      <c r="J45" s="126"/>
      <c r="K45" s="126"/>
      <c r="L45" s="53">
        <f t="shared" si="43"/>
        <v>0</v>
      </c>
      <c r="M45" s="79">
        <f t="shared" si="25"/>
        <v>3524207.1</v>
      </c>
      <c r="N45" s="55">
        <f t="shared" si="26"/>
        <v>0</v>
      </c>
      <c r="O45" s="77">
        <f t="shared" si="27"/>
        <v>0</v>
      </c>
      <c r="P45" s="78">
        <f t="shared" si="28"/>
        <v>219999.144</v>
      </c>
      <c r="Q45" s="78">
        <f t="shared" si="29"/>
        <v>179958.48</v>
      </c>
      <c r="R45" s="78">
        <f t="shared" si="30"/>
        <v>89979.24</v>
      </c>
      <c r="S45" s="77">
        <f t="shared" si="42"/>
        <v>489936.864</v>
      </c>
      <c r="T45" s="77">
        <v>345510.5</v>
      </c>
      <c r="U45" s="79"/>
      <c r="V45" s="53">
        <f t="shared" si="15"/>
        <v>3524207.1</v>
      </c>
      <c r="W45" s="53"/>
      <c r="X45" s="54"/>
      <c r="Y45" s="80">
        <f t="shared" si="32"/>
        <v>17</v>
      </c>
      <c r="Z45" s="76" t="str">
        <f t="shared" si="3"/>
        <v>FAHMI MATROTIN</v>
      </c>
      <c r="AA45" s="75" t="s">
        <v>217</v>
      </c>
      <c r="AB45" s="74">
        <f t="shared" si="33"/>
        <v>3524207.1</v>
      </c>
      <c r="AC45" s="74">
        <f t="shared" si="34"/>
        <v>89979.24</v>
      </c>
      <c r="AD45" s="74">
        <f t="shared" si="35"/>
        <v>44989.62</v>
      </c>
      <c r="AE45" s="74">
        <f t="shared" si="35"/>
        <v>44989.62</v>
      </c>
      <c r="AF45" s="74">
        <f t="shared" si="4"/>
        <v>3344248.6199999996</v>
      </c>
      <c r="AG45" s="74">
        <f t="shared" si="17"/>
        <v>5250000</v>
      </c>
      <c r="AH45" s="74">
        <f t="shared" si="5"/>
        <v>-1905751.3800000004</v>
      </c>
      <c r="AI45" s="74">
        <f t="shared" si="36"/>
        <v>0</v>
      </c>
      <c r="AJ45" s="73">
        <f t="shared" si="6"/>
        <v>3344248.6199999996</v>
      </c>
      <c r="AK45" s="73"/>
      <c r="AL45" s="73"/>
      <c r="AM45" s="73"/>
      <c r="AN45" s="73">
        <f t="shared" si="37"/>
        <v>0</v>
      </c>
      <c r="AO45" s="73"/>
      <c r="AP45" s="73"/>
      <c r="AQ45" s="62">
        <f t="shared" si="7"/>
        <v>3344248.6199999996</v>
      </c>
      <c r="AR45" s="72"/>
      <c r="AS45" s="71">
        <f t="shared" si="40"/>
        <v>17</v>
      </c>
      <c r="AT45" s="52" t="str">
        <f t="shared" si="38"/>
        <v>FAHMI MATROTIN</v>
      </c>
      <c r="AU45" s="60">
        <f t="shared" si="39"/>
        <v>3344248.6199999996</v>
      </c>
      <c r="AV45" s="69"/>
      <c r="AW45" s="54"/>
      <c r="AX45" s="54"/>
      <c r="AY45" s="72"/>
      <c r="AZ45" s="72"/>
    </row>
    <row r="46" s="51" customFormat="1">
      <c r="A46" s="80">
        <f t="shared" si="41"/>
        <v>18</v>
      </c>
      <c r="B46" s="47"/>
      <c r="C46" s="42" t="s">
        <v>280</v>
      </c>
      <c r="D46" s="47" t="s">
        <v>15</v>
      </c>
      <c r="E46" s="47" t="s">
        <v>17</v>
      </c>
      <c r="F46" s="41"/>
      <c r="G46" s="41"/>
      <c r="H46" s="139">
        <v>0.85</v>
      </c>
      <c r="I46" s="125"/>
      <c r="J46" s="125"/>
      <c r="K46" s="125"/>
      <c r="L46" s="53">
        <f t="shared" si="43"/>
        <v>0</v>
      </c>
      <c r="M46" s="79">
        <f t="shared" si="25"/>
        <v>3524207.1</v>
      </c>
      <c r="N46" s="55">
        <f t="shared" si="26"/>
        <v>0</v>
      </c>
      <c r="O46" s="77">
        <f t="shared" si="27"/>
        <v>0</v>
      </c>
      <c r="P46" s="78">
        <f t="shared" si="28"/>
        <v>219999.144</v>
      </c>
      <c r="Q46" s="78">
        <f t="shared" si="29"/>
        <v>179958.48</v>
      </c>
      <c r="R46" s="78">
        <f t="shared" si="30"/>
        <v>89979.24</v>
      </c>
      <c r="S46" s="77">
        <f t="shared" si="42"/>
        <v>489936.864</v>
      </c>
      <c r="T46" s="77">
        <v>345510.5</v>
      </c>
      <c r="U46" s="79"/>
      <c r="V46" s="46">
        <f t="shared" si="15"/>
        <v>3524207.1</v>
      </c>
      <c r="W46" s="46"/>
      <c r="X46" s="47"/>
      <c r="Y46" s="80">
        <f t="shared" si="32"/>
        <v>18</v>
      </c>
      <c r="Z46" s="45" t="str">
        <f t="shared" si="3"/>
        <v>ACEP TARUNA</v>
      </c>
      <c r="AA46" s="44" t="s">
        <v>216</v>
      </c>
      <c r="AB46" s="74">
        <f t="shared" si="33"/>
        <v>3524207.1</v>
      </c>
      <c r="AC46" s="74">
        <f t="shared" si="34"/>
        <v>89979.24</v>
      </c>
      <c r="AD46" s="74">
        <f t="shared" si="35"/>
        <v>44989.62</v>
      </c>
      <c r="AE46" s="74">
        <f t="shared" si="35"/>
        <v>44989.62</v>
      </c>
      <c r="AF46" s="43">
        <f t="shared" si="4"/>
        <v>3344248.6199999996</v>
      </c>
      <c r="AG46" s="43">
        <f t="shared" si="17"/>
        <v>4875000</v>
      </c>
      <c r="AH46" s="43">
        <f t="shared" si="5"/>
        <v>-1530751.3800000004</v>
      </c>
      <c r="AI46" s="43">
        <f t="shared" si="36"/>
        <v>0</v>
      </c>
      <c r="AJ46" s="57">
        <f t="shared" si="6"/>
        <v>3344248.6199999996</v>
      </c>
      <c r="AK46" s="57"/>
      <c r="AL46" s="57"/>
      <c r="AM46" s="57"/>
      <c r="AN46" s="73">
        <f t="shared" si="37"/>
        <v>0</v>
      </c>
      <c r="AO46" s="57"/>
      <c r="AP46" s="57"/>
      <c r="AQ46" s="33">
        <f t="shared" si="7"/>
        <v>3344248.6199999996</v>
      </c>
      <c r="AR46" s="72"/>
      <c r="AS46" s="71">
        <f t="shared" si="40"/>
        <v>18</v>
      </c>
      <c r="AT46" s="52" t="str">
        <f t="shared" si="38"/>
        <v>ACEP TARUNA</v>
      </c>
      <c r="AU46" s="60">
        <f t="shared" si="39"/>
        <v>3344248.6199999996</v>
      </c>
      <c r="AV46" s="69"/>
      <c r="AW46" s="54"/>
      <c r="AX46" s="54"/>
      <c r="AY46" s="72"/>
      <c r="AZ46" s="72"/>
    </row>
    <row r="47" s="51" customFormat="1">
      <c r="A47" s="80">
        <f t="shared" si="41"/>
        <v>19</v>
      </c>
      <c r="B47" s="54"/>
      <c r="C47" s="17" t="s">
        <v>281</v>
      </c>
      <c r="D47" s="47" t="s">
        <v>15</v>
      </c>
      <c r="E47" s="47" t="s">
        <v>17</v>
      </c>
      <c r="F47" s="40"/>
      <c r="G47" s="40"/>
      <c r="H47" s="139">
        <v>0.85</v>
      </c>
      <c r="I47" s="125"/>
      <c r="J47" s="125"/>
      <c r="K47" s="125"/>
      <c r="L47" s="53">
        <f t="shared" si="43"/>
        <v>0</v>
      </c>
      <c r="M47" s="79">
        <f t="shared" si="25"/>
        <v>3524207.1</v>
      </c>
      <c r="N47" s="55">
        <f t="shared" si="26"/>
        <v>0</v>
      </c>
      <c r="O47" s="77">
        <f t="shared" si="27"/>
        <v>0</v>
      </c>
      <c r="P47" s="78">
        <f t="shared" si="28"/>
        <v>219999.144</v>
      </c>
      <c r="Q47" s="78">
        <f t="shared" si="29"/>
        <v>179958.48</v>
      </c>
      <c r="R47" s="78">
        <f t="shared" si="30"/>
        <v>89979.24</v>
      </c>
      <c r="S47" s="77">
        <f t="shared" si="42"/>
        <v>489936.864</v>
      </c>
      <c r="T47" s="77">
        <v>345510.5</v>
      </c>
      <c r="U47" s="79"/>
      <c r="V47" s="46">
        <f t="shared" si="15"/>
        <v>3524207.1</v>
      </c>
      <c r="W47" s="53"/>
      <c r="X47" s="54"/>
      <c r="Y47" s="80">
        <f t="shared" si="32"/>
        <v>19</v>
      </c>
      <c r="Z47" s="45" t="str">
        <f t="shared" si="3"/>
        <v>AHDI</v>
      </c>
      <c r="AA47" s="44" t="s">
        <v>216</v>
      </c>
      <c r="AB47" s="74">
        <f t="shared" si="33"/>
        <v>3524207.1</v>
      </c>
      <c r="AC47" s="74">
        <f t="shared" si="34"/>
        <v>89979.24</v>
      </c>
      <c r="AD47" s="74">
        <f t="shared" si="35"/>
        <v>44989.62</v>
      </c>
      <c r="AE47" s="74">
        <f t="shared" si="35"/>
        <v>44989.62</v>
      </c>
      <c r="AF47" s="43">
        <f t="shared" si="4"/>
        <v>3344248.6199999996</v>
      </c>
      <c r="AG47" s="43">
        <f t="shared" si="17"/>
        <v>4875000</v>
      </c>
      <c r="AH47" s="43">
        <f t="shared" si="5"/>
        <v>-1530751.3800000004</v>
      </c>
      <c r="AI47" s="74">
        <f t="shared" si="36"/>
        <v>0</v>
      </c>
      <c r="AJ47" s="57">
        <f t="shared" si="6"/>
        <v>3344248.6199999996</v>
      </c>
      <c r="AK47" s="57"/>
      <c r="AL47" s="57"/>
      <c r="AM47" s="57">
        <v>400000</v>
      </c>
      <c r="AN47" s="73">
        <f t="shared" si="37"/>
        <v>0</v>
      </c>
      <c r="AO47" s="57"/>
      <c r="AP47" s="57"/>
      <c r="AQ47" s="33">
        <f t="shared" si="7"/>
        <v>2944248.6199999996</v>
      </c>
      <c r="AR47" s="72"/>
      <c r="AS47" s="71">
        <f t="shared" si="40"/>
        <v>19</v>
      </c>
      <c r="AT47" s="52" t="str">
        <f t="shared" si="38"/>
        <v>AHDI</v>
      </c>
      <c r="AU47" s="60">
        <f t="shared" si="39"/>
        <v>2944248.6199999996</v>
      </c>
      <c r="AV47" s="69"/>
      <c r="AW47" s="54"/>
      <c r="AX47" s="54"/>
      <c r="AY47" s="72"/>
      <c r="AZ47" s="72"/>
    </row>
    <row r="48" s="51" customFormat="1">
      <c r="A48" s="80">
        <f t="shared" si="41"/>
        <v>20</v>
      </c>
      <c r="B48" s="47"/>
      <c r="C48" s="17" t="s">
        <v>282</v>
      </c>
      <c r="D48" s="47" t="s">
        <v>15</v>
      </c>
      <c r="E48" s="47" t="s">
        <v>17</v>
      </c>
      <c r="F48" s="47"/>
      <c r="G48" s="47"/>
      <c r="H48" s="139">
        <v>0.85</v>
      </c>
      <c r="I48" s="125"/>
      <c r="J48" s="125"/>
      <c r="K48" s="125"/>
      <c r="L48" s="53">
        <f t="shared" si="43"/>
        <v>0</v>
      </c>
      <c r="M48" s="79">
        <f t="shared" si="25"/>
        <v>3524207.1</v>
      </c>
      <c r="N48" s="55">
        <f t="shared" si="26"/>
        <v>0</v>
      </c>
      <c r="O48" s="77">
        <f t="shared" si="27"/>
        <v>0</v>
      </c>
      <c r="P48" s="78">
        <f t="shared" si="28"/>
        <v>219999.144</v>
      </c>
      <c r="Q48" s="78">
        <f t="shared" si="29"/>
        <v>179958.48</v>
      </c>
      <c r="R48" s="78">
        <f t="shared" si="30"/>
        <v>89979.24</v>
      </c>
      <c r="S48" s="77">
        <f t="shared" si="42"/>
        <v>489936.864</v>
      </c>
      <c r="T48" s="77">
        <v>345510.5</v>
      </c>
      <c r="U48" s="79"/>
      <c r="V48" s="53">
        <f t="shared" si="15"/>
        <v>3524207.1</v>
      </c>
      <c r="W48" s="53"/>
      <c r="X48" s="54"/>
      <c r="Y48" s="80">
        <f t="shared" si="32"/>
        <v>20</v>
      </c>
      <c r="Z48" s="76" t="str">
        <f t="shared" si="3"/>
        <v>ANDRIYANTO</v>
      </c>
      <c r="AA48" s="75" t="s">
        <v>215</v>
      </c>
      <c r="AB48" s="74">
        <f t="shared" si="33"/>
        <v>3524207.1</v>
      </c>
      <c r="AC48" s="74">
        <f t="shared" si="34"/>
        <v>89979.24</v>
      </c>
      <c r="AD48" s="74">
        <f t="shared" si="35"/>
        <v>44989.62</v>
      </c>
      <c r="AE48" s="74">
        <f t="shared" si="35"/>
        <v>44989.62</v>
      </c>
      <c r="AF48" s="74">
        <f t="shared" si="4"/>
        <v>3344248.6199999996</v>
      </c>
      <c r="AG48" s="74">
        <f t="shared" si="17"/>
        <v>4500000</v>
      </c>
      <c r="AH48" s="74">
        <f t="shared" si="5"/>
        <v>-1155751.3800000004</v>
      </c>
      <c r="AI48" s="74">
        <f t="shared" si="36"/>
        <v>0</v>
      </c>
      <c r="AJ48" s="73">
        <f t="shared" si="6"/>
        <v>3344248.6199999996</v>
      </c>
      <c r="AK48" s="73"/>
      <c r="AL48" s="73"/>
      <c r="AM48" s="73"/>
      <c r="AN48" s="73">
        <f t="shared" si="37"/>
        <v>0</v>
      </c>
      <c r="AO48" s="73"/>
      <c r="AP48" s="73"/>
      <c r="AQ48" s="62">
        <f t="shared" si="7"/>
        <v>3344248.6199999996</v>
      </c>
      <c r="AR48" s="72"/>
      <c r="AS48" s="71">
        <f t="shared" si="40"/>
        <v>20</v>
      </c>
      <c r="AT48" s="52" t="str">
        <f t="shared" si="38"/>
        <v>ANDRIYANTO</v>
      </c>
      <c r="AU48" s="60">
        <f t="shared" si="39"/>
        <v>3344248.6199999996</v>
      </c>
      <c r="AV48" s="69"/>
      <c r="AW48" s="54"/>
      <c r="AX48" s="54"/>
      <c r="AY48" s="72"/>
      <c r="AZ48" s="72"/>
    </row>
    <row r="49" s="51" customFormat="1">
      <c r="A49" s="80">
        <f t="shared" si="41"/>
        <v>21</v>
      </c>
      <c r="B49" s="54"/>
      <c r="C49" s="26" t="s">
        <v>283</v>
      </c>
      <c r="D49" s="47" t="s">
        <v>15</v>
      </c>
      <c r="E49" s="47" t="s">
        <v>17</v>
      </c>
      <c r="F49" s="40"/>
      <c r="G49" s="40"/>
      <c r="H49" s="139">
        <v>0.85</v>
      </c>
      <c r="I49" s="125"/>
      <c r="J49" s="125"/>
      <c r="K49" s="125"/>
      <c r="L49" s="53">
        <f t="shared" si="43"/>
        <v>0</v>
      </c>
      <c r="M49" s="79">
        <f t="shared" si="25"/>
        <v>3524207.1</v>
      </c>
      <c r="N49" s="55">
        <f t="shared" si="26"/>
        <v>0</v>
      </c>
      <c r="O49" s="77">
        <f t="shared" si="27"/>
        <v>0</v>
      </c>
      <c r="P49" s="78">
        <f t="shared" si="28"/>
        <v>219999.144</v>
      </c>
      <c r="Q49" s="78">
        <f t="shared" si="29"/>
        <v>179958.48</v>
      </c>
      <c r="R49" s="78">
        <f t="shared" si="30"/>
        <v>89979.24</v>
      </c>
      <c r="S49" s="77">
        <f t="shared" si="42"/>
        <v>489936.864</v>
      </c>
      <c r="T49" s="77">
        <v>345510.5</v>
      </c>
      <c r="U49" s="79"/>
      <c r="V49" s="46">
        <f t="shared" si="15"/>
        <v>3524207.1</v>
      </c>
      <c r="W49" s="53"/>
      <c r="X49" s="54"/>
      <c r="Y49" s="80">
        <f t="shared" si="32"/>
        <v>21</v>
      </c>
      <c r="Z49" s="45" t="str">
        <f t="shared" si="3"/>
        <v>CAWAN KURNIAWAN</v>
      </c>
      <c r="AA49" s="44" t="s">
        <v>216</v>
      </c>
      <c r="AB49" s="74">
        <f t="shared" si="33"/>
        <v>3524207.1</v>
      </c>
      <c r="AC49" s="74">
        <f t="shared" si="34"/>
        <v>89979.24</v>
      </c>
      <c r="AD49" s="74">
        <f t="shared" si="35"/>
        <v>44989.62</v>
      </c>
      <c r="AE49" s="74">
        <f t="shared" si="35"/>
        <v>44989.62</v>
      </c>
      <c r="AF49" s="43">
        <f t="shared" si="4"/>
        <v>3344248.6199999996</v>
      </c>
      <c r="AG49" s="43">
        <f t="shared" si="17"/>
        <v>4875000</v>
      </c>
      <c r="AH49" s="43">
        <f t="shared" si="5"/>
        <v>-1530751.3800000004</v>
      </c>
      <c r="AI49" s="74">
        <f t="shared" si="36"/>
        <v>0</v>
      </c>
      <c r="AJ49" s="57">
        <f t="shared" si="6"/>
        <v>3344248.6199999996</v>
      </c>
      <c r="AK49" s="57"/>
      <c r="AL49" s="57"/>
      <c r="AM49" s="57"/>
      <c r="AN49" s="73">
        <f t="shared" si="37"/>
        <v>0</v>
      </c>
      <c r="AO49" s="57"/>
      <c r="AP49" s="57"/>
      <c r="AQ49" s="33">
        <f t="shared" si="7"/>
        <v>3344248.6199999996</v>
      </c>
      <c r="AR49" s="72"/>
      <c r="AS49" s="71">
        <f t="shared" si="40"/>
        <v>21</v>
      </c>
      <c r="AT49" s="52" t="str">
        <f t="shared" si="38"/>
        <v>CAWAN KURNIAWAN</v>
      </c>
      <c r="AU49" s="60">
        <f t="shared" si="39"/>
        <v>3344248.6199999996</v>
      </c>
      <c r="AV49" s="69"/>
      <c r="AW49" s="54"/>
      <c r="AX49" s="54"/>
      <c r="AY49" s="72"/>
      <c r="AZ49" s="72"/>
    </row>
    <row r="50" s="51" customFormat="1">
      <c r="A50" s="80">
        <f t="shared" si="41"/>
        <v>22</v>
      </c>
      <c r="B50" s="54"/>
      <c r="C50" s="26" t="s">
        <v>51</v>
      </c>
      <c r="D50" s="47" t="s">
        <v>15</v>
      </c>
      <c r="E50" s="47" t="s">
        <v>17</v>
      </c>
      <c r="F50" s="40"/>
      <c r="G50" s="40"/>
      <c r="H50" s="139">
        <v>0.85</v>
      </c>
      <c r="I50" s="125"/>
      <c r="J50" s="125"/>
      <c r="K50" s="125"/>
      <c r="L50" s="53">
        <f t="shared" si="43"/>
        <v>0</v>
      </c>
      <c r="M50" s="79">
        <f t="shared" si="25"/>
        <v>3524207.1</v>
      </c>
      <c r="N50" s="55">
        <f t="shared" si="26"/>
        <v>0</v>
      </c>
      <c r="O50" s="77">
        <f t="shared" si="27"/>
        <v>0</v>
      </c>
      <c r="P50" s="78">
        <f t="shared" si="28"/>
        <v>219999.144</v>
      </c>
      <c r="Q50" s="78">
        <f t="shared" si="29"/>
        <v>179958.48</v>
      </c>
      <c r="R50" s="78">
        <f t="shared" si="30"/>
        <v>89979.24</v>
      </c>
      <c r="S50" s="77">
        <f t="shared" si="42"/>
        <v>489936.864</v>
      </c>
      <c r="T50" s="77">
        <v>345510.5</v>
      </c>
      <c r="U50" s="79"/>
      <c r="V50" s="46">
        <f t="shared" si="15"/>
        <v>3524207.1</v>
      </c>
      <c r="W50" s="53"/>
      <c r="X50" s="54"/>
      <c r="Y50" s="80">
        <f t="shared" si="32"/>
        <v>22</v>
      </c>
      <c r="Z50" s="45" t="str">
        <f t="shared" si="3"/>
        <v>DEDE WAHYU</v>
      </c>
      <c r="AA50" s="44" t="s">
        <v>216</v>
      </c>
      <c r="AB50" s="74">
        <f t="shared" si="33"/>
        <v>3524207.1</v>
      </c>
      <c r="AC50" s="74">
        <f t="shared" si="34"/>
        <v>89979.24</v>
      </c>
      <c r="AD50" s="74">
        <f t="shared" si="35"/>
        <v>44989.62</v>
      </c>
      <c r="AE50" s="74">
        <f t="shared" si="35"/>
        <v>44989.62</v>
      </c>
      <c r="AF50" s="43">
        <f t="shared" si="4"/>
        <v>3344248.6199999996</v>
      </c>
      <c r="AG50" s="43">
        <f t="shared" si="17"/>
        <v>4875000</v>
      </c>
      <c r="AH50" s="43">
        <f t="shared" si="5"/>
        <v>-1530751.3800000004</v>
      </c>
      <c r="AI50" s="74">
        <f t="shared" si="36"/>
        <v>0</v>
      </c>
      <c r="AJ50" s="57">
        <f t="shared" si="6"/>
        <v>3344248.6199999996</v>
      </c>
      <c r="AK50" s="57"/>
      <c r="AL50" s="57"/>
      <c r="AM50" s="57"/>
      <c r="AN50" s="73">
        <f t="shared" si="37"/>
        <v>0</v>
      </c>
      <c r="AO50" s="57"/>
      <c r="AP50" s="57"/>
      <c r="AQ50" s="33">
        <f t="shared" si="7"/>
        <v>3344248.6199999996</v>
      </c>
      <c r="AR50" s="72"/>
      <c r="AS50" s="71">
        <f t="shared" si="40"/>
        <v>22</v>
      </c>
      <c r="AT50" s="52" t="str">
        <f t="shared" si="38"/>
        <v>DEDE WAHYU</v>
      </c>
      <c r="AU50" s="60">
        <f t="shared" si="39"/>
        <v>3344248.6199999996</v>
      </c>
      <c r="AV50" s="69"/>
      <c r="AW50" s="54"/>
      <c r="AX50" s="54"/>
      <c r="AY50" s="72"/>
      <c r="AZ50" s="72"/>
    </row>
    <row r="51" ht="15.75" customHeight="1" s="51" customFormat="1">
      <c r="A51" s="68">
        <f t="shared" si="41"/>
        <v>23</v>
      </c>
      <c r="B51" s="47"/>
      <c r="C51" s="17" t="s">
        <v>284</v>
      </c>
      <c r="D51" s="47" t="s">
        <v>15</v>
      </c>
      <c r="E51" s="47" t="s">
        <v>17</v>
      </c>
      <c r="F51" s="47"/>
      <c r="G51" s="47"/>
      <c r="H51" s="139">
        <v>0.85</v>
      </c>
      <c r="I51" s="125"/>
      <c r="J51" s="125"/>
      <c r="K51" s="125"/>
      <c r="L51" s="53">
        <f t="shared" si="43"/>
        <v>0</v>
      </c>
      <c r="M51" s="79">
        <f t="shared" si="25"/>
        <v>3524207.1</v>
      </c>
      <c r="N51" s="55">
        <f t="shared" si="26"/>
        <v>0</v>
      </c>
      <c r="O51" s="77">
        <f t="shared" si="27"/>
        <v>0</v>
      </c>
      <c r="P51" s="78">
        <f t="shared" si="28"/>
        <v>219999.144</v>
      </c>
      <c r="Q51" s="78">
        <f t="shared" si="29"/>
        <v>179958.48</v>
      </c>
      <c r="R51" s="78">
        <f t="shared" si="30"/>
        <v>89979.24</v>
      </c>
      <c r="S51" s="77">
        <f t="shared" si="42"/>
        <v>489936.864</v>
      </c>
      <c r="T51" s="77">
        <v>345510.5</v>
      </c>
      <c r="U51" s="79"/>
      <c r="V51" s="46">
        <f t="shared" si="15"/>
        <v>3524207.1</v>
      </c>
      <c r="W51" s="53"/>
      <c r="X51" s="54"/>
      <c r="Y51" s="80">
        <f t="shared" si="32"/>
        <v>23</v>
      </c>
      <c r="Z51" s="45" t="str">
        <f t="shared" si="3"/>
        <v>GURUH</v>
      </c>
      <c r="AA51" s="44" t="s">
        <v>216</v>
      </c>
      <c r="AB51" s="74">
        <f t="shared" si="33"/>
        <v>3524207.1</v>
      </c>
      <c r="AC51" s="74">
        <f t="shared" si="34"/>
        <v>89979.24</v>
      </c>
      <c r="AD51" s="74">
        <f t="shared" si="35"/>
        <v>44989.62</v>
      </c>
      <c r="AE51" s="74">
        <f t="shared" si="35"/>
        <v>44989.62</v>
      </c>
      <c r="AF51" s="43">
        <f t="shared" si="4"/>
        <v>3344248.6199999996</v>
      </c>
      <c r="AG51" s="43">
        <f t="shared" si="17"/>
        <v>4875000</v>
      </c>
      <c r="AH51" s="43">
        <f t="shared" si="5"/>
        <v>-1530751.3800000004</v>
      </c>
      <c r="AI51" s="74">
        <f t="shared" si="36"/>
        <v>0</v>
      </c>
      <c r="AJ51" s="57">
        <f t="shared" si="6"/>
        <v>3344248.6199999996</v>
      </c>
      <c r="AK51" s="57"/>
      <c r="AL51" s="57"/>
      <c r="AM51" s="57"/>
      <c r="AN51" s="73">
        <f t="shared" si="37"/>
        <v>0</v>
      </c>
      <c r="AO51" s="57"/>
      <c r="AP51" s="57"/>
      <c r="AQ51" s="33">
        <f>+AJ51-AK51-AL51-AM51-AP51-AO51-AN51</f>
        <v>3344248.6199999996</v>
      </c>
      <c r="AR51" s="72"/>
      <c r="AS51" s="71">
        <f t="shared" si="40"/>
        <v>23</v>
      </c>
      <c r="AT51" s="52" t="str">
        <f t="shared" si="38"/>
        <v>GURUH</v>
      </c>
      <c r="AU51" s="60">
        <f t="shared" si="39"/>
        <v>3344248.6199999996</v>
      </c>
      <c r="AV51" s="69"/>
      <c r="AW51" s="54"/>
      <c r="AX51" s="54"/>
      <c r="AY51" s="72"/>
      <c r="AZ51" s="72"/>
    </row>
    <row r="52" ht="15.75" customHeight="1" s="51" customFormat="1">
      <c r="A52" s="80">
        <f t="shared" si="41"/>
        <v>24</v>
      </c>
      <c r="B52" s="47"/>
      <c r="C52" s="17" t="s">
        <v>143</v>
      </c>
      <c r="D52" s="47" t="s">
        <v>15</v>
      </c>
      <c r="E52" s="47" t="s">
        <v>17</v>
      </c>
      <c r="F52" s="47"/>
      <c r="G52" s="47"/>
      <c r="H52" s="139">
        <v>0.85</v>
      </c>
      <c r="I52" s="125"/>
      <c r="J52" s="125"/>
      <c r="K52" s="125"/>
      <c r="L52" s="53">
        <f t="shared" si="43"/>
        <v>0</v>
      </c>
      <c r="M52" s="79">
        <f t="shared" si="25"/>
        <v>3524207.1</v>
      </c>
      <c r="N52" s="55">
        <f t="shared" si="26"/>
        <v>0</v>
      </c>
      <c r="O52" s="77">
        <f t="shared" si="27"/>
        <v>0</v>
      </c>
      <c r="P52" s="78">
        <f t="shared" si="28"/>
        <v>219999.144</v>
      </c>
      <c r="Q52" s="78">
        <f t="shared" si="29"/>
        <v>179958.48</v>
      </c>
      <c r="R52" s="78">
        <f t="shared" si="30"/>
        <v>89979.24</v>
      </c>
      <c r="S52" s="77">
        <f t="shared" si="42"/>
        <v>489936.864</v>
      </c>
      <c r="T52" s="77">
        <v>345510.5</v>
      </c>
      <c r="U52" s="79"/>
      <c r="V52" s="46">
        <f t="shared" si="15"/>
        <v>3524207.1</v>
      </c>
      <c r="W52" s="53"/>
      <c r="X52" s="54"/>
      <c r="Y52" s="80">
        <f t="shared" si="32"/>
        <v>24</v>
      </c>
      <c r="Z52" s="45" t="str">
        <f t="shared" si="3"/>
        <v>HENDRA</v>
      </c>
      <c r="AA52" s="44" t="s">
        <v>216</v>
      </c>
      <c r="AB52" s="74">
        <f t="shared" si="33"/>
        <v>3524207.1</v>
      </c>
      <c r="AC52" s="74">
        <f t="shared" si="34"/>
        <v>89979.24</v>
      </c>
      <c r="AD52" s="74">
        <f t="shared" si="35"/>
        <v>44989.62</v>
      </c>
      <c r="AE52" s="74">
        <f t="shared" si="35"/>
        <v>44989.62</v>
      </c>
      <c r="AF52" s="43">
        <f t="shared" si="4"/>
        <v>3344248.6199999996</v>
      </c>
      <c r="AG52" s="43">
        <f t="shared" si="17"/>
        <v>4875000</v>
      </c>
      <c r="AH52" s="43">
        <f t="shared" si="5"/>
        <v>-1530751.3800000004</v>
      </c>
      <c r="AI52" s="74">
        <f t="shared" si="36"/>
        <v>0</v>
      </c>
      <c r="AJ52" s="57">
        <f t="shared" si="6"/>
        <v>3344248.6199999996</v>
      </c>
      <c r="AK52" s="57"/>
      <c r="AL52" s="57"/>
      <c r="AM52" s="57"/>
      <c r="AN52" s="73">
        <f t="shared" si="37"/>
        <v>0</v>
      </c>
      <c r="AO52" s="57"/>
      <c r="AP52" s="57"/>
      <c r="AQ52" s="33">
        <f t="shared" si="7"/>
        <v>3344248.6199999996</v>
      </c>
      <c r="AR52" s="72"/>
      <c r="AS52" s="71">
        <f t="shared" si="40"/>
        <v>24</v>
      </c>
      <c r="AT52" s="52" t="str">
        <f t="shared" si="38"/>
        <v>HENDRA</v>
      </c>
      <c r="AU52" s="60">
        <f t="shared" si="39"/>
        <v>3344248.6199999996</v>
      </c>
      <c r="AV52" s="69"/>
      <c r="AW52" s="54"/>
      <c r="AX52" s="54"/>
      <c r="AY52" s="72"/>
      <c r="AZ52" s="72"/>
    </row>
    <row r="53" s="51" customFormat="1">
      <c r="A53" s="80">
        <f t="shared" si="41"/>
        <v>25</v>
      </c>
      <c r="B53" s="54"/>
      <c r="C53" s="17" t="s">
        <v>77</v>
      </c>
      <c r="D53" s="54" t="s">
        <v>15</v>
      </c>
      <c r="E53" s="54" t="s">
        <v>17</v>
      </c>
      <c r="F53" s="54"/>
      <c r="G53" s="54"/>
      <c r="H53" s="139">
        <v>0.85</v>
      </c>
      <c r="I53" s="126"/>
      <c r="J53" s="126"/>
      <c r="K53" s="126"/>
      <c r="L53" s="53">
        <f t="shared" si="43"/>
        <v>0</v>
      </c>
      <c r="M53" s="79">
        <f t="shared" si="25"/>
        <v>3524207.1</v>
      </c>
      <c r="N53" s="55">
        <f t="shared" si="26"/>
        <v>0</v>
      </c>
      <c r="O53" s="77">
        <f t="shared" si="27"/>
        <v>0</v>
      </c>
      <c r="P53" s="78">
        <f t="shared" si="28"/>
        <v>219999.144</v>
      </c>
      <c r="Q53" s="78">
        <f t="shared" si="29"/>
        <v>179958.48</v>
      </c>
      <c r="R53" s="78">
        <f t="shared" si="30"/>
        <v>89979.24</v>
      </c>
      <c r="S53" s="77">
        <f>SUM(P53:R53)</f>
        <v>489936.864</v>
      </c>
      <c r="T53" s="77">
        <v>345510.5</v>
      </c>
      <c r="U53" s="79"/>
      <c r="V53" s="53">
        <f t="shared" si="15"/>
        <v>3524207.1</v>
      </c>
      <c r="W53" s="53"/>
      <c r="X53" s="54"/>
      <c r="Y53" s="80">
        <f t="shared" si="32"/>
        <v>25</v>
      </c>
      <c r="Z53" s="76" t="str">
        <f t="shared" si="3"/>
        <v>HERUDIN</v>
      </c>
      <c r="AA53" s="75" t="s">
        <v>219</v>
      </c>
      <c r="AB53" s="74">
        <f t="shared" si="33"/>
        <v>3524207.1</v>
      </c>
      <c r="AC53" s="74">
        <f t="shared" si="34"/>
        <v>89979.24</v>
      </c>
      <c r="AD53" s="74">
        <f t="shared" si="35"/>
        <v>44989.62</v>
      </c>
      <c r="AE53" s="74">
        <f t="shared" si="35"/>
        <v>44989.62</v>
      </c>
      <c r="AF53" s="74">
        <f t="shared" si="4"/>
        <v>3344248.6199999996</v>
      </c>
      <c r="AG53" s="74">
        <f t="shared" si="17"/>
        <v>6000000</v>
      </c>
      <c r="AH53" s="74">
        <f t="shared" si="5"/>
        <v>-2655751.3800000004</v>
      </c>
      <c r="AI53" s="74">
        <f t="shared" si="36"/>
        <v>0</v>
      </c>
      <c r="AJ53" s="73">
        <f t="shared" si="6"/>
        <v>3344248.6199999996</v>
      </c>
      <c r="AK53" s="73"/>
      <c r="AL53" s="73"/>
      <c r="AM53" s="73"/>
      <c r="AN53" s="73">
        <f t="shared" si="37"/>
        <v>0</v>
      </c>
      <c r="AO53" s="73"/>
      <c r="AP53" s="73"/>
      <c r="AQ53" s="62">
        <f t="shared" si="7"/>
        <v>3344248.6199999996</v>
      </c>
      <c r="AR53" s="72"/>
      <c r="AS53" s="71">
        <f t="shared" si="40"/>
        <v>25</v>
      </c>
      <c r="AT53" s="52" t="str">
        <f t="shared" si="38"/>
        <v>HERUDIN</v>
      </c>
      <c r="AU53" s="60">
        <f t="shared" si="39"/>
        <v>3344248.6199999996</v>
      </c>
      <c r="AV53" s="69"/>
      <c r="AW53" s="54"/>
      <c r="AX53" s="54"/>
      <c r="AY53" s="72"/>
      <c r="AZ53" s="72"/>
    </row>
    <row r="54" s="51" customFormat="1">
      <c r="A54" s="80">
        <f t="shared" si="41"/>
        <v>26</v>
      </c>
      <c r="B54" s="54"/>
      <c r="C54" s="17" t="s">
        <v>285</v>
      </c>
      <c r="D54" s="54" t="s">
        <v>15</v>
      </c>
      <c r="E54" s="54" t="s">
        <v>17</v>
      </c>
      <c r="F54" s="54"/>
      <c r="G54" s="54"/>
      <c r="H54" s="139">
        <v>0.85</v>
      </c>
      <c r="I54" s="126"/>
      <c r="J54" s="126"/>
      <c r="K54" s="126"/>
      <c r="L54" s="53">
        <f t="shared" si="43"/>
        <v>0</v>
      </c>
      <c r="M54" s="79">
        <f t="shared" si="25"/>
        <v>3524207.1</v>
      </c>
      <c r="N54" s="55">
        <f t="shared" si="26"/>
        <v>0</v>
      </c>
      <c r="O54" s="77">
        <f t="shared" si="27"/>
        <v>0</v>
      </c>
      <c r="P54" s="78">
        <f t="shared" si="28"/>
        <v>219999.144</v>
      </c>
      <c r="Q54" s="78">
        <f t="shared" si="29"/>
        <v>179958.48</v>
      </c>
      <c r="R54" s="78">
        <f t="shared" si="30"/>
        <v>89979.24</v>
      </c>
      <c r="S54" s="77">
        <f>SUM(P54:R54)</f>
        <v>489936.864</v>
      </c>
      <c r="T54" s="77">
        <v>345510.5</v>
      </c>
      <c r="U54" s="79"/>
      <c r="V54" s="53">
        <f t="shared" si="15"/>
        <v>3524207.1</v>
      </c>
      <c r="W54" s="53"/>
      <c r="X54" s="54"/>
      <c r="Y54" s="80">
        <f t="shared" si="32"/>
        <v>26</v>
      </c>
      <c r="Z54" s="76" t="str">
        <f t="shared" si="3"/>
        <v>JAYA PERMANA</v>
      </c>
      <c r="AA54" s="75" t="s">
        <v>215</v>
      </c>
      <c r="AB54" s="74">
        <f t="shared" si="33"/>
        <v>3524207.1</v>
      </c>
      <c r="AC54" s="74">
        <f t="shared" si="34"/>
        <v>89979.24</v>
      </c>
      <c r="AD54" s="74"/>
      <c r="AE54" s="74">
        <f t="shared" si="35"/>
        <v>44989.62</v>
      </c>
      <c r="AF54" s="74">
        <f t="shared" si="4"/>
        <v>3389238.2399999998</v>
      </c>
      <c r="AG54" s="74">
        <f t="shared" si="17"/>
        <v>4500000</v>
      </c>
      <c r="AH54" s="74">
        <f t="shared" si="5"/>
        <v>-1110761.7600000002</v>
      </c>
      <c r="AI54" s="74">
        <f t="shared" si="36"/>
        <v>0</v>
      </c>
      <c r="AJ54" s="73">
        <f t="shared" si="6"/>
        <v>3389238.2399999998</v>
      </c>
      <c r="AK54" s="73"/>
      <c r="AL54" s="73"/>
      <c r="AM54" s="73"/>
      <c r="AN54" s="73">
        <f t="shared" si="37"/>
        <v>0</v>
      </c>
      <c r="AO54" s="73"/>
      <c r="AP54" s="73"/>
      <c r="AQ54" s="62">
        <f t="shared" si="7"/>
        <v>3389238.2399999998</v>
      </c>
      <c r="AR54" s="72"/>
      <c r="AS54" s="71">
        <f t="shared" si="40"/>
        <v>26</v>
      </c>
      <c r="AT54" s="52" t="str">
        <f t="shared" si="38"/>
        <v>JAYA PERMANA</v>
      </c>
      <c r="AU54" s="60">
        <f t="shared" si="39"/>
        <v>3389238.2399999998</v>
      </c>
      <c r="AV54" s="69"/>
      <c r="AW54" s="54"/>
      <c r="AX54" s="54"/>
      <c r="AY54" s="72"/>
      <c r="AZ54" s="72"/>
    </row>
    <row r="55" s="51" customFormat="1">
      <c r="A55" s="80">
        <f t="shared" si="41"/>
        <v>27</v>
      </c>
      <c r="B55" s="54"/>
      <c r="C55" s="17" t="s">
        <v>95</v>
      </c>
      <c r="D55" s="54" t="s">
        <v>15</v>
      </c>
      <c r="E55" s="54" t="s">
        <v>17</v>
      </c>
      <c r="F55" s="54"/>
      <c r="G55" s="54"/>
      <c r="H55" s="139">
        <v>0.85</v>
      </c>
      <c r="I55" s="126"/>
      <c r="J55" s="126"/>
      <c r="K55" s="126"/>
      <c r="L55" s="53">
        <f t="shared" si="43"/>
        <v>0</v>
      </c>
      <c r="M55" s="79">
        <f t="shared" si="25"/>
        <v>3524207.1</v>
      </c>
      <c r="N55" s="55">
        <f t="shared" si="26"/>
        <v>0</v>
      </c>
      <c r="O55" s="77">
        <f t="shared" si="27"/>
        <v>0</v>
      </c>
      <c r="P55" s="78">
        <f t="shared" si="28"/>
        <v>219999.144</v>
      </c>
      <c r="Q55" s="78">
        <f t="shared" si="29"/>
        <v>179958.48</v>
      </c>
      <c r="R55" s="78">
        <f t="shared" si="30"/>
        <v>89979.24</v>
      </c>
      <c r="S55" s="77">
        <f>SUM(P55:R55)</f>
        <v>489936.864</v>
      </c>
      <c r="T55" s="77">
        <v>345510.5</v>
      </c>
      <c r="U55" s="79"/>
      <c r="V55" s="53">
        <f t="shared" si="15"/>
        <v>3524207.1</v>
      </c>
      <c r="W55" s="53"/>
      <c r="X55" s="54"/>
      <c r="Y55" s="80">
        <f t="shared" si="32"/>
        <v>27</v>
      </c>
      <c r="Z55" s="76" t="str">
        <f t="shared" si="3"/>
        <v>KARYANA</v>
      </c>
      <c r="AA55" s="75" t="s">
        <v>218</v>
      </c>
      <c r="AB55" s="74">
        <f t="shared" si="33"/>
        <v>3524207.1</v>
      </c>
      <c r="AC55" s="74">
        <f t="shared" si="34"/>
        <v>89979.24</v>
      </c>
      <c r="AD55" s="74"/>
      <c r="AE55" s="74">
        <f t="shared" si="35"/>
        <v>44989.62</v>
      </c>
      <c r="AF55" s="74">
        <f t="shared" si="4"/>
        <v>3389238.2399999998</v>
      </c>
      <c r="AG55" s="74">
        <f t="shared" si="17"/>
        <v>5625000</v>
      </c>
      <c r="AH55" s="74">
        <f t="shared" si="5"/>
        <v>-2235761.7600000002</v>
      </c>
      <c r="AI55" s="74">
        <f t="shared" si="36"/>
        <v>0</v>
      </c>
      <c r="AJ55" s="73">
        <f t="shared" si="6"/>
        <v>3389238.2399999998</v>
      </c>
      <c r="AK55" s="73"/>
      <c r="AL55" s="73"/>
      <c r="AM55" s="73"/>
      <c r="AN55" s="73">
        <f t="shared" si="37"/>
        <v>0</v>
      </c>
      <c r="AO55" s="73"/>
      <c r="AP55" s="73"/>
      <c r="AQ55" s="62">
        <f t="shared" si="7"/>
        <v>3389238.2399999998</v>
      </c>
      <c r="AR55" s="72"/>
      <c r="AS55" s="71">
        <f t="shared" si="40"/>
        <v>27</v>
      </c>
      <c r="AT55" s="52" t="str">
        <f t="shared" si="38"/>
        <v>KARYANA</v>
      </c>
      <c r="AU55" s="60">
        <f t="shared" si="39"/>
        <v>3389238.2399999998</v>
      </c>
      <c r="AV55" s="69"/>
      <c r="AW55" s="54"/>
      <c r="AX55" s="54"/>
      <c r="AY55" s="72"/>
      <c r="AZ55" s="72"/>
    </row>
    <row r="56" s="51" customFormat="1">
      <c r="A56" s="80">
        <f t="shared" si="41"/>
        <v>28</v>
      </c>
      <c r="B56" s="54"/>
      <c r="C56" s="17" t="s">
        <v>118</v>
      </c>
      <c r="D56" s="54" t="s">
        <v>15</v>
      </c>
      <c r="E56" s="54" t="s">
        <v>17</v>
      </c>
      <c r="F56" s="54"/>
      <c r="G56" s="54"/>
      <c r="H56" s="139">
        <v>0.85</v>
      </c>
      <c r="I56" s="126"/>
      <c r="J56" s="126"/>
      <c r="K56" s="126"/>
      <c r="L56" s="53">
        <f ref="L56:L64" t="shared" si="44">SUM(I56:K56)</f>
        <v>0</v>
      </c>
      <c r="M56" s="79">
        <f t="shared" si="25"/>
        <v>3524207.1</v>
      </c>
      <c r="N56" s="55">
        <f t="shared" si="26"/>
        <v>0</v>
      </c>
      <c r="O56" s="77">
        <f t="shared" si="27"/>
        <v>0</v>
      </c>
      <c r="P56" s="78">
        <f t="shared" si="28"/>
        <v>219999.144</v>
      </c>
      <c r="Q56" s="78">
        <f t="shared" si="29"/>
        <v>179958.48</v>
      </c>
      <c r="R56" s="78">
        <f t="shared" si="30"/>
        <v>89979.24</v>
      </c>
      <c r="S56" s="77">
        <f ref="S56:S64" t="shared" si="45">SUM(P56:R56)</f>
        <v>489936.864</v>
      </c>
      <c r="T56" s="77">
        <v>345510.5</v>
      </c>
      <c r="U56" s="79"/>
      <c r="V56" s="53">
        <f t="shared" si="15"/>
        <v>3524207.1</v>
      </c>
      <c r="W56" s="53"/>
      <c r="X56" s="54"/>
      <c r="Y56" s="80">
        <f t="shared" si="32"/>
        <v>28</v>
      </c>
      <c r="Z56" s="76" t="str">
        <f t="shared" si="3"/>
        <v>SAEPUL HAMAMI</v>
      </c>
      <c r="AA56" s="75" t="s">
        <v>218</v>
      </c>
      <c r="AB56" s="74">
        <f t="shared" si="33"/>
        <v>3524207.1</v>
      </c>
      <c r="AC56" s="74">
        <f t="shared" si="34"/>
        <v>89979.24</v>
      </c>
      <c r="AD56" s="74"/>
      <c r="AE56" s="74">
        <f t="shared" si="35"/>
        <v>44989.62</v>
      </c>
      <c r="AF56" s="74">
        <f t="shared" si="4"/>
        <v>3389238.2399999998</v>
      </c>
      <c r="AG56" s="74">
        <f t="shared" si="17"/>
        <v>5625000</v>
      </c>
      <c r="AH56" s="74">
        <f t="shared" si="5"/>
        <v>-2235761.7600000002</v>
      </c>
      <c r="AI56" s="74">
        <f t="shared" si="36"/>
        <v>0</v>
      </c>
      <c r="AJ56" s="73">
        <f t="shared" si="6"/>
        <v>3389238.2399999998</v>
      </c>
      <c r="AK56" s="73"/>
      <c r="AL56" s="73"/>
      <c r="AM56" s="73"/>
      <c r="AN56" s="73">
        <f t="shared" si="37"/>
        <v>0</v>
      </c>
      <c r="AO56" s="73"/>
      <c r="AP56" s="73"/>
      <c r="AQ56" s="62">
        <f t="shared" si="7"/>
        <v>3389238.2399999998</v>
      </c>
      <c r="AR56" s="72"/>
      <c r="AS56" s="71">
        <f t="shared" si="40"/>
        <v>28</v>
      </c>
      <c r="AT56" s="52" t="str">
        <f t="shared" si="38"/>
        <v>SAEPUL HAMAMI</v>
      </c>
      <c r="AU56" s="60">
        <f t="shared" si="39"/>
        <v>3389238.2399999998</v>
      </c>
      <c r="AV56" s="69"/>
      <c r="AW56" s="54"/>
      <c r="AX56" s="54"/>
      <c r="AY56" s="72"/>
      <c r="AZ56" s="72"/>
    </row>
    <row r="57" s="51" customFormat="1">
      <c r="A57" s="80">
        <f t="shared" si="41"/>
        <v>29</v>
      </c>
      <c r="B57" s="54"/>
      <c r="C57" s="17" t="s">
        <v>286</v>
      </c>
      <c r="D57" s="54" t="s">
        <v>15</v>
      </c>
      <c r="E57" s="54" t="s">
        <v>17</v>
      </c>
      <c r="F57" s="54"/>
      <c r="G57" s="54"/>
      <c r="H57" s="139">
        <v>0.85</v>
      </c>
      <c r="I57" s="126"/>
      <c r="J57" s="126"/>
      <c r="K57" s="126"/>
      <c r="L57" s="53">
        <f t="shared" si="44"/>
        <v>0</v>
      </c>
      <c r="M57" s="79">
        <f t="shared" si="25"/>
        <v>3524207.1</v>
      </c>
      <c r="N57" s="55">
        <f t="shared" si="26"/>
        <v>0</v>
      </c>
      <c r="O57" s="77">
        <f t="shared" si="27"/>
        <v>0</v>
      </c>
      <c r="P57" s="78">
        <f t="shared" si="28"/>
        <v>219999.144</v>
      </c>
      <c r="Q57" s="78">
        <f t="shared" si="29"/>
        <v>179958.48</v>
      </c>
      <c r="R57" s="78">
        <f t="shared" si="30"/>
        <v>89979.24</v>
      </c>
      <c r="S57" s="77">
        <f t="shared" si="45"/>
        <v>489936.864</v>
      </c>
      <c r="T57" s="77">
        <v>345510.5</v>
      </c>
      <c r="U57" s="79"/>
      <c r="V57" s="53">
        <f t="shared" si="15"/>
        <v>3524207.1</v>
      </c>
      <c r="W57" s="53"/>
      <c r="X57" s="54"/>
      <c r="Y57" s="80">
        <f t="shared" si="32"/>
        <v>29</v>
      </c>
      <c r="Z57" s="76" t="str">
        <f t="shared" si="3"/>
        <v>SUWANDI</v>
      </c>
      <c r="AA57" s="75" t="s">
        <v>218</v>
      </c>
      <c r="AB57" s="74">
        <f t="shared" si="33"/>
        <v>3524207.1</v>
      </c>
      <c r="AC57" s="74">
        <f t="shared" si="34"/>
        <v>89979.24</v>
      </c>
      <c r="AD57" s="74">
        <f ref="AD57:AE67" t="shared" si="46">4498962*1%</f>
        <v>44989.62</v>
      </c>
      <c r="AE57" s="74">
        <f t="shared" si="46"/>
        <v>44989.62</v>
      </c>
      <c r="AF57" s="74">
        <f t="shared" si="4"/>
        <v>3344248.6199999996</v>
      </c>
      <c r="AG57" s="74">
        <f t="shared" si="17"/>
        <v>5625000</v>
      </c>
      <c r="AH57" s="74">
        <f t="shared" si="5"/>
        <v>-2280751.3800000004</v>
      </c>
      <c r="AI57" s="74">
        <f t="shared" si="36"/>
        <v>0</v>
      </c>
      <c r="AJ57" s="73">
        <f t="shared" si="6"/>
        <v>3344248.6199999996</v>
      </c>
      <c r="AK57" s="73"/>
      <c r="AL57" s="73"/>
      <c r="AM57" s="73"/>
      <c r="AN57" s="73">
        <f t="shared" si="37"/>
        <v>0</v>
      </c>
      <c r="AO57" s="73"/>
      <c r="AP57" s="73"/>
      <c r="AQ57" s="62">
        <f t="shared" si="7"/>
        <v>3344248.6199999996</v>
      </c>
      <c r="AR57" s="72"/>
      <c r="AS57" s="71">
        <f t="shared" si="40"/>
        <v>29</v>
      </c>
      <c r="AT57" s="52" t="str">
        <f t="shared" si="38"/>
        <v>SUWANDI</v>
      </c>
      <c r="AU57" s="60">
        <f t="shared" si="39"/>
        <v>3344248.6199999996</v>
      </c>
      <c r="AV57" s="69"/>
      <c r="AW57" s="54"/>
      <c r="AX57" s="54"/>
      <c r="AY57" s="72"/>
      <c r="AZ57" s="72"/>
    </row>
    <row r="58" s="51" customFormat="1">
      <c r="A58" s="80">
        <f t="shared" si="41"/>
        <v>30</v>
      </c>
      <c r="B58" s="54"/>
      <c r="C58" s="17" t="s">
        <v>150</v>
      </c>
      <c r="D58" s="54" t="s">
        <v>15</v>
      </c>
      <c r="E58" s="54" t="s">
        <v>17</v>
      </c>
      <c r="F58" s="54"/>
      <c r="G58" s="54"/>
      <c r="H58" s="139">
        <v>0.85</v>
      </c>
      <c r="I58" s="126"/>
      <c r="J58" s="126"/>
      <c r="K58" s="126"/>
      <c r="L58" s="53">
        <f t="shared" si="44"/>
        <v>0</v>
      </c>
      <c r="M58" s="79">
        <f t="shared" si="25"/>
        <v>3524207.1</v>
      </c>
      <c r="N58" s="55">
        <f t="shared" si="26"/>
        <v>0</v>
      </c>
      <c r="O58" s="77">
        <f t="shared" si="27"/>
        <v>0</v>
      </c>
      <c r="P58" s="78">
        <f t="shared" si="28"/>
        <v>219999.144</v>
      </c>
      <c r="Q58" s="78">
        <f t="shared" si="29"/>
        <v>179958.48</v>
      </c>
      <c r="R58" s="78">
        <f t="shared" si="30"/>
        <v>89979.24</v>
      </c>
      <c r="S58" s="77">
        <f t="shared" si="45"/>
        <v>489936.864</v>
      </c>
      <c r="T58" s="77">
        <v>345510.5</v>
      </c>
      <c r="U58" s="79"/>
      <c r="V58" s="53">
        <f t="shared" si="15"/>
        <v>3524207.1</v>
      </c>
      <c r="W58" s="53"/>
      <c r="X58" s="54"/>
      <c r="Y58" s="80">
        <f t="shared" si="32"/>
        <v>30</v>
      </c>
      <c r="Z58" s="76" t="str">
        <f t="shared" si="3"/>
        <v>YAKUB</v>
      </c>
      <c r="AA58" s="75" t="s">
        <v>218</v>
      </c>
      <c r="AB58" s="74">
        <f t="shared" si="33"/>
        <v>3524207.1</v>
      </c>
      <c r="AC58" s="74">
        <f t="shared" si="34"/>
        <v>89979.24</v>
      </c>
      <c r="AD58" s="74">
        <f t="shared" si="46"/>
        <v>44989.62</v>
      </c>
      <c r="AE58" s="74">
        <f t="shared" si="46"/>
        <v>44989.62</v>
      </c>
      <c r="AF58" s="74">
        <f t="shared" si="4"/>
        <v>3344248.6199999996</v>
      </c>
      <c r="AG58" s="74">
        <f t="shared" si="17"/>
        <v>5625000</v>
      </c>
      <c r="AH58" s="74">
        <f t="shared" si="5"/>
        <v>-2280751.3800000004</v>
      </c>
      <c r="AI58" s="74">
        <f t="shared" si="36"/>
        <v>0</v>
      </c>
      <c r="AJ58" s="73">
        <f t="shared" si="6"/>
        <v>3344248.6199999996</v>
      </c>
      <c r="AK58" s="73"/>
      <c r="AL58" s="73"/>
      <c r="AM58" s="73"/>
      <c r="AN58" s="73">
        <f t="shared" si="37"/>
        <v>0</v>
      </c>
      <c r="AO58" s="73"/>
      <c r="AP58" s="73"/>
      <c r="AQ58" s="62">
        <f t="shared" si="7"/>
        <v>3344248.6199999996</v>
      </c>
      <c r="AR58" s="72"/>
      <c r="AS58" s="71">
        <f t="shared" si="40"/>
        <v>30</v>
      </c>
      <c r="AT58" s="52" t="str">
        <f t="shared" si="38"/>
        <v>YAKUB</v>
      </c>
      <c r="AU58" s="60">
        <f t="shared" si="39"/>
        <v>3344248.6199999996</v>
      </c>
      <c r="AV58" s="69"/>
      <c r="AW58" s="54"/>
      <c r="AX58" s="54"/>
      <c r="AY58" s="72"/>
      <c r="AZ58" s="72"/>
    </row>
    <row r="59" s="51" customFormat="1">
      <c r="A59" s="80">
        <f t="shared" si="41"/>
        <v>31</v>
      </c>
      <c r="B59" s="54"/>
      <c r="C59" s="17" t="s">
        <v>287</v>
      </c>
      <c r="D59" s="54" t="s">
        <v>15</v>
      </c>
      <c r="E59" s="54" t="s">
        <v>17</v>
      </c>
      <c r="F59" s="54"/>
      <c r="G59" s="54">
        <v>14</v>
      </c>
      <c r="H59" s="139" t="s">
        <v>268</v>
      </c>
      <c r="I59" s="126"/>
      <c r="J59" s="126"/>
      <c r="K59" s="126"/>
      <c r="L59" s="53">
        <f t="shared" si="44"/>
        <v>0</v>
      </c>
      <c r="M59" s="79">
        <v>0</v>
      </c>
      <c r="N59" s="55">
        <f t="shared" si="26"/>
        <v>0</v>
      </c>
      <c r="O59" s="77">
        <f>+(G59*165845)*85%</f>
        <v>1973555.5</v>
      </c>
      <c r="P59" s="78">
        <f t="shared" si="28"/>
        <v>219999.144</v>
      </c>
      <c r="Q59" s="78">
        <f t="shared" si="29"/>
        <v>179958.48</v>
      </c>
      <c r="R59" s="78">
        <f t="shared" si="30"/>
        <v>89979.24</v>
      </c>
      <c r="S59" s="77">
        <f t="shared" si="45"/>
        <v>489936.864</v>
      </c>
      <c r="T59" s="77">
        <v>345510.5</v>
      </c>
      <c r="U59" s="79"/>
      <c r="V59" s="53">
        <f t="shared" si="15"/>
        <v>1973555.5</v>
      </c>
      <c r="W59" s="53"/>
      <c r="X59" s="54"/>
      <c r="Y59" s="80">
        <f t="shared" si="32"/>
        <v>31</v>
      </c>
      <c r="Z59" s="76" t="str">
        <f t="shared" si="3"/>
        <v>AJI IRAWAN</v>
      </c>
      <c r="AA59" s="75" t="s">
        <v>218</v>
      </c>
      <c r="AB59" s="74">
        <f t="shared" si="33"/>
        <v>1973555.5</v>
      </c>
      <c r="AC59" s="74">
        <f t="shared" si="34"/>
        <v>89979.24</v>
      </c>
      <c r="AD59" s="74"/>
      <c r="AE59" s="74">
        <f t="shared" si="46"/>
        <v>44989.62</v>
      </c>
      <c r="AF59" s="74">
        <f t="shared" si="4"/>
        <v>1838586.64</v>
      </c>
      <c r="AG59" s="74">
        <f t="shared" si="17"/>
        <v>5625000</v>
      </c>
      <c r="AH59" s="74">
        <f t="shared" si="5"/>
        <v>-3786413.3600000003</v>
      </c>
      <c r="AI59" s="74">
        <f t="shared" si="36"/>
        <v>0</v>
      </c>
      <c r="AJ59" s="73">
        <f t="shared" si="6"/>
        <v>1838586.64</v>
      </c>
      <c r="AK59" s="73"/>
      <c r="AL59" s="73"/>
      <c r="AM59" s="73"/>
      <c r="AN59" s="73">
        <f t="shared" si="37"/>
        <v>0</v>
      </c>
      <c r="AO59" s="73"/>
      <c r="AP59" s="73"/>
      <c r="AQ59" s="62">
        <f t="shared" si="7"/>
        <v>1838586.64</v>
      </c>
      <c r="AR59" s="72"/>
      <c r="AS59" s="71">
        <f t="shared" si="40"/>
        <v>31</v>
      </c>
      <c r="AT59" s="52" t="str">
        <f t="shared" si="38"/>
        <v>AJI IRAWAN</v>
      </c>
      <c r="AU59" s="60">
        <f t="shared" si="39"/>
        <v>1838586.64</v>
      </c>
      <c r="AV59" s="69"/>
      <c r="AW59" s="54"/>
      <c r="AX59" s="54"/>
      <c r="AY59" s="72"/>
      <c r="AZ59" s="72"/>
    </row>
    <row r="60" s="51" customFormat="1">
      <c r="A60" s="80">
        <f t="shared" si="41"/>
        <v>32</v>
      </c>
      <c r="B60" s="54"/>
      <c r="C60" s="17" t="s">
        <v>38</v>
      </c>
      <c r="D60" s="54" t="s">
        <v>15</v>
      </c>
      <c r="E60" s="54" t="s">
        <v>17</v>
      </c>
      <c r="F60" s="54"/>
      <c r="G60" s="54">
        <v>14</v>
      </c>
      <c r="H60" s="139" t="s">
        <v>268</v>
      </c>
      <c r="I60" s="126"/>
      <c r="J60" s="126"/>
      <c r="K60" s="126"/>
      <c r="L60" s="53">
        <f t="shared" si="44"/>
        <v>0</v>
      </c>
      <c r="M60" s="79">
        <v>0</v>
      </c>
      <c r="N60" s="55">
        <f t="shared" si="26"/>
        <v>0</v>
      </c>
      <c r="O60" s="77">
        <f ref="O60:O67" t="shared" si="47">+(G60*165845)*85%</f>
        <v>1973555.5</v>
      </c>
      <c r="P60" s="78">
        <f t="shared" si="28"/>
        <v>219999.144</v>
      </c>
      <c r="Q60" s="78">
        <f t="shared" si="29"/>
        <v>179958.48</v>
      </c>
      <c r="R60" s="78">
        <f t="shared" si="30"/>
        <v>89979.24</v>
      </c>
      <c r="S60" s="77">
        <f t="shared" si="45"/>
        <v>489936.864</v>
      </c>
      <c r="T60" s="77">
        <v>345510.5</v>
      </c>
      <c r="U60" s="79"/>
      <c r="V60" s="53">
        <f t="shared" si="15"/>
        <v>1973555.5</v>
      </c>
      <c r="W60" s="53"/>
      <c r="X60" s="54"/>
      <c r="Y60" s="80">
        <f t="shared" si="32"/>
        <v>32</v>
      </c>
      <c r="Z60" s="76" t="str">
        <f t="shared" si="3"/>
        <v>ARMAN</v>
      </c>
      <c r="AA60" s="75" t="s">
        <v>218</v>
      </c>
      <c r="AB60" s="74">
        <f t="shared" si="33"/>
        <v>1973555.5</v>
      </c>
      <c r="AC60" s="74">
        <f t="shared" si="34"/>
        <v>89979.24</v>
      </c>
      <c r="AD60" s="74">
        <f t="shared" si="46"/>
        <v>44989.62</v>
      </c>
      <c r="AE60" s="74">
        <f t="shared" si="46"/>
        <v>44989.62</v>
      </c>
      <c r="AF60" s="74">
        <f t="shared" si="4"/>
        <v>1793597.0199999998</v>
      </c>
      <c r="AG60" s="74">
        <f t="shared" si="17"/>
        <v>5625000</v>
      </c>
      <c r="AH60" s="74">
        <f t="shared" si="5"/>
        <v>-3831402.9800000004</v>
      </c>
      <c r="AI60" s="74">
        <f t="shared" si="36"/>
        <v>0</v>
      </c>
      <c r="AJ60" s="73">
        <f t="shared" si="6"/>
        <v>1793597.0199999998</v>
      </c>
      <c r="AK60" s="73"/>
      <c r="AL60" s="73"/>
      <c r="AM60" s="73">
        <v>400000</v>
      </c>
      <c r="AN60" s="73">
        <f t="shared" si="37"/>
        <v>0</v>
      </c>
      <c r="AO60" s="73"/>
      <c r="AP60" s="73"/>
      <c r="AQ60" s="62">
        <f t="shared" si="7"/>
        <v>1393597.0199999998</v>
      </c>
      <c r="AR60" s="72"/>
      <c r="AS60" s="71">
        <f t="shared" si="40"/>
        <v>32</v>
      </c>
      <c r="AT60" s="52" t="str">
        <f t="shared" si="38"/>
        <v>ARMAN</v>
      </c>
      <c r="AU60" s="60">
        <f t="shared" si="39"/>
        <v>1393597.0199999998</v>
      </c>
      <c r="AV60" s="69"/>
      <c r="AW60" s="54"/>
      <c r="AX60" s="54"/>
      <c r="AY60" s="72"/>
      <c r="AZ60" s="72"/>
    </row>
    <row r="61" s="51" customFormat="1">
      <c r="A61" s="80">
        <f t="shared" si="41"/>
        <v>33</v>
      </c>
      <c r="B61" s="54"/>
      <c r="C61" s="17" t="s">
        <v>288</v>
      </c>
      <c r="D61" s="54" t="s">
        <v>15</v>
      </c>
      <c r="E61" s="54" t="s">
        <v>17</v>
      </c>
      <c r="F61" s="54"/>
      <c r="G61" s="54">
        <v>14</v>
      </c>
      <c r="H61" s="139" t="s">
        <v>268</v>
      </c>
      <c r="I61" s="126"/>
      <c r="J61" s="126"/>
      <c r="K61" s="126"/>
      <c r="L61" s="53">
        <f t="shared" si="44"/>
        <v>0</v>
      </c>
      <c r="M61" s="79">
        <v>0</v>
      </c>
      <c r="N61" s="55">
        <f t="shared" si="26"/>
        <v>0</v>
      </c>
      <c r="O61" s="77">
        <f t="shared" si="47"/>
        <v>1973555.5</v>
      </c>
      <c r="P61" s="78">
        <f t="shared" si="28"/>
        <v>219999.144</v>
      </c>
      <c r="Q61" s="78">
        <f t="shared" si="29"/>
        <v>179958.48</v>
      </c>
      <c r="R61" s="78">
        <f t="shared" si="30"/>
        <v>89979.24</v>
      </c>
      <c r="S61" s="77">
        <f t="shared" si="45"/>
        <v>489936.864</v>
      </c>
      <c r="T61" s="77">
        <v>345510.5</v>
      </c>
      <c r="U61" s="79"/>
      <c r="V61" s="53">
        <f t="shared" si="15"/>
        <v>1973555.5</v>
      </c>
      <c r="W61" s="53"/>
      <c r="X61" s="54"/>
      <c r="Y61" s="80">
        <f t="shared" si="32"/>
        <v>33</v>
      </c>
      <c r="Z61" s="76" t="str">
        <f t="shared" si="3"/>
        <v>HANDRI PLANI</v>
      </c>
      <c r="AA61" s="75" t="s">
        <v>218</v>
      </c>
      <c r="AB61" s="74">
        <f t="shared" si="33"/>
        <v>1973555.5</v>
      </c>
      <c r="AC61" s="74">
        <f t="shared" si="34"/>
        <v>89979.24</v>
      </c>
      <c r="AD61" s="74">
        <f t="shared" si="46"/>
        <v>44989.62</v>
      </c>
      <c r="AE61" s="74">
        <f t="shared" si="46"/>
        <v>44989.62</v>
      </c>
      <c r="AF61" s="74">
        <f t="shared" si="4"/>
        <v>1793597.0199999998</v>
      </c>
      <c r="AG61" s="74">
        <f t="shared" si="17"/>
        <v>5625000</v>
      </c>
      <c r="AH61" s="74">
        <f t="shared" si="5"/>
        <v>-3831402.9800000004</v>
      </c>
      <c r="AI61" s="74">
        <f t="shared" si="36"/>
        <v>0</v>
      </c>
      <c r="AJ61" s="73">
        <f t="shared" si="6"/>
        <v>1793597.0199999998</v>
      </c>
      <c r="AK61" s="73"/>
      <c r="AL61" s="73"/>
      <c r="AM61" s="73"/>
      <c r="AN61" s="73">
        <f t="shared" si="37"/>
        <v>0</v>
      </c>
      <c r="AO61" s="73"/>
      <c r="AP61" s="73"/>
      <c r="AQ61" s="62">
        <f t="shared" si="7"/>
        <v>1793597.0199999998</v>
      </c>
      <c r="AR61" s="72"/>
      <c r="AS61" s="71">
        <f t="shared" si="40"/>
        <v>33</v>
      </c>
      <c r="AT61" s="52" t="str">
        <f t="shared" si="38"/>
        <v>HANDRI PLANI</v>
      </c>
      <c r="AU61" s="60">
        <f t="shared" si="39"/>
        <v>1793597.0199999998</v>
      </c>
      <c r="AV61" s="69"/>
      <c r="AW61" s="54"/>
      <c r="AX61" s="54"/>
      <c r="AY61" s="72"/>
      <c r="AZ61" s="72"/>
    </row>
    <row r="62" s="51" customFormat="1">
      <c r="A62" s="80">
        <f t="shared" si="41"/>
        <v>34</v>
      </c>
      <c r="B62" s="54"/>
      <c r="C62" s="17" t="s">
        <v>289</v>
      </c>
      <c r="D62" s="54" t="s">
        <v>15</v>
      </c>
      <c r="E62" s="54" t="s">
        <v>17</v>
      </c>
      <c r="F62" s="54"/>
      <c r="G62" s="54">
        <v>14</v>
      </c>
      <c r="H62" s="139" t="s">
        <v>268</v>
      </c>
      <c r="I62" s="126"/>
      <c r="J62" s="126"/>
      <c r="K62" s="126"/>
      <c r="L62" s="53">
        <f t="shared" si="44"/>
        <v>0</v>
      </c>
      <c r="M62" s="79">
        <v>0</v>
      </c>
      <c r="N62" s="55">
        <f t="shared" si="26"/>
        <v>0</v>
      </c>
      <c r="O62" s="77">
        <f t="shared" si="47"/>
        <v>1973555.5</v>
      </c>
      <c r="P62" s="78">
        <f t="shared" si="28"/>
        <v>219999.144</v>
      </c>
      <c r="Q62" s="78">
        <f t="shared" si="29"/>
        <v>179958.48</v>
      </c>
      <c r="R62" s="78">
        <f t="shared" si="30"/>
        <v>89979.24</v>
      </c>
      <c r="S62" s="77">
        <f t="shared" si="45"/>
        <v>489936.864</v>
      </c>
      <c r="T62" s="77">
        <v>345510.5</v>
      </c>
      <c r="U62" s="79"/>
      <c r="V62" s="53">
        <f t="shared" si="15"/>
        <v>1973555.5</v>
      </c>
      <c r="W62" s="53"/>
      <c r="X62" s="54"/>
      <c r="Y62" s="80">
        <f t="shared" si="32"/>
        <v>34</v>
      </c>
      <c r="Z62" s="76" t="str">
        <f t="shared" si="3"/>
        <v>IRFAN SEPTIAN</v>
      </c>
      <c r="AA62" s="75" t="s">
        <v>218</v>
      </c>
      <c r="AB62" s="74">
        <f t="shared" si="33"/>
        <v>1973555.5</v>
      </c>
      <c r="AC62" s="74">
        <f t="shared" si="34"/>
        <v>89979.24</v>
      </c>
      <c r="AD62" s="74">
        <f t="shared" si="46"/>
        <v>44989.62</v>
      </c>
      <c r="AE62" s="74">
        <f t="shared" si="46"/>
        <v>44989.62</v>
      </c>
      <c r="AF62" s="74">
        <f t="shared" si="4"/>
        <v>1793597.0199999998</v>
      </c>
      <c r="AG62" s="74">
        <f t="shared" si="17"/>
        <v>5625000</v>
      </c>
      <c r="AH62" s="74">
        <f t="shared" si="5"/>
        <v>-3831402.9800000004</v>
      </c>
      <c r="AI62" s="74">
        <f t="shared" si="36"/>
        <v>0</v>
      </c>
      <c r="AJ62" s="73">
        <f t="shared" si="6"/>
        <v>1793597.0199999998</v>
      </c>
      <c r="AK62" s="73"/>
      <c r="AL62" s="73"/>
      <c r="AM62" s="73"/>
      <c r="AN62" s="73">
        <f t="shared" si="37"/>
        <v>0</v>
      </c>
      <c r="AO62" s="73"/>
      <c r="AP62" s="73"/>
      <c r="AQ62" s="62">
        <f t="shared" si="7"/>
        <v>1793597.0199999998</v>
      </c>
      <c r="AR62" s="72"/>
      <c r="AS62" s="71">
        <f t="shared" si="40"/>
        <v>34</v>
      </c>
      <c r="AT62" s="52" t="str">
        <f t="shared" si="38"/>
        <v>IRFAN SEPTIAN</v>
      </c>
      <c r="AU62" s="60">
        <f t="shared" si="39"/>
        <v>1793597.0199999998</v>
      </c>
      <c r="AV62" s="69"/>
      <c r="AW62" s="54"/>
      <c r="AX62" s="54"/>
      <c r="AY62" s="72"/>
      <c r="AZ62" s="72"/>
    </row>
    <row r="63" s="51" customFormat="1">
      <c r="A63" s="80">
        <f t="shared" si="41"/>
        <v>35</v>
      </c>
      <c r="B63" s="54"/>
      <c r="C63" s="17" t="s">
        <v>87</v>
      </c>
      <c r="D63" s="54" t="s">
        <v>15</v>
      </c>
      <c r="E63" s="54" t="s">
        <v>17</v>
      </c>
      <c r="F63" s="54"/>
      <c r="G63" s="54">
        <v>14</v>
      </c>
      <c r="H63" s="139" t="s">
        <v>268</v>
      </c>
      <c r="I63" s="126"/>
      <c r="J63" s="126"/>
      <c r="K63" s="126"/>
      <c r="L63" s="53">
        <f t="shared" si="44"/>
        <v>0</v>
      </c>
      <c r="M63" s="79">
        <v>0</v>
      </c>
      <c r="N63" s="55">
        <f t="shared" si="26"/>
        <v>0</v>
      </c>
      <c r="O63" s="77">
        <f t="shared" si="47"/>
        <v>1973555.5</v>
      </c>
      <c r="P63" s="78">
        <f t="shared" si="28"/>
        <v>219999.144</v>
      </c>
      <c r="Q63" s="78">
        <f t="shared" si="29"/>
        <v>179958.48</v>
      </c>
      <c r="R63" s="78">
        <f t="shared" si="30"/>
        <v>89979.24</v>
      </c>
      <c r="S63" s="77">
        <f t="shared" si="45"/>
        <v>489936.864</v>
      </c>
      <c r="T63" s="77">
        <v>345510.5</v>
      </c>
      <c r="U63" s="79"/>
      <c r="V63" s="53">
        <f t="shared" si="15"/>
        <v>1973555.5</v>
      </c>
      <c r="W63" s="53"/>
      <c r="X63" s="54"/>
      <c r="Y63" s="80">
        <f t="shared" si="32"/>
        <v>35</v>
      </c>
      <c r="Z63" s="76" t="str">
        <f t="shared" si="3"/>
        <v>IRFANI</v>
      </c>
      <c r="AA63" s="75" t="s">
        <v>218</v>
      </c>
      <c r="AB63" s="74">
        <f t="shared" si="33"/>
        <v>1973555.5</v>
      </c>
      <c r="AC63" s="74">
        <f t="shared" si="34"/>
        <v>89979.24</v>
      </c>
      <c r="AD63" s="74">
        <f t="shared" si="46"/>
        <v>44989.62</v>
      </c>
      <c r="AE63" s="74">
        <f t="shared" si="46"/>
        <v>44989.62</v>
      </c>
      <c r="AF63" s="74">
        <f t="shared" si="4"/>
        <v>1793597.0199999998</v>
      </c>
      <c r="AG63" s="74">
        <f t="shared" si="17"/>
        <v>5625000</v>
      </c>
      <c r="AH63" s="74">
        <f t="shared" si="5"/>
        <v>-3831402.9800000004</v>
      </c>
      <c r="AI63" s="74">
        <f t="shared" si="36"/>
        <v>0</v>
      </c>
      <c r="AJ63" s="73">
        <f t="shared" si="6"/>
        <v>1793597.0199999998</v>
      </c>
      <c r="AK63" s="73"/>
      <c r="AL63" s="73"/>
      <c r="AM63" s="73">
        <v>400000</v>
      </c>
      <c r="AN63" s="73">
        <f t="shared" si="37"/>
        <v>0</v>
      </c>
      <c r="AO63" s="73"/>
      <c r="AP63" s="73"/>
      <c r="AQ63" s="62">
        <f t="shared" si="7"/>
        <v>1393597.0199999998</v>
      </c>
      <c r="AR63" s="72"/>
      <c r="AS63" s="71">
        <f t="shared" si="40"/>
        <v>35</v>
      </c>
      <c r="AT63" s="52" t="str">
        <f t="shared" si="38"/>
        <v>IRFANI</v>
      </c>
      <c r="AU63" s="60">
        <f t="shared" si="39"/>
        <v>1393597.0199999998</v>
      </c>
      <c r="AV63" s="69"/>
      <c r="AW63" s="54"/>
      <c r="AX63" s="54"/>
      <c r="AY63" s="72"/>
      <c r="AZ63" s="72"/>
    </row>
    <row r="64" s="51" customFormat="1">
      <c r="A64" s="80">
        <f t="shared" si="41"/>
        <v>36</v>
      </c>
      <c r="B64" s="54"/>
      <c r="C64" s="17" t="s">
        <v>290</v>
      </c>
      <c r="D64" s="54" t="s">
        <v>15</v>
      </c>
      <c r="E64" s="54" t="s">
        <v>17</v>
      </c>
      <c r="F64" s="54"/>
      <c r="G64" s="54">
        <v>14</v>
      </c>
      <c r="H64" s="139" t="s">
        <v>268</v>
      </c>
      <c r="I64" s="126"/>
      <c r="J64" s="126"/>
      <c r="K64" s="126"/>
      <c r="L64" s="53">
        <f t="shared" si="44"/>
        <v>0</v>
      </c>
      <c r="M64" s="79">
        <v>0</v>
      </c>
      <c r="N64" s="55">
        <f t="shared" si="26"/>
        <v>0</v>
      </c>
      <c r="O64" s="77">
        <f t="shared" si="47"/>
        <v>1973555.5</v>
      </c>
      <c r="P64" s="78">
        <f t="shared" si="28"/>
        <v>219999.144</v>
      </c>
      <c r="Q64" s="78">
        <f t="shared" si="29"/>
        <v>179958.48</v>
      </c>
      <c r="R64" s="78">
        <f t="shared" si="30"/>
        <v>89979.24</v>
      </c>
      <c r="S64" s="77">
        <f t="shared" si="45"/>
        <v>489936.864</v>
      </c>
      <c r="T64" s="77">
        <v>345510.5</v>
      </c>
      <c r="U64" s="79"/>
      <c r="V64" s="53">
        <f t="shared" si="15"/>
        <v>1973555.5</v>
      </c>
      <c r="W64" s="53"/>
      <c r="X64" s="54"/>
      <c r="Y64" s="80">
        <f t="shared" si="32"/>
        <v>36</v>
      </c>
      <c r="Z64" s="76" t="str">
        <f t="shared" si="3"/>
        <v>MOHAMAD SYAHPII</v>
      </c>
      <c r="AA64" s="75" t="s">
        <v>218</v>
      </c>
      <c r="AB64" s="74">
        <f t="shared" si="33"/>
        <v>1973555.5</v>
      </c>
      <c r="AC64" s="74">
        <f t="shared" si="34"/>
        <v>89979.24</v>
      </c>
      <c r="AD64" s="74">
        <f t="shared" si="46"/>
        <v>44989.62</v>
      </c>
      <c r="AE64" s="74">
        <f t="shared" si="46"/>
        <v>44989.62</v>
      </c>
      <c r="AF64" s="74">
        <f t="shared" si="4"/>
        <v>1793597.0199999998</v>
      </c>
      <c r="AG64" s="74">
        <f t="shared" si="17"/>
        <v>5625000</v>
      </c>
      <c r="AH64" s="74">
        <f t="shared" si="5"/>
        <v>-3831402.9800000004</v>
      </c>
      <c r="AI64" s="74">
        <f t="shared" si="36"/>
        <v>0</v>
      </c>
      <c r="AJ64" s="73">
        <f t="shared" si="6"/>
        <v>1793597.0199999998</v>
      </c>
      <c r="AK64" s="73"/>
      <c r="AL64" s="73"/>
      <c r="AM64" s="73"/>
      <c r="AN64" s="73">
        <f t="shared" si="37"/>
        <v>0</v>
      </c>
      <c r="AO64" s="73"/>
      <c r="AP64" s="73"/>
      <c r="AQ64" s="62">
        <f t="shared" si="7"/>
        <v>1793597.0199999998</v>
      </c>
      <c r="AR64" s="72"/>
      <c r="AS64" s="71">
        <f t="shared" si="40"/>
        <v>36</v>
      </c>
      <c r="AT64" s="52" t="str">
        <f t="shared" si="38"/>
        <v>MOHAMAD SYAHPII</v>
      </c>
      <c r="AU64" s="60">
        <f t="shared" si="39"/>
        <v>1793597.0199999998</v>
      </c>
      <c r="AV64" s="69"/>
      <c r="AW64" s="54"/>
      <c r="AX64" s="54"/>
      <c r="AY64" s="72"/>
      <c r="AZ64" s="72"/>
    </row>
    <row r="65" s="51" customFormat="1">
      <c r="A65" s="80">
        <f t="shared" si="41"/>
        <v>37</v>
      </c>
      <c r="B65" s="54"/>
      <c r="C65" s="17" t="s">
        <v>135</v>
      </c>
      <c r="D65" s="54" t="s">
        <v>15</v>
      </c>
      <c r="E65" s="54" t="s">
        <v>17</v>
      </c>
      <c r="F65" s="54"/>
      <c r="G65" s="54">
        <v>14</v>
      </c>
      <c r="H65" s="139" t="s">
        <v>268</v>
      </c>
      <c r="I65" s="126"/>
      <c r="J65" s="126"/>
      <c r="K65" s="126"/>
      <c r="L65" s="53">
        <f>SUM(I65:K65)</f>
        <v>0</v>
      </c>
      <c r="M65" s="79">
        <v>0</v>
      </c>
      <c r="N65" s="55">
        <f t="shared" si="26"/>
        <v>0</v>
      </c>
      <c r="O65" s="77">
        <f t="shared" si="47"/>
        <v>1973555.5</v>
      </c>
      <c r="P65" s="78">
        <f t="shared" si="28"/>
        <v>219999.144</v>
      </c>
      <c r="Q65" s="78">
        <f t="shared" si="29"/>
        <v>179958.48</v>
      </c>
      <c r="R65" s="78">
        <f t="shared" si="30"/>
        <v>89979.24</v>
      </c>
      <c r="S65" s="77">
        <f>SUM(P65:R65)</f>
        <v>489936.864</v>
      </c>
      <c r="T65" s="77">
        <v>345510.5</v>
      </c>
      <c r="U65" s="79"/>
      <c r="V65" s="53">
        <f t="shared" si="15"/>
        <v>1973555.5</v>
      </c>
      <c r="W65" s="53"/>
      <c r="X65" s="54"/>
      <c r="Y65" s="80">
        <f t="shared" si="32"/>
        <v>37</v>
      </c>
      <c r="Z65" s="76" t="str">
        <f t="shared" si="3"/>
        <v>SUPRIYANTO</v>
      </c>
      <c r="AA65" s="75" t="s">
        <v>218</v>
      </c>
      <c r="AB65" s="74">
        <f>+M65+N65+O65+U65</f>
        <v>1973555.5</v>
      </c>
      <c r="AC65" s="74">
        <f t="shared" si="34"/>
        <v>89979.24</v>
      </c>
      <c r="AD65" s="74">
        <f t="shared" si="46"/>
        <v>44989.62</v>
      </c>
      <c r="AE65" s="74">
        <f t="shared" si="46"/>
        <v>44989.62</v>
      </c>
      <c r="AF65" s="74">
        <f t="shared" si="4"/>
        <v>1793597.0199999998</v>
      </c>
      <c r="AG65" s="74">
        <f t="shared" si="17"/>
        <v>5625000</v>
      </c>
      <c r="AH65" s="74">
        <f t="shared" si="5"/>
        <v>-3831402.9800000004</v>
      </c>
      <c r="AI65" s="74">
        <f t="shared" si="36"/>
        <v>0</v>
      </c>
      <c r="AJ65" s="73">
        <f t="shared" si="6"/>
        <v>1793597.0199999998</v>
      </c>
      <c r="AK65" s="73"/>
      <c r="AL65" s="73"/>
      <c r="AM65" s="73">
        <v>400000</v>
      </c>
      <c r="AN65" s="73">
        <f t="shared" si="37"/>
        <v>0</v>
      </c>
      <c r="AO65" s="73"/>
      <c r="AP65" s="73"/>
      <c r="AQ65" s="62">
        <f t="shared" si="7"/>
        <v>1393597.0199999998</v>
      </c>
      <c r="AR65" s="72"/>
      <c r="AS65" s="71">
        <f t="shared" si="40"/>
        <v>37</v>
      </c>
      <c r="AT65" s="52" t="str">
        <f t="shared" si="38"/>
        <v>SUPRIYANTO</v>
      </c>
      <c r="AU65" s="60">
        <f t="shared" si="39"/>
        <v>1393597.0199999998</v>
      </c>
      <c r="AV65" s="69"/>
      <c r="AW65" s="54"/>
      <c r="AX65" s="54"/>
      <c r="AY65" s="72"/>
      <c r="AZ65" s="72"/>
    </row>
    <row r="66" s="51" customFormat="1">
      <c r="A66" s="80">
        <f t="shared" si="41"/>
        <v>38</v>
      </c>
      <c r="B66" s="54"/>
      <c r="C66" s="17" t="s">
        <v>291</v>
      </c>
      <c r="D66" s="54" t="s">
        <v>15</v>
      </c>
      <c r="E66" s="54" t="s">
        <v>17</v>
      </c>
      <c r="F66" s="54"/>
      <c r="G66" s="54">
        <v>14</v>
      </c>
      <c r="H66" s="139" t="s">
        <v>268</v>
      </c>
      <c r="I66" s="126"/>
      <c r="J66" s="126"/>
      <c r="K66" s="126"/>
      <c r="L66" s="53">
        <f>SUM(I66:K66)</f>
        <v>0</v>
      </c>
      <c r="M66" s="79">
        <v>0</v>
      </c>
      <c r="N66" s="55">
        <f t="shared" si="26"/>
        <v>0</v>
      </c>
      <c r="O66" s="77">
        <f t="shared" si="47"/>
        <v>1973555.5</v>
      </c>
      <c r="P66" s="78">
        <f t="shared" si="28"/>
        <v>219999.144</v>
      </c>
      <c r="Q66" s="78">
        <f t="shared" si="29"/>
        <v>179958.48</v>
      </c>
      <c r="R66" s="78">
        <f t="shared" si="30"/>
        <v>89979.24</v>
      </c>
      <c r="S66" s="77">
        <f>SUM(P66:R66)</f>
        <v>489936.864</v>
      </c>
      <c r="T66" s="77">
        <v>345510.5</v>
      </c>
      <c r="U66" s="79"/>
      <c r="V66" s="53">
        <f t="shared" si="15"/>
        <v>1973555.5</v>
      </c>
      <c r="W66" s="53"/>
      <c r="X66" s="54"/>
      <c r="Y66" s="80">
        <f t="shared" si="32"/>
        <v>38</v>
      </c>
      <c r="Z66" s="76" t="str">
        <f t="shared" si="3"/>
        <v>TANTOSO</v>
      </c>
      <c r="AA66" s="75" t="s">
        <v>218</v>
      </c>
      <c r="AB66" s="74">
        <f>+M66+N66+O66+U66</f>
        <v>1973555.5</v>
      </c>
      <c r="AC66" s="74">
        <f t="shared" si="34"/>
        <v>89979.24</v>
      </c>
      <c r="AD66" s="74">
        <f t="shared" si="46"/>
        <v>44989.62</v>
      </c>
      <c r="AE66" s="74">
        <f t="shared" si="46"/>
        <v>44989.62</v>
      </c>
      <c r="AF66" s="74">
        <f t="shared" si="4"/>
        <v>1793597.0199999998</v>
      </c>
      <c r="AG66" s="74">
        <f t="shared" si="17"/>
        <v>5625000</v>
      </c>
      <c r="AH66" s="74">
        <f t="shared" si="5"/>
        <v>-3831402.9800000004</v>
      </c>
      <c r="AI66" s="74">
        <f t="shared" si="36"/>
        <v>0</v>
      </c>
      <c r="AJ66" s="73">
        <f t="shared" si="6"/>
        <v>1793597.0199999998</v>
      </c>
      <c r="AK66" s="73"/>
      <c r="AL66" s="73"/>
      <c r="AM66" s="73"/>
      <c r="AN66" s="73">
        <f t="shared" si="37"/>
        <v>0</v>
      </c>
      <c r="AO66" s="73"/>
      <c r="AP66" s="73"/>
      <c r="AQ66" s="62">
        <f t="shared" si="7"/>
        <v>1793597.0199999998</v>
      </c>
      <c r="AR66" s="72"/>
      <c r="AS66" s="71">
        <f t="shared" si="40"/>
        <v>38</v>
      </c>
      <c r="AT66" s="52" t="str">
        <f t="shared" si="38"/>
        <v>TANTOSO</v>
      </c>
      <c r="AU66" s="60">
        <f t="shared" si="39"/>
        <v>1793597.0199999998</v>
      </c>
      <c r="AV66" s="69"/>
      <c r="AW66" s="54"/>
      <c r="AX66" s="54"/>
      <c r="AY66" s="72"/>
      <c r="AZ66" s="72"/>
    </row>
    <row r="67" s="51" customFormat="1">
      <c r="A67" s="80">
        <f t="shared" si="41"/>
        <v>39</v>
      </c>
      <c r="B67" s="54"/>
      <c r="C67" s="17" t="s">
        <v>144</v>
      </c>
      <c r="D67" s="54" t="s">
        <v>15</v>
      </c>
      <c r="E67" s="54" t="s">
        <v>17</v>
      </c>
      <c r="F67" s="54"/>
      <c r="G67" s="54">
        <v>14</v>
      </c>
      <c r="H67" s="139" t="s">
        <v>268</v>
      </c>
      <c r="I67" s="126"/>
      <c r="J67" s="126"/>
      <c r="K67" s="126"/>
      <c r="L67" s="53">
        <f>SUM(I67:K67)</f>
        <v>0</v>
      </c>
      <c r="M67" s="79">
        <v>0</v>
      </c>
      <c r="N67" s="55">
        <f t="shared" si="26"/>
        <v>0</v>
      </c>
      <c r="O67" s="77">
        <f t="shared" si="47"/>
        <v>1973555.5</v>
      </c>
      <c r="P67" s="78">
        <f t="shared" si="28"/>
        <v>219999.144</v>
      </c>
      <c r="Q67" s="78">
        <f t="shared" si="29"/>
        <v>179958.48</v>
      </c>
      <c r="R67" s="78">
        <f t="shared" si="30"/>
        <v>89979.24</v>
      </c>
      <c r="S67" s="77">
        <f>SUM(P67:R67)</f>
        <v>489936.864</v>
      </c>
      <c r="T67" s="77">
        <v>345510.5</v>
      </c>
      <c r="U67" s="79"/>
      <c r="V67" s="53">
        <f t="shared" si="15"/>
        <v>1973555.5</v>
      </c>
      <c r="W67" s="53"/>
      <c r="X67" s="54"/>
      <c r="Y67" s="80">
        <f t="shared" si="32"/>
        <v>39</v>
      </c>
      <c r="Z67" s="76" t="str">
        <f t="shared" si="3"/>
        <v>VICKY ARMEDO PRASETYO</v>
      </c>
      <c r="AA67" s="75" t="s">
        <v>218</v>
      </c>
      <c r="AB67" s="74">
        <f>+M67+N67+O67+U67</f>
        <v>1973555.5</v>
      </c>
      <c r="AC67" s="74">
        <f t="shared" si="34"/>
        <v>89979.24</v>
      </c>
      <c r="AD67" s="74">
        <f t="shared" si="46"/>
        <v>44989.62</v>
      </c>
      <c r="AE67" s="74">
        <f t="shared" si="46"/>
        <v>44989.62</v>
      </c>
      <c r="AF67" s="74">
        <f t="shared" si="4"/>
        <v>1793597.0199999998</v>
      </c>
      <c r="AG67" s="74">
        <f t="shared" si="17"/>
        <v>5625000</v>
      </c>
      <c r="AH67" s="74">
        <f t="shared" si="5"/>
        <v>-3831402.9800000004</v>
      </c>
      <c r="AI67" s="74">
        <f t="shared" si="36"/>
        <v>0</v>
      </c>
      <c r="AJ67" s="73">
        <f t="shared" si="6"/>
        <v>1793597.0199999998</v>
      </c>
      <c r="AK67" s="73"/>
      <c r="AL67" s="73"/>
      <c r="AM67" s="73">
        <v>400000</v>
      </c>
      <c r="AN67" s="73">
        <f t="shared" si="37"/>
        <v>0</v>
      </c>
      <c r="AO67" s="73"/>
      <c r="AP67" s="73"/>
      <c r="AQ67" s="62">
        <f t="shared" si="7"/>
        <v>1393597.0199999998</v>
      </c>
      <c r="AR67" s="72"/>
      <c r="AS67" s="71">
        <f t="shared" si="40"/>
        <v>39</v>
      </c>
      <c r="AT67" s="52" t="str">
        <f t="shared" si="38"/>
        <v>VICKY ARMEDO PRASETYO</v>
      </c>
      <c r="AU67" s="60">
        <f t="shared" si="39"/>
        <v>1393597.0199999998</v>
      </c>
      <c r="AV67" s="69"/>
      <c r="AW67" s="54"/>
      <c r="AX67" s="54"/>
      <c r="AY67" s="72"/>
      <c r="AZ67" s="72"/>
    </row>
    <row r="68" s="51" customFormat="1">
      <c r="A68" s="80"/>
      <c r="B68" s="54"/>
      <c r="C68" s="17"/>
      <c r="D68" s="54"/>
      <c r="E68" s="54"/>
      <c r="F68" s="54"/>
      <c r="G68" s="54"/>
      <c r="H68" s="139"/>
      <c r="I68" s="126"/>
      <c r="J68" s="126"/>
      <c r="K68" s="126"/>
      <c r="L68" s="53"/>
      <c r="M68" s="79"/>
      <c r="N68" s="55"/>
      <c r="O68" s="77"/>
      <c r="P68" s="78"/>
      <c r="Q68" s="78"/>
      <c r="R68" s="78"/>
      <c r="S68" s="77"/>
      <c r="T68" s="77"/>
      <c r="U68" s="79"/>
      <c r="V68" s="53"/>
      <c r="W68" s="53"/>
      <c r="X68" s="54"/>
      <c r="Y68" s="80"/>
      <c r="Z68" s="76"/>
      <c r="AA68" s="75"/>
      <c r="AB68" s="74"/>
      <c r="AC68" s="74"/>
      <c r="AD68" s="74"/>
      <c r="AE68" s="74"/>
      <c r="AF68" s="74"/>
      <c r="AG68" s="74"/>
      <c r="AH68" s="74"/>
      <c r="AI68" s="74"/>
      <c r="AJ68" s="73"/>
      <c r="AK68" s="73"/>
      <c r="AL68" s="73"/>
      <c r="AM68" s="73"/>
      <c r="AN68" s="73"/>
      <c r="AO68" s="73"/>
      <c r="AP68" s="73"/>
      <c r="AQ68" s="62"/>
      <c r="AR68" s="72"/>
      <c r="AS68" s="71"/>
      <c r="AT68" s="52"/>
      <c r="AU68" s="60"/>
      <c r="AV68" s="69"/>
      <c r="AW68" s="54"/>
      <c r="AX68" s="54"/>
      <c r="AY68" s="72"/>
      <c r="AZ68" s="72"/>
    </row>
    <row r="69" s="51" customFormat="1">
      <c r="A69" s="80"/>
      <c r="B69" s="54"/>
      <c r="C69" s="17"/>
      <c r="D69" s="54"/>
      <c r="E69" s="54"/>
      <c r="F69" s="54"/>
      <c r="G69" s="54"/>
      <c r="H69" s="139"/>
      <c r="I69" s="126"/>
      <c r="J69" s="126"/>
      <c r="K69" s="126"/>
      <c r="L69" s="53"/>
      <c r="M69" s="79"/>
      <c r="N69" s="55"/>
      <c r="O69" s="77"/>
      <c r="P69" s="66"/>
      <c r="Q69" s="66"/>
      <c r="R69" s="78"/>
      <c r="S69" s="77"/>
      <c r="T69" s="77"/>
      <c r="U69" s="53"/>
      <c r="V69" s="53"/>
      <c r="W69" s="53"/>
      <c r="X69" s="54"/>
      <c r="Y69" s="80"/>
      <c r="Z69" s="76"/>
      <c r="AA69" s="75"/>
      <c r="AB69" s="74"/>
      <c r="AC69" s="74"/>
      <c r="AD69" s="74"/>
      <c r="AE69" s="74"/>
      <c r="AF69" s="74"/>
      <c r="AG69" s="74"/>
      <c r="AH69" s="74"/>
      <c r="AI69" s="74"/>
      <c r="AJ69" s="73"/>
      <c r="AK69" s="73"/>
      <c r="AL69" s="73"/>
      <c r="AM69" s="73"/>
      <c r="AN69" s="73"/>
      <c r="AO69" s="73"/>
      <c r="AP69" s="144"/>
      <c r="AQ69" s="62"/>
      <c r="AR69" s="72"/>
      <c r="AS69" s="71"/>
      <c r="AT69" s="52"/>
      <c r="AU69" s="60"/>
      <c r="AV69" s="69"/>
      <c r="AW69" s="54"/>
      <c r="AX69" s="54"/>
      <c r="AY69" s="72"/>
      <c r="AZ69" s="72"/>
    </row>
    <row r="70" s="159" customFormat="1">
      <c r="A70" s="152"/>
      <c r="B70" s="171"/>
      <c r="C70" s="172"/>
      <c r="D70" s="152"/>
      <c r="E70" s="152"/>
      <c r="F70" s="173"/>
      <c r="G70" s="173"/>
      <c r="H70" s="154"/>
      <c r="I70" s="174"/>
      <c r="J70" s="174"/>
      <c r="K70" s="174"/>
      <c r="L70" s="160">
        <f ref="L70:V70" t="shared" si="48">SUM(L29:L69)</f>
        <v>0</v>
      </c>
      <c r="M70" s="160">
        <f t="shared" si="48"/>
        <v>105726212.99999996</v>
      </c>
      <c r="N70" s="160">
        <f t="shared" si="48"/>
        <v>0</v>
      </c>
      <c r="O70" s="160">
        <f t="shared" si="48"/>
        <v>17761999.5</v>
      </c>
      <c r="P70" s="160">
        <f t="shared" si="48"/>
        <v>8579966.616000004</v>
      </c>
      <c r="Q70" s="160">
        <f t="shared" si="48"/>
        <v>7018380.720000007</v>
      </c>
      <c r="R70" s="160">
        <f t="shared" si="48"/>
        <v>3509190.3600000036</v>
      </c>
      <c r="S70" s="160">
        <f t="shared" si="48"/>
        <v>19107537.696</v>
      </c>
      <c r="T70" s="160">
        <f t="shared" si="48"/>
        <v>13474909.5</v>
      </c>
      <c r="U70" s="160">
        <f t="shared" si="48"/>
        <v>0</v>
      </c>
      <c r="V70" s="160">
        <f t="shared" si="48"/>
        <v>123488212.49999996</v>
      </c>
      <c r="W70" s="175"/>
      <c r="X70" s="171"/>
      <c r="Y70" s="152"/>
      <c r="Z70" s="176"/>
      <c r="AA70" s="177"/>
      <c r="AB70" s="178">
        <f ref="AB70:AQ70" t="shared" si="49">SUM(AB29:AB69)</f>
        <v>123488212.49999996</v>
      </c>
      <c r="AC70" s="178">
        <f t="shared" si="49"/>
        <v>3509190.3600000036</v>
      </c>
      <c r="AD70" s="178">
        <f t="shared" si="49"/>
        <v>1574636.7000000014</v>
      </c>
      <c r="AE70" s="178">
        <f t="shared" si="49"/>
        <v>1754595.1800000018</v>
      </c>
      <c r="AF70" s="178">
        <f t="shared" si="49"/>
        <v>116649790.25999996</v>
      </c>
      <c r="AG70" s="178">
        <f t="shared" si="49"/>
        <v>210750000</v>
      </c>
      <c r="AH70" s="178">
        <f t="shared" si="49"/>
        <v>-94100209.74000005</v>
      </c>
      <c r="AI70" s="178">
        <f t="shared" si="49"/>
        <v>0</v>
      </c>
      <c r="AJ70" s="178">
        <f t="shared" si="49"/>
        <v>116649790.25999996</v>
      </c>
      <c r="AK70" s="178">
        <f t="shared" si="49"/>
        <v>150000</v>
      </c>
      <c r="AL70" s="178">
        <f t="shared" si="49"/>
        <v>0</v>
      </c>
      <c r="AM70" s="178">
        <f t="shared" si="49"/>
        <v>4000000</v>
      </c>
      <c r="AN70" s="178">
        <f t="shared" si="49"/>
        <v>0</v>
      </c>
      <c r="AO70" s="178">
        <f t="shared" si="49"/>
        <v>0</v>
      </c>
      <c r="AP70" s="178">
        <f t="shared" si="49"/>
        <v>350000</v>
      </c>
      <c r="AQ70" s="178">
        <f t="shared" si="49"/>
        <v>112149790.25999996</v>
      </c>
      <c r="AR70" s="155"/>
      <c r="AS70" s="156"/>
      <c r="AT70" s="157"/>
      <c r="AU70" s="158">
        <f>SUM(AU29:AU69)</f>
        <v>112149790.25999996</v>
      </c>
      <c r="AV70" s="153"/>
      <c r="AW70" s="152"/>
      <c r="AX70" s="152"/>
      <c r="AY70" s="155"/>
      <c r="AZ70" s="155"/>
    </row>
    <row r="71" ht="21" s="48" customFormat="1">
      <c r="A71" s="54"/>
      <c r="B71" s="50"/>
      <c r="C71" s="89" t="s">
        <v>292</v>
      </c>
      <c r="D71" s="68"/>
      <c r="E71" s="68"/>
      <c r="F71" s="108"/>
      <c r="G71" s="108"/>
      <c r="H71" s="67"/>
      <c r="I71" s="67"/>
      <c r="J71" s="67"/>
      <c r="K71" s="67"/>
      <c r="L71" s="67"/>
      <c r="M71" s="67"/>
      <c r="N71" s="37"/>
      <c r="O71" s="65"/>
      <c r="P71" s="66"/>
      <c r="Q71" s="66"/>
      <c r="R71" s="66"/>
      <c r="S71" s="65"/>
      <c r="T71" s="65"/>
      <c r="U71" s="38"/>
      <c r="V71" s="38"/>
      <c r="W71" s="38"/>
      <c r="X71" s="39"/>
      <c r="Y71" s="68"/>
      <c r="Z71" s="89" t="s">
        <v>292</v>
      </c>
      <c r="AA71" s="35"/>
      <c r="AB71" s="34"/>
      <c r="AC71" s="34"/>
      <c r="AD71" s="63"/>
      <c r="AE71" s="63"/>
      <c r="AF71" s="34"/>
      <c r="AG71" s="34"/>
      <c r="AH71" s="34"/>
      <c r="AI71" s="34"/>
      <c r="AJ71" s="33"/>
      <c r="AK71" s="33"/>
      <c r="AL71" s="33"/>
      <c r="AM71" s="33"/>
      <c r="AN71" s="62"/>
      <c r="AO71" s="62"/>
      <c r="AP71" s="62"/>
      <c r="AQ71" s="33"/>
      <c r="AR71" s="59"/>
      <c r="AS71" s="32"/>
      <c r="AT71" s="61"/>
      <c r="AU71" s="60"/>
      <c r="AV71" s="64"/>
      <c r="AW71" s="109"/>
      <c r="AX71" s="109"/>
      <c r="AY71" s="72"/>
      <c r="AZ71" s="110"/>
    </row>
    <row r="72" ht="19.5" customHeight="1" s="2" customFormat="1">
      <c r="A72" s="3">
        <v>3</v>
      </c>
      <c r="B72" s="3"/>
      <c r="C72" s="4" t="s">
        <v>78</v>
      </c>
      <c r="D72" s="3" t="s">
        <v>79</v>
      </c>
      <c r="E72" s="3" t="s">
        <v>17</v>
      </c>
      <c r="F72" s="3"/>
      <c r="G72" s="3"/>
      <c r="H72" s="5" t="s">
        <v>293</v>
      </c>
      <c r="I72" s="5">
        <v>0</v>
      </c>
      <c r="J72" s="5">
        <v>0</v>
      </c>
      <c r="K72" s="5">
        <v>0</v>
      </c>
      <c r="L72" s="5"/>
      <c r="M72" s="5">
        <v>3316901</v>
      </c>
      <c r="N72" s="55">
        <f>+F72*100000</f>
        <v>0</v>
      </c>
      <c r="O72" s="77">
        <f>+G72*165845</f>
        <v>0</v>
      </c>
      <c r="P72" s="6">
        <f>4498962*1.57%</f>
        <v>70633.70340000001</v>
      </c>
      <c r="Q72" s="6">
        <f>4498962*4%</f>
        <v>179958.48</v>
      </c>
      <c r="R72" s="6"/>
      <c r="S72" s="7">
        <f>SUM(P72:R72)</f>
        <v>250592.18340000004</v>
      </c>
      <c r="T72" s="7">
        <f>3316900/12</f>
        <v>276408.3333333333</v>
      </c>
      <c r="U72" s="5"/>
      <c r="V72" s="5">
        <f>+M72+N72+O72+U72</f>
        <v>3316901</v>
      </c>
      <c r="W72" s="5"/>
      <c r="X72" s="3"/>
      <c r="Y72" s="3">
        <v>4</v>
      </c>
      <c r="Z72" s="8" t="s">
        <v>78</v>
      </c>
      <c r="AA72" s="184" t="s">
        <v>215</v>
      </c>
      <c r="AB72" s="9">
        <f>+O72+N72+M72+U72</f>
        <v>3316901</v>
      </c>
      <c r="AC72" s="9"/>
      <c r="AD72" s="74">
        <f>4498962*1%</f>
        <v>44989.62</v>
      </c>
      <c r="AE72" s="9"/>
      <c r="AF72" s="9">
        <f>+AB72-AC72-AD72-AE72</f>
        <v>3271911.38</v>
      </c>
      <c r="AG72" s="9">
        <v>4500000</v>
      </c>
      <c r="AH72" s="9">
        <f>+AF72-AG72</f>
        <v>-1228088.62</v>
      </c>
      <c r="AI72" s="9">
        <f>+IF(AH72&gt;1,AH72,0)</f>
        <v>0</v>
      </c>
      <c r="AJ72" s="10">
        <f>+AB72-AC72-AD72-AE72-AI72</f>
        <v>3271911.38</v>
      </c>
      <c r="AK72" s="10"/>
      <c r="AL72" s="10"/>
      <c r="AM72" s="10"/>
      <c r="AN72" s="10">
        <f>+IF(I72+J72&gt;2,(I72+J72)*135488,0)</f>
        <v>0</v>
      </c>
      <c r="AO72" s="10"/>
      <c r="AP72" s="10"/>
      <c r="AQ72" s="145">
        <f>+AJ72-AK72-AL72-AM72-AP72-AO72-AN72</f>
        <v>3271911.38</v>
      </c>
      <c r="AR72" s="11"/>
      <c r="AS72" s="12">
        <v>3</v>
      </c>
      <c r="AT72" s="13" t="str">
        <f>+C72</f>
        <v>IKLIMASARI</v>
      </c>
      <c r="AU72" s="206">
        <f>+AQ72</f>
        <v>3271911.38</v>
      </c>
      <c r="AV72" s="18"/>
      <c r="AW72" s="3"/>
      <c r="AX72" s="3"/>
      <c r="AY72" s="72"/>
      <c r="AZ72" s="72"/>
    </row>
    <row r="73" s="48" customFormat="1">
      <c r="A73" s="54"/>
      <c r="B73" s="50"/>
      <c r="C73" s="130"/>
      <c r="D73" s="68"/>
      <c r="E73" s="68"/>
      <c r="F73" s="108"/>
      <c r="G73" s="108"/>
      <c r="H73" s="67"/>
      <c r="I73" s="67"/>
      <c r="J73" s="67"/>
      <c r="K73" s="67"/>
      <c r="L73" s="67"/>
      <c r="M73" s="67"/>
      <c r="N73" s="37"/>
      <c r="O73" s="65"/>
      <c r="P73" s="66"/>
      <c r="Q73" s="66"/>
      <c r="R73" s="66"/>
      <c r="S73" s="65"/>
      <c r="T73" s="65"/>
      <c r="U73" s="38"/>
      <c r="V73" s="38"/>
      <c r="W73" s="38"/>
      <c r="X73" s="39"/>
      <c r="Y73" s="68"/>
      <c r="Z73" s="36"/>
      <c r="AA73" s="35"/>
      <c r="AB73" s="34"/>
      <c r="AC73" s="34"/>
      <c r="AD73" s="63"/>
      <c r="AE73" s="63"/>
      <c r="AF73" s="34"/>
      <c r="AG73" s="34"/>
      <c r="AH73" s="34"/>
      <c r="AI73" s="34"/>
      <c r="AJ73" s="33"/>
      <c r="AK73" s="33"/>
      <c r="AL73" s="33"/>
      <c r="AM73" s="33"/>
      <c r="AN73" s="62"/>
      <c r="AO73" s="62"/>
      <c r="AP73" s="62"/>
      <c r="AQ73" s="33"/>
      <c r="AR73" s="59"/>
      <c r="AS73" s="32"/>
      <c r="AT73" s="61"/>
      <c r="AU73" s="60"/>
      <c r="AV73" s="64"/>
      <c r="AW73" s="109"/>
      <c r="AX73" s="109"/>
      <c r="AY73" s="72"/>
      <c r="AZ73" s="110"/>
    </row>
    <row r="74" s="48" customFormat="1">
      <c r="A74" s="54"/>
      <c r="B74" s="50"/>
      <c r="C74" s="1"/>
      <c r="D74" s="80"/>
      <c r="E74" s="80"/>
      <c r="F74" s="49"/>
      <c r="G74" s="49"/>
      <c r="H74" s="79"/>
      <c r="I74" s="53"/>
      <c r="J74" s="53"/>
      <c r="K74" s="53"/>
      <c r="L74" s="53"/>
      <c r="M74" s="53"/>
      <c r="N74" s="55"/>
      <c r="O74" s="77"/>
      <c r="P74" s="78"/>
      <c r="Q74" s="78"/>
      <c r="R74" s="78"/>
      <c r="S74" s="77"/>
      <c r="T74" s="77"/>
      <c r="U74" s="46"/>
      <c r="V74" s="46"/>
      <c r="W74" s="46"/>
      <c r="X74" s="47"/>
      <c r="Y74" s="54"/>
      <c r="Z74" s="45"/>
      <c r="AA74" s="44"/>
      <c r="AB74" s="43"/>
      <c r="AC74" s="43"/>
      <c r="AD74" s="74"/>
      <c r="AE74" s="74"/>
      <c r="AF74" s="43"/>
      <c r="AG74" s="43"/>
      <c r="AH74" s="43"/>
      <c r="AI74" s="43"/>
      <c r="AJ74" s="57"/>
      <c r="AK74" s="57"/>
      <c r="AL74" s="57"/>
      <c r="AM74" s="57"/>
      <c r="AN74" s="73"/>
      <c r="AO74" s="73"/>
      <c r="AP74" s="73"/>
      <c r="AQ74" s="33"/>
      <c r="AR74" s="72"/>
      <c r="AS74" s="32"/>
      <c r="AT74" s="52"/>
      <c r="AU74" s="60"/>
      <c r="AV74" s="69"/>
      <c r="AW74" s="50"/>
      <c r="AX74" s="50"/>
      <c r="AY74" s="72"/>
    </row>
    <row r="75" s="183" customFormat="1">
      <c r="A75" s="152"/>
      <c r="B75" s="179"/>
      <c r="C75" s="179"/>
      <c r="D75" s="179"/>
      <c r="E75" s="179"/>
      <c r="F75" s="181"/>
      <c r="G75" s="181"/>
      <c r="H75" s="181"/>
      <c r="I75" s="181"/>
      <c r="J75" s="181"/>
      <c r="K75" s="181"/>
      <c r="L75" s="181"/>
      <c r="M75" s="181">
        <f ref="M75:X75" t="shared" si="50">SUM(M27,M70,M72)</f>
        <v>154857806.29999995</v>
      </c>
      <c r="N75" s="181">
        <f t="shared" si="50"/>
        <v>0</v>
      </c>
      <c r="O75" s="181">
        <f t="shared" si="50"/>
        <v>18889745.5</v>
      </c>
      <c r="P75" s="181">
        <f t="shared" si="50"/>
        <v>11510589.191400005</v>
      </c>
      <c r="Q75" s="181">
        <f t="shared" si="50"/>
        <v>9537799.440000009</v>
      </c>
      <c r="R75" s="181">
        <f t="shared" si="50"/>
        <v>4678920.480000004</v>
      </c>
      <c r="S75" s="181">
        <f t="shared" si="50"/>
        <v>25727309.1114</v>
      </c>
      <c r="T75" s="181">
        <f t="shared" si="50"/>
        <v>18242954.333333332</v>
      </c>
      <c r="U75" s="181">
        <f t="shared" si="50"/>
        <v>100000</v>
      </c>
      <c r="V75" s="181">
        <f t="shared" si="50"/>
        <v>173847551.79999995</v>
      </c>
      <c r="W75" s="181">
        <f t="shared" si="50"/>
        <v>0</v>
      </c>
      <c r="X75" s="181">
        <f t="shared" si="50"/>
        <v>0</v>
      </c>
      <c r="Y75" s="180"/>
      <c r="Z75" s="180">
        <f>SUM(Z12:Z74)</f>
        <v>0</v>
      </c>
      <c r="AA75" s="180">
        <f>SUM(AA12:AA74)</f>
        <v>0</v>
      </c>
      <c r="AB75" s="181">
        <f ref="AB75:AQ75" t="shared" si="51">SUM(AB27,AB70,AB72)</f>
        <v>173847551.79999995</v>
      </c>
      <c r="AC75" s="181">
        <f t="shared" si="51"/>
        <v>4678920.480000004</v>
      </c>
      <c r="AD75" s="181">
        <f t="shared" si="51"/>
        <v>2069522.5200000014</v>
      </c>
      <c r="AE75" s="181">
        <f t="shared" si="51"/>
        <v>2339460.240000002</v>
      </c>
      <c r="AF75" s="181">
        <f t="shared" si="51"/>
        <v>164759648.55999994</v>
      </c>
      <c r="AG75" s="181">
        <f t="shared" si="51"/>
        <v>289875000</v>
      </c>
      <c r="AH75" s="181">
        <f t="shared" si="51"/>
        <v>-125115351.44000007</v>
      </c>
      <c r="AI75" s="181">
        <f t="shared" si="51"/>
        <v>0</v>
      </c>
      <c r="AJ75" s="181">
        <f t="shared" si="51"/>
        <v>164759648.55999994</v>
      </c>
      <c r="AK75" s="181">
        <f t="shared" si="51"/>
        <v>150000</v>
      </c>
      <c r="AL75" s="181">
        <f t="shared" si="51"/>
        <v>0</v>
      </c>
      <c r="AM75" s="181">
        <f t="shared" si="51"/>
        <v>4400000</v>
      </c>
      <c r="AN75" s="181">
        <f t="shared" si="51"/>
        <v>845808</v>
      </c>
      <c r="AO75" s="181">
        <f t="shared" si="51"/>
        <v>0</v>
      </c>
      <c r="AP75" s="181">
        <f t="shared" si="51"/>
        <v>1100000</v>
      </c>
      <c r="AQ75" s="181">
        <f t="shared" si="51"/>
        <v>158263840.55999994</v>
      </c>
      <c r="AR75" s="180"/>
      <c r="AS75" s="180"/>
      <c r="AT75" s="180">
        <f>SUM(AT12:AT74)</f>
        <v>0</v>
      </c>
      <c r="AU75" s="181">
        <f>SUM(AU27,AU70,AU72)</f>
        <v>158263840.55999994</v>
      </c>
      <c r="AV75" s="182"/>
      <c r="AW75" s="179"/>
      <c r="AX75" s="179"/>
      <c r="AY75" s="155"/>
    </row>
    <row r="76">
      <c r="C76" s="134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208"/>
      <c r="AR76" s="101"/>
      <c r="AS76" s="101"/>
      <c r="AT76" s="101"/>
      <c r="AU76" s="101"/>
      <c r="AV76" s="30"/>
      <c r="AY76" s="72"/>
    </row>
    <row r="77">
      <c r="C77" s="110"/>
      <c r="H77" s="132"/>
      <c r="L77" s="147" t="s">
        <v>264</v>
      </c>
      <c r="M77" s="31">
        <f ref="M77:T77" t="shared" si="52">SUM(M11:M23)</f>
        <v>45814692.30000001</v>
      </c>
      <c r="N77" s="31">
        <f t="shared" si="52"/>
        <v>0</v>
      </c>
      <c r="O77" s="31">
        <f t="shared" si="52"/>
        <v>0</v>
      </c>
      <c r="P77" s="31">
        <f t="shared" si="52"/>
        <v>2859988.872</v>
      </c>
      <c r="Q77" s="31">
        <f t="shared" si="52"/>
        <v>2339460.24</v>
      </c>
      <c r="R77" s="31">
        <f t="shared" si="52"/>
        <v>1169730.12</v>
      </c>
      <c r="S77" s="31">
        <f t="shared" si="52"/>
        <v>6369179.232</v>
      </c>
      <c r="T77" s="31">
        <f t="shared" si="52"/>
        <v>4491636.5</v>
      </c>
      <c r="U77" s="31">
        <f>SUM(U11:U19)</f>
        <v>100000</v>
      </c>
      <c r="V77" s="31">
        <f>SUM(V11:V19)</f>
        <v>31817863.900000006</v>
      </c>
      <c r="W77" s="31">
        <f>SUM(M77:R77,T77)</f>
        <v>56675508.03200001</v>
      </c>
      <c r="AB77" s="135" t="s">
        <v>270</v>
      </c>
      <c r="AC77" s="31">
        <f>SUM(AC29:AC69)</f>
        <v>3509190.3600000036</v>
      </c>
      <c r="AD77" s="31">
        <f>SUM(AD29:AD69)</f>
        <v>1574636.7000000014</v>
      </c>
      <c r="AE77" s="31">
        <f>SUM(AE29:AE69)</f>
        <v>1754595.1800000018</v>
      </c>
      <c r="AF77" s="137">
        <f>SUM(AC77:AE77)</f>
        <v>6838422.240000007</v>
      </c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146"/>
      <c r="AU77" s="208"/>
      <c r="AY77" s="72"/>
    </row>
    <row r="78">
      <c r="C78" s="131"/>
      <c r="H78" s="132"/>
      <c r="L78" s="147" t="s">
        <v>270</v>
      </c>
      <c r="M78" s="31">
        <f ref="M78:V78" t="shared" si="53">SUM(M29:M69)</f>
        <v>105726212.99999996</v>
      </c>
      <c r="N78" s="31">
        <f t="shared" si="53"/>
        <v>0</v>
      </c>
      <c r="O78" s="31">
        <f t="shared" si="53"/>
        <v>17761999.5</v>
      </c>
      <c r="P78" s="31">
        <f t="shared" si="53"/>
        <v>8579966.616000004</v>
      </c>
      <c r="Q78" s="31">
        <f t="shared" si="53"/>
        <v>7018380.720000007</v>
      </c>
      <c r="R78" s="31">
        <f t="shared" si="53"/>
        <v>3509190.3600000036</v>
      </c>
      <c r="S78" s="31">
        <f t="shared" si="53"/>
        <v>19107537.696</v>
      </c>
      <c r="T78" s="31">
        <f t="shared" si="53"/>
        <v>13474909.5</v>
      </c>
      <c r="U78" s="31">
        <f t="shared" si="53"/>
        <v>0</v>
      </c>
      <c r="V78" s="31">
        <f t="shared" si="53"/>
        <v>123488212.49999996</v>
      </c>
      <c r="W78" s="31">
        <f>SUM(M78:R78,T78)</f>
        <v>156070659.69599998</v>
      </c>
      <c r="X78" s="31"/>
      <c r="Y78" s="31"/>
      <c r="Z78" s="31"/>
      <c r="AA78" s="31"/>
      <c r="AB78" s="135" t="s">
        <v>264</v>
      </c>
      <c r="AC78" s="31">
        <f>SUM(AC11:AC23)</f>
        <v>1169730.12</v>
      </c>
      <c r="AD78" s="31">
        <f>SUM(AD11:AD23)</f>
        <v>449896.2</v>
      </c>
      <c r="AE78" s="31">
        <f>SUM(AE11:AE23)</f>
        <v>584865.06</v>
      </c>
      <c r="AF78" s="137">
        <f>SUM(AC78:AE78)</f>
        <v>2204491.38</v>
      </c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146"/>
      <c r="AR78" s="31"/>
      <c r="AS78" s="31"/>
      <c r="AT78" s="31"/>
      <c r="AU78" s="31"/>
      <c r="AV78" s="30"/>
      <c r="AY78" s="72"/>
    </row>
    <row r="79">
      <c r="C79" s="131"/>
      <c r="L79" s="147" t="s">
        <v>294</v>
      </c>
      <c r="M79" s="31">
        <f>SUM(M72)</f>
        <v>3316901</v>
      </c>
      <c r="N79" s="31">
        <f ref="N79:V79" t="shared" si="54">SUM(N72)</f>
        <v>0</v>
      </c>
      <c r="O79" s="31">
        <f t="shared" si="54"/>
        <v>0</v>
      </c>
      <c r="P79" s="31">
        <f t="shared" si="54"/>
        <v>70633.70340000001</v>
      </c>
      <c r="Q79" s="31">
        <f t="shared" si="54"/>
        <v>179958.48</v>
      </c>
      <c r="R79" s="31">
        <f t="shared" si="54"/>
        <v>0</v>
      </c>
      <c r="S79" s="31">
        <f t="shared" si="54"/>
        <v>250592.18340000004</v>
      </c>
      <c r="T79" s="31">
        <f t="shared" si="54"/>
        <v>276408.3333333333</v>
      </c>
      <c r="U79" s="31">
        <f t="shared" si="54"/>
        <v>0</v>
      </c>
      <c r="V79" s="31">
        <f t="shared" si="54"/>
        <v>3316901</v>
      </c>
      <c r="W79" s="31">
        <f>SUM(M79:R79,T79)</f>
        <v>3843901.5167333335</v>
      </c>
      <c r="X79" s="31">
        <f>+W79+RINCIAN!E8+RINCIAN!G8</f>
        <v>4235135.216733334</v>
      </c>
      <c r="Y79" s="31"/>
      <c r="Z79" s="31"/>
      <c r="AA79" s="31"/>
      <c r="AB79" s="135" t="s">
        <v>294</v>
      </c>
      <c r="AC79" s="31">
        <f>SUM(AC72:AC72)</f>
        <v>0</v>
      </c>
      <c r="AD79" s="31">
        <f>SUM(AD72:AD72)</f>
        <v>44989.62</v>
      </c>
      <c r="AE79" s="31">
        <f>SUM(AE72:AE72)</f>
        <v>0</v>
      </c>
      <c r="AF79" s="137">
        <f>SUM(AC79:AE79)</f>
        <v>44989.62</v>
      </c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146"/>
      <c r="AR79" s="31"/>
      <c r="AS79" s="31"/>
      <c r="AT79" s="31"/>
      <c r="AU79" s="31"/>
      <c r="AY79" s="72"/>
    </row>
    <row r="80">
      <c r="C80" s="131"/>
      <c r="M80" s="31">
        <f>SUM(M77:M79)</f>
        <v>154857806.29999995</v>
      </c>
      <c r="N80" s="31">
        <f ref="N80:W80" t="shared" si="55">SUM(N77:N79)</f>
        <v>0</v>
      </c>
      <c r="O80" s="31">
        <f t="shared" si="55"/>
        <v>17761999.5</v>
      </c>
      <c r="P80" s="31">
        <f t="shared" si="55"/>
        <v>11510589.191400005</v>
      </c>
      <c r="Q80" s="31">
        <f t="shared" si="55"/>
        <v>9537799.440000009</v>
      </c>
      <c r="R80" s="31">
        <f t="shared" si="55"/>
        <v>4678920.480000004</v>
      </c>
      <c r="S80" s="31">
        <f t="shared" si="55"/>
        <v>25727309.1114</v>
      </c>
      <c r="T80" s="31">
        <f t="shared" si="55"/>
        <v>18242954.333333332</v>
      </c>
      <c r="U80" s="31">
        <f t="shared" si="55"/>
        <v>100000</v>
      </c>
      <c r="V80" s="31">
        <f t="shared" si="55"/>
        <v>158622977.39999998</v>
      </c>
      <c r="W80" s="31">
        <f t="shared" si="55"/>
        <v>216590069.24473333</v>
      </c>
      <c r="X80" s="31"/>
      <c r="Y80" s="31"/>
      <c r="Z80" s="31"/>
      <c r="AA80" s="31"/>
      <c r="AB80" s="31"/>
      <c r="AC80" s="31">
        <f>SUM(AC77:AC79)</f>
        <v>4678920.480000004</v>
      </c>
      <c r="AD80" s="31">
        <f>SUM(AD77:AD79)</f>
        <v>2069522.5200000014</v>
      </c>
      <c r="AE80" s="31">
        <f>SUM(AE77:AE79)</f>
        <v>2339460.240000002</v>
      </c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146"/>
      <c r="AR80" s="31"/>
      <c r="AS80" s="31"/>
      <c r="AT80" s="31"/>
      <c r="AU80" s="31"/>
      <c r="AV80" s="103"/>
      <c r="AY80" s="72"/>
    </row>
    <row r="81">
      <c r="C81" s="131"/>
      <c r="M81" s="101"/>
      <c r="N81" s="101"/>
      <c r="O81" s="101"/>
      <c r="P81" s="101">
        <f>+P80+Q80+R80+AC80+AD80+AE80</f>
        <v>34815212.351400025</v>
      </c>
      <c r="Q81" s="101"/>
      <c r="R81" s="138"/>
      <c r="S81" s="101"/>
      <c r="T81" s="101"/>
      <c r="U81" s="101"/>
      <c r="V81" s="3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208"/>
      <c r="AR81" s="101"/>
      <c r="AS81" s="101"/>
      <c r="AT81" s="101"/>
      <c r="AU81" s="101"/>
      <c r="AV81" s="103"/>
      <c r="AY81" s="72"/>
    </row>
    <row r="82">
      <c r="C82" s="110"/>
      <c r="D82" s="226">
        <v>0.85</v>
      </c>
      <c r="AV82" s="103"/>
      <c r="AY82" s="72"/>
    </row>
    <row r="83">
      <c r="C83" s="127"/>
      <c r="AQ83" s="31"/>
      <c r="AV83" s="103"/>
    </row>
    <row r="84">
      <c r="C84" s="110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103"/>
    </row>
    <row r="85">
      <c r="C85" s="123"/>
      <c r="AV85" s="103"/>
    </row>
    <row r="86">
      <c r="C86" s="123"/>
      <c r="AV86" s="103"/>
    </row>
    <row r="87">
      <c r="C87" s="227" t="s">
        <v>231</v>
      </c>
      <c r="D87" s="16">
        <f>4146126*85%</f>
        <v>3524207.1</v>
      </c>
      <c r="AQ87" s="31"/>
      <c r="AV87" s="103"/>
    </row>
    <row r="88">
      <c r="C88" s="227" t="s">
        <v>234</v>
      </c>
      <c r="D88" s="229">
        <f>0.0489*4498960</f>
        <v>219999.144</v>
      </c>
      <c r="T88" s="101"/>
      <c r="AV88" s="103"/>
    </row>
    <row r="89">
      <c r="C89" s="227" t="s">
        <v>235</v>
      </c>
      <c r="D89" s="229">
        <f>0.04*4498962</f>
        <v>179958.48</v>
      </c>
      <c r="T89" s="101"/>
      <c r="AV89" s="103"/>
    </row>
    <row r="90">
      <c r="C90" s="227" t="s">
        <v>236</v>
      </c>
      <c r="D90" s="229">
        <f>4498962*2%</f>
        <v>89979.24</v>
      </c>
      <c r="G90" s="103">
        <f>5*25000</f>
        <v>125000</v>
      </c>
      <c r="S90" s="101"/>
      <c r="T90" s="101"/>
      <c r="AH90" s="103">
        <f>220000-165000</f>
        <v>55000</v>
      </c>
      <c r="AV90" s="103"/>
    </row>
    <row r="91">
      <c r="C91" s="228" t="s">
        <v>295</v>
      </c>
      <c r="D91" s="230">
        <v>345510.5</v>
      </c>
      <c r="G91" s="103">
        <f>+G90*4</f>
        <v>500000</v>
      </c>
      <c r="S91" s="101"/>
      <c r="T91" s="101"/>
      <c r="AH91" s="101">
        <f>+AH90*26</f>
        <v>1430000</v>
      </c>
      <c r="AV91" s="103"/>
    </row>
    <row r="92">
      <c r="C92" s="228" t="s">
        <v>296</v>
      </c>
      <c r="D92" s="231">
        <f>5*25000</f>
        <v>125000</v>
      </c>
      <c r="E92" s="110"/>
      <c r="F92" s="110"/>
      <c r="G92" s="110"/>
      <c r="H92" s="110"/>
      <c r="I92" s="110"/>
      <c r="S92" s="101"/>
      <c r="T92" s="101"/>
      <c r="AV92" s="103"/>
    </row>
    <row r="93">
      <c r="C93" s="109"/>
      <c r="D93" s="232">
        <f>SUM(D87:D92)</f>
        <v>4484654.464</v>
      </c>
      <c r="E93" s="110"/>
      <c r="F93" s="110"/>
      <c r="G93" s="110"/>
      <c r="H93" s="110"/>
      <c r="I93" s="110"/>
      <c r="S93" s="101"/>
      <c r="T93" s="101"/>
      <c r="AV93" s="103"/>
    </row>
    <row r="94">
      <c r="C94" s="110"/>
      <c r="D94" s="209"/>
      <c r="E94" s="208"/>
      <c r="F94" s="110"/>
      <c r="G94" s="110"/>
      <c r="H94" s="110"/>
      <c r="I94" s="110"/>
      <c r="P94" s="101"/>
      <c r="S94" s="101"/>
      <c r="T94" s="101"/>
      <c r="AV94" s="103"/>
    </row>
    <row r="95">
      <c r="C95" s="110"/>
      <c r="D95" s="209"/>
      <c r="E95" s="208"/>
      <c r="F95" s="110"/>
      <c r="G95" s="110"/>
      <c r="H95" s="110"/>
      <c r="I95" s="110"/>
      <c r="S95" s="101"/>
      <c r="T95" s="101"/>
      <c r="AV95" s="103"/>
    </row>
    <row r="96">
      <c r="C96" s="110"/>
      <c r="D96" s="208"/>
      <c r="E96" s="208"/>
      <c r="F96" s="110"/>
      <c r="G96" s="110"/>
      <c r="H96" s="110"/>
      <c r="I96" s="110"/>
      <c r="S96" s="101"/>
      <c r="T96" s="101"/>
      <c r="AV96" s="103"/>
    </row>
    <row r="97">
      <c r="F97" s="110"/>
      <c r="G97" s="110"/>
      <c r="H97" s="110"/>
      <c r="I97" s="110"/>
      <c r="S97" s="101"/>
      <c r="T97" s="101"/>
      <c r="AV97" s="103"/>
    </row>
    <row r="98">
      <c r="F98" s="280"/>
      <c r="G98" s="280"/>
      <c r="H98" s="280"/>
      <c r="I98" s="208"/>
      <c r="J98" s="101"/>
      <c r="K98" s="101"/>
      <c r="L98" s="101"/>
      <c r="M98" s="101"/>
      <c r="S98" s="101"/>
      <c r="T98" s="101"/>
      <c r="AT98" s="103"/>
      <c r="AU98" s="103"/>
      <c r="AV98" s="103"/>
    </row>
    <row r="99">
      <c r="F99" s="208"/>
      <c r="G99" s="208"/>
      <c r="H99" s="208"/>
      <c r="I99" s="208"/>
      <c r="J99" s="101"/>
      <c r="K99" s="101"/>
      <c r="L99" s="101"/>
      <c r="M99" s="101"/>
      <c r="AT99" s="103"/>
      <c r="AU99" s="103"/>
      <c r="AV99" s="103"/>
    </row>
    <row r="100">
      <c r="F100" s="110"/>
      <c r="G100" s="110"/>
      <c r="H100" s="110"/>
      <c r="I100" s="110"/>
      <c r="AT100" s="103"/>
      <c r="AU100" s="103"/>
      <c r="AV100" s="103"/>
    </row>
    <row r="101">
      <c r="F101" s="110"/>
      <c r="G101" s="110"/>
      <c r="H101" s="110"/>
      <c r="I101" s="110"/>
      <c r="AT101" s="103"/>
      <c r="AU101" s="103"/>
      <c r="AV101" s="103"/>
    </row>
    <row r="102">
      <c r="F102" s="110"/>
      <c r="G102" s="110"/>
      <c r="H102" s="110"/>
      <c r="I102" s="110"/>
      <c r="AT102" s="103"/>
      <c r="AU102" s="103"/>
      <c r="AV102" s="103"/>
    </row>
    <row r="103">
      <c r="F103" s="110"/>
      <c r="G103" s="110"/>
      <c r="H103" s="146"/>
      <c r="I103" s="110"/>
      <c r="AT103" s="103"/>
      <c r="AU103" s="103"/>
      <c r="AV103" s="103"/>
    </row>
    <row r="104">
      <c r="F104" s="110"/>
      <c r="G104" s="110"/>
      <c r="H104" s="110"/>
      <c r="I104" s="110"/>
      <c r="AT104" s="103"/>
      <c r="AU104" s="103"/>
      <c r="AV104" s="103"/>
    </row>
    <row r="105">
      <c r="F105" s="110"/>
      <c r="G105" s="110"/>
      <c r="H105" s="110"/>
      <c r="I105" s="110"/>
      <c r="M105" s="101"/>
      <c r="AT105" s="103"/>
      <c r="AU105" s="103"/>
      <c r="AV105" s="103"/>
    </row>
    <row r="106">
      <c r="F106" s="110"/>
      <c r="G106" s="110"/>
      <c r="H106" s="110"/>
      <c r="I106" s="110"/>
      <c r="AT106" s="103"/>
      <c r="AU106" s="103"/>
      <c r="AV106" s="103"/>
    </row>
    <row r="107">
      <c r="F107" s="110"/>
      <c r="G107" s="110"/>
      <c r="H107" s="110"/>
      <c r="I107" s="110"/>
      <c r="AT107" s="103"/>
      <c r="AU107" s="103"/>
      <c r="AV107" s="103"/>
    </row>
    <row r="113">
      <c r="AT113" s="103"/>
      <c r="AU113" s="103"/>
      <c r="AV113" s="103"/>
    </row>
    <row r="114">
      <c r="AT114" s="103"/>
      <c r="AU114" s="103"/>
      <c r="AV114" s="103"/>
    </row>
  </sheetData>
  <mergeCells>
    <mergeCell ref="F98:H98"/>
  </mergeCells>
  <printOptions horizontalCentered="1"/>
  <pageMargins left="0.7" right="0.7" top="0.75" bottom="0.75" header="0.3" footer="0.3"/>
  <pageSetup paperSize="9" scale="75" orientation="landscape" horizontalDpi="240" verticalDpi="144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">
    <tabColor rgb="FF7030A0"/>
  </sheetPr>
  <dimension ref="A1:M98"/>
  <sheetViews>
    <sheetView topLeftCell="A49" zoomScale="85" zoomScaleNormal="85" workbookViewId="0">
      <selection activeCell="G99" sqref="G99"/>
    </sheetView>
  </sheetViews>
  <sheetFormatPr defaultRowHeight="15" x14ac:dyDescent="0.25"/>
  <cols>
    <col min="1" max="1" width="6" customWidth="1" style="106"/>
    <col min="2" max="2" hidden="1" width="8" customWidth="1" style="106"/>
    <col min="3" max="3" bestFit="1" width="30.28515625" customWidth="1" style="106"/>
    <col min="4" max="4" bestFit="1" width="7.7109375" customWidth="1" style="106"/>
    <col min="5" max="5" bestFit="1" width="9.42578125" customWidth="1" style="14"/>
    <col min="6" max="6" bestFit="1" width="9.5703125" customWidth="1" style="106"/>
    <col min="7" max="7" bestFit="1" width="12.5703125" customWidth="1" style="15"/>
    <col min="8" max="8" bestFit="1" width="9.140625" customWidth="1" style="15"/>
    <col min="9" max="9" bestFit="1" width="12.5703125" customWidth="1" style="15"/>
    <col min="10" max="10" bestFit="1" width="13.5703125" customWidth="1" style="15"/>
    <col min="11" max="11" bestFit="1" width="21.140625" customWidth="1" style="15"/>
    <col min="12" max="12" bestFit="1" width="16.28515625" customWidth="1" style="106"/>
    <col min="13" max="13" width="18.5703125" customWidth="1" style="106"/>
    <col min="14" max="14" width="9.140625" customWidth="1" style="106"/>
    <col min="15" max="15" bestFit="1" width="10.5703125" customWidth="1" style="106"/>
    <col min="16" max="16384" width="9.140625" customWidth="1" style="106"/>
  </cols>
  <sheetData>
    <row r="1">
      <c r="A1" s="133" t="s">
        <v>0</v>
      </c>
      <c r="B1" s="128"/>
      <c r="C1" s="128"/>
      <c r="D1" s="128"/>
      <c r="F1" s="128"/>
      <c r="G1" s="329" t="s">
        <v>1</v>
      </c>
      <c r="J1" s="237"/>
      <c r="K1" s="237"/>
    </row>
    <row r="2">
      <c r="A2" s="21" t="s">
        <v>2</v>
      </c>
      <c r="B2" s="128"/>
      <c r="C2" s="128"/>
      <c r="D2" s="128"/>
      <c r="F2" s="128"/>
      <c r="J2" s="237"/>
      <c r="K2" s="237"/>
    </row>
    <row r="3" ht="30" customHeight="1">
      <c r="A3" s="113" t="s">
        <v>3</v>
      </c>
      <c r="B3" s="113"/>
      <c r="C3" s="113" t="s">
        <v>4</v>
      </c>
      <c r="D3" s="113" t="s">
        <v>5</v>
      </c>
      <c r="E3" s="113" t="s">
        <v>6</v>
      </c>
      <c r="F3" s="113" t="s">
        <v>7</v>
      </c>
      <c r="G3" s="114" t="s">
        <v>8</v>
      </c>
      <c r="H3" s="114" t="s">
        <v>9</v>
      </c>
      <c r="I3" s="114" t="s">
        <v>10</v>
      </c>
      <c r="J3" s="238" t="s">
        <v>11</v>
      </c>
      <c r="K3" s="238" t="s">
        <v>12</v>
      </c>
    </row>
    <row r="4" s="115" customFormat="1">
      <c r="A4" s="25">
        <v>1</v>
      </c>
      <c r="B4" s="25"/>
      <c r="C4" s="27" t="s">
        <v>14</v>
      </c>
      <c r="D4" s="25" t="s">
        <v>15</v>
      </c>
      <c r="E4" s="24" t="s">
        <v>16</v>
      </c>
      <c r="F4" s="25" t="s">
        <v>17</v>
      </c>
      <c r="G4" s="16">
        <f>'tanda terima  (2)'!G4</f>
        <v>4307288.239999999</v>
      </c>
      <c r="H4" s="16">
        <v>5000</v>
      </c>
      <c r="I4" s="16">
        <f ref="I4:I67" t="shared" si="0">+G4-H4</f>
        <v>4302288.239999999</v>
      </c>
      <c r="J4" s="235" t="s">
        <v>18</v>
      </c>
      <c r="K4" s="239" t="s">
        <v>19</v>
      </c>
      <c r="L4" s="207"/>
    </row>
    <row r="5" s="23" customFormat="1">
      <c r="A5" s="25">
        <f>+A4+1</f>
        <v>2</v>
      </c>
      <c r="B5" s="25"/>
      <c r="C5" s="27" t="s">
        <v>20</v>
      </c>
      <c r="D5" s="25" t="s">
        <v>15</v>
      </c>
      <c r="E5" s="24" t="s">
        <v>16</v>
      </c>
      <c r="F5" s="25" t="s">
        <v>17</v>
      </c>
      <c r="G5" s="16">
        <f>'tanda terima  (2)'!G5</f>
        <v>4307288.239999999</v>
      </c>
      <c r="H5" s="16">
        <v>5000</v>
      </c>
      <c r="I5" s="16">
        <f t="shared" si="0"/>
        <v>4302288.239999999</v>
      </c>
      <c r="J5" s="235" t="s">
        <v>21</v>
      </c>
      <c r="K5" s="239" t="s">
        <v>19</v>
      </c>
      <c r="L5" s="207"/>
      <c r="M5" s="116"/>
    </row>
    <row r="6" s="23" customFormat="1">
      <c r="A6" s="25">
        <f ref="A6:A69" t="shared" si="1">+A5+1</f>
        <v>3</v>
      </c>
      <c r="B6" s="25"/>
      <c r="C6" s="25" t="s">
        <v>22</v>
      </c>
      <c r="D6" s="25" t="s">
        <v>15</v>
      </c>
      <c r="E6" s="24" t="s">
        <v>16</v>
      </c>
      <c r="F6" s="25" t="s">
        <v>17</v>
      </c>
      <c r="G6" s="16">
        <f>'tanda terima  (2)'!G6</f>
        <v>4120041.5199999996</v>
      </c>
      <c r="H6" s="16">
        <v>5000</v>
      </c>
      <c r="I6" s="16">
        <f t="shared" si="0"/>
        <v>4115041.5199999996</v>
      </c>
      <c r="J6" s="235" t="s">
        <v>23</v>
      </c>
      <c r="K6" s="239" t="s">
        <v>19</v>
      </c>
      <c r="L6" s="207"/>
      <c r="M6" s="116"/>
    </row>
    <row r="7" s="23" customFormat="1">
      <c r="A7" s="25">
        <f t="shared" si="1"/>
        <v>4</v>
      </c>
      <c r="B7" s="25"/>
      <c r="C7" s="27" t="s">
        <v>24</v>
      </c>
      <c r="D7" s="25" t="s">
        <v>15</v>
      </c>
      <c r="E7" s="24" t="s">
        <v>16</v>
      </c>
      <c r="F7" s="25" t="s">
        <v>17</v>
      </c>
      <c r="G7" s="16">
        <f>'tanda terima  (2)'!G7</f>
        <v>4307288.239999999</v>
      </c>
      <c r="H7" s="16">
        <v>5000</v>
      </c>
      <c r="I7" s="28">
        <f t="shared" si="0"/>
        <v>4302288.239999999</v>
      </c>
      <c r="J7" s="235" t="s">
        <v>25</v>
      </c>
      <c r="K7" s="239" t="s">
        <v>19</v>
      </c>
      <c r="L7" s="207"/>
      <c r="M7" s="116"/>
    </row>
    <row r="8" s="23" customFormat="1">
      <c r="A8" s="25">
        <f t="shared" si="1"/>
        <v>5</v>
      </c>
      <c r="B8" s="25"/>
      <c r="C8" s="27" t="s">
        <v>26</v>
      </c>
      <c r="D8" s="25" t="s">
        <v>15</v>
      </c>
      <c r="E8" s="24" t="s">
        <v>16</v>
      </c>
      <c r="F8" s="25" t="s">
        <v>17</v>
      </c>
      <c r="G8" s="16">
        <f>'tanda terima  (2)'!G8</f>
        <v>4120041.5199999996</v>
      </c>
      <c r="H8" s="16">
        <v>5000</v>
      </c>
      <c r="I8" s="16">
        <f t="shared" si="0"/>
        <v>4115041.5199999996</v>
      </c>
      <c r="J8" s="235" t="s">
        <v>27</v>
      </c>
      <c r="K8" s="239" t="s">
        <v>19</v>
      </c>
      <c r="L8" s="207"/>
      <c r="M8" s="116"/>
    </row>
    <row r="9" s="23" customFormat="1">
      <c r="A9" s="25">
        <f t="shared" si="1"/>
        <v>6</v>
      </c>
      <c r="B9" s="25"/>
      <c r="C9" s="27" t="s">
        <v>28</v>
      </c>
      <c r="D9" s="25" t="s">
        <v>15</v>
      </c>
      <c r="E9" s="24" t="s">
        <v>16</v>
      </c>
      <c r="F9" s="25" t="s">
        <v>17</v>
      </c>
      <c r="G9" s="16">
        <f>'tanda terima  (2)'!G9</f>
        <v>4307288.239999999</v>
      </c>
      <c r="H9" s="16">
        <v>5000</v>
      </c>
      <c r="I9" s="16">
        <f t="shared" si="0"/>
        <v>4302288.239999999</v>
      </c>
      <c r="J9" s="235" t="s">
        <v>29</v>
      </c>
      <c r="K9" s="239" t="s">
        <v>19</v>
      </c>
      <c r="L9" s="207"/>
      <c r="M9" s="116"/>
    </row>
    <row r="10" s="23" customFormat="1">
      <c r="A10" s="25">
        <f t="shared" si="1"/>
        <v>7</v>
      </c>
      <c r="B10" s="27"/>
      <c r="C10" s="27" t="s">
        <v>30</v>
      </c>
      <c r="D10" s="25" t="s">
        <v>15</v>
      </c>
      <c r="E10" s="24" t="s">
        <v>16</v>
      </c>
      <c r="F10" s="25" t="s">
        <v>17</v>
      </c>
      <c r="G10" s="16">
        <f>'tanda terima  (2)'!G10</f>
        <v>4307288.239999999</v>
      </c>
      <c r="H10" s="16">
        <v>5000</v>
      </c>
      <c r="I10" s="16">
        <f t="shared" si="0"/>
        <v>4302288.239999999</v>
      </c>
      <c r="J10" s="235" t="s">
        <v>31</v>
      </c>
      <c r="K10" s="239" t="s">
        <v>19</v>
      </c>
      <c r="L10" s="207"/>
      <c r="M10" s="116"/>
    </row>
    <row r="11" s="23" customFormat="1">
      <c r="A11" s="25">
        <f t="shared" si="1"/>
        <v>8</v>
      </c>
      <c r="B11" s="25"/>
      <c r="C11" s="27" t="s">
        <v>32</v>
      </c>
      <c r="D11" s="25" t="s">
        <v>15</v>
      </c>
      <c r="E11" s="24" t="s">
        <v>16</v>
      </c>
      <c r="F11" s="25" t="s">
        <v>17</v>
      </c>
      <c r="G11" s="16">
        <f>'tanda terima  (2)'!G11</f>
        <v>4120041.5199999996</v>
      </c>
      <c r="H11" s="16">
        <v>5000</v>
      </c>
      <c r="I11" s="16">
        <f t="shared" si="0"/>
        <v>4115041.5199999996</v>
      </c>
      <c r="J11" s="235" t="s">
        <v>33</v>
      </c>
      <c r="K11" s="239" t="s">
        <v>19</v>
      </c>
      <c r="L11" s="207"/>
      <c r="M11" s="116"/>
    </row>
    <row r="12" s="23" customFormat="1">
      <c r="A12" s="25">
        <f t="shared" si="1"/>
        <v>9</v>
      </c>
      <c r="B12" s="27"/>
      <c r="C12" s="27" t="s">
        <v>34</v>
      </c>
      <c r="D12" s="25" t="s">
        <v>15</v>
      </c>
      <c r="E12" s="24" t="s">
        <v>16</v>
      </c>
      <c r="F12" s="25" t="s">
        <v>17</v>
      </c>
      <c r="G12" s="16">
        <f>'tanda terima  (2)'!G12</f>
        <v>4307288.239999999</v>
      </c>
      <c r="H12" s="16">
        <v>5000</v>
      </c>
      <c r="I12" s="16">
        <f t="shared" si="0"/>
        <v>4302288.239999999</v>
      </c>
      <c r="J12" s="235" t="s">
        <v>35</v>
      </c>
      <c r="K12" s="239" t="s">
        <v>19</v>
      </c>
      <c r="L12" s="207"/>
      <c r="M12" s="116"/>
    </row>
    <row r="13" s="23" customFormat="1">
      <c r="A13" s="25">
        <f t="shared" si="1"/>
        <v>10</v>
      </c>
      <c r="B13" s="27"/>
      <c r="C13" s="27" t="s">
        <v>36</v>
      </c>
      <c r="D13" s="25" t="s">
        <v>15</v>
      </c>
      <c r="E13" s="24" t="s">
        <v>16</v>
      </c>
      <c r="F13" s="25" t="s">
        <v>17</v>
      </c>
      <c r="G13" s="16">
        <f>'tanda terima  (2)'!G13</f>
        <v>4307288.239999999</v>
      </c>
      <c r="H13" s="16">
        <v>5000</v>
      </c>
      <c r="I13" s="28">
        <f t="shared" si="0"/>
        <v>4302288.239999999</v>
      </c>
      <c r="J13" s="236" t="s">
        <v>37</v>
      </c>
      <c r="K13" s="235" t="s">
        <v>19</v>
      </c>
      <c r="L13" s="207"/>
      <c r="M13" s="116"/>
    </row>
    <row r="14" s="23" customFormat="1">
      <c r="A14" s="25">
        <f t="shared" si="1"/>
        <v>11</v>
      </c>
      <c r="B14" s="27"/>
      <c r="C14" s="27" t="s">
        <v>38</v>
      </c>
      <c r="D14" s="25" t="s">
        <v>15</v>
      </c>
      <c r="E14" s="24" t="s">
        <v>16</v>
      </c>
      <c r="F14" s="25" t="s">
        <v>17</v>
      </c>
      <c r="G14" s="16">
        <f>'tanda terima  (2)'!G14</f>
        <v>4307288.239999999</v>
      </c>
      <c r="H14" s="16">
        <v>5000</v>
      </c>
      <c r="I14" s="16">
        <f t="shared" si="0"/>
        <v>4302288.239999999</v>
      </c>
      <c r="J14" s="235" t="s">
        <v>39</v>
      </c>
      <c r="K14" s="239" t="s">
        <v>19</v>
      </c>
      <c r="L14" s="207"/>
      <c r="M14" s="116"/>
    </row>
    <row r="15" s="23" customFormat="1">
      <c r="A15" s="25">
        <f t="shared" si="1"/>
        <v>12</v>
      </c>
      <c r="B15" s="25"/>
      <c r="C15" s="25" t="s">
        <v>40</v>
      </c>
      <c r="D15" s="25" t="s">
        <v>15</v>
      </c>
      <c r="E15" s="24" t="s">
        <v>16</v>
      </c>
      <c r="F15" s="25" t="s">
        <v>17</v>
      </c>
      <c r="G15" s="16">
        <f>'tanda terima  (2)'!G15</f>
        <v>2932041.5199999996</v>
      </c>
      <c r="H15" s="16">
        <v>5000</v>
      </c>
      <c r="I15" s="16">
        <f t="shared" si="0"/>
        <v>2927041.5199999996</v>
      </c>
      <c r="J15" s="236">
        <v>5765226951</v>
      </c>
      <c r="K15" s="239" t="s">
        <v>19</v>
      </c>
      <c r="L15" s="207"/>
      <c r="M15" s="116"/>
    </row>
    <row r="16" s="23" customFormat="1">
      <c r="A16" s="25">
        <f t="shared" si="1"/>
        <v>13</v>
      </c>
      <c r="B16" s="25"/>
      <c r="C16" s="25" t="s">
        <v>41</v>
      </c>
      <c r="D16" s="25" t="s">
        <v>15</v>
      </c>
      <c r="E16" s="24" t="s">
        <v>16</v>
      </c>
      <c r="F16" s="25" t="s">
        <v>17</v>
      </c>
      <c r="G16" s="16">
        <f>'tanda terima  (2)'!G16</f>
        <v>4307288.239999999</v>
      </c>
      <c r="H16" s="16">
        <v>5000</v>
      </c>
      <c r="I16" s="16">
        <f t="shared" si="0"/>
        <v>4302288.239999999</v>
      </c>
      <c r="J16" s="235" t="s">
        <v>42</v>
      </c>
      <c r="K16" s="239" t="s">
        <v>19</v>
      </c>
      <c r="L16" s="207"/>
      <c r="M16" s="116"/>
    </row>
    <row r="17" s="23" customFormat="1">
      <c r="A17" s="25">
        <f t="shared" si="1"/>
        <v>14</v>
      </c>
      <c r="B17" s="25"/>
      <c r="C17" s="25" t="s">
        <v>43</v>
      </c>
      <c r="D17" s="25" t="s">
        <v>15</v>
      </c>
      <c r="E17" s="24" t="s">
        <v>16</v>
      </c>
      <c r="F17" s="25" t="s">
        <v>17</v>
      </c>
      <c r="G17" s="16">
        <f>'tanda terima  (2)'!G17</f>
        <v>4120041.5199999996</v>
      </c>
      <c r="H17" s="16">
        <v>5000</v>
      </c>
      <c r="I17" s="16">
        <f t="shared" si="0"/>
        <v>4115041.5199999996</v>
      </c>
      <c r="J17" s="235" t="s">
        <v>44</v>
      </c>
      <c r="K17" s="239" t="s">
        <v>19</v>
      </c>
      <c r="L17" s="207"/>
      <c r="M17" s="116"/>
    </row>
    <row r="18" s="23" customFormat="1">
      <c r="A18" s="25">
        <f t="shared" si="1"/>
        <v>15</v>
      </c>
      <c r="B18" s="25"/>
      <c r="C18" s="25" t="s">
        <v>45</v>
      </c>
      <c r="D18" s="25" t="s">
        <v>15</v>
      </c>
      <c r="E18" s="24" t="s">
        <v>16</v>
      </c>
      <c r="F18" s="25" t="s">
        <v>17</v>
      </c>
      <c r="G18" s="16">
        <f>'tanda terima  (2)'!G18</f>
        <v>4307288.239999999</v>
      </c>
      <c r="H18" s="16">
        <v>5000</v>
      </c>
      <c r="I18" s="16">
        <f t="shared" si="0"/>
        <v>4302288.239999999</v>
      </c>
      <c r="J18" s="235" t="s">
        <v>46</v>
      </c>
      <c r="K18" s="239" t="s">
        <v>19</v>
      </c>
      <c r="L18" s="207"/>
      <c r="M18" s="116"/>
    </row>
    <row r="19" s="23" customFormat="1">
      <c r="A19" s="25">
        <f t="shared" si="1"/>
        <v>16</v>
      </c>
      <c r="B19" s="25"/>
      <c r="C19" s="27" t="s">
        <v>47</v>
      </c>
      <c r="D19" s="25" t="s">
        <v>15</v>
      </c>
      <c r="E19" s="24" t="s">
        <v>16</v>
      </c>
      <c r="F19" s="25" t="s">
        <v>17</v>
      </c>
      <c r="G19" s="16">
        <f>'tanda terima  (2)'!G19</f>
        <v>4120041.5199999996</v>
      </c>
      <c r="H19" s="16">
        <v>5000</v>
      </c>
      <c r="I19" s="16">
        <f t="shared" si="0"/>
        <v>4115041.5199999996</v>
      </c>
      <c r="J19" s="235" t="s">
        <v>48</v>
      </c>
      <c r="K19" s="239" t="s">
        <v>19</v>
      </c>
      <c r="L19" s="207"/>
      <c r="M19" s="116"/>
    </row>
    <row r="20" s="23" customFormat="1">
      <c r="A20" s="25">
        <f t="shared" si="1"/>
        <v>17</v>
      </c>
      <c r="B20" s="27"/>
      <c r="C20" s="27" t="s">
        <v>49</v>
      </c>
      <c r="D20" s="25" t="s">
        <v>15</v>
      </c>
      <c r="E20" s="24" t="s">
        <v>16</v>
      </c>
      <c r="F20" s="25" t="s">
        <v>17</v>
      </c>
      <c r="G20" s="16">
        <f>'tanda terima  (2)'!G20</f>
        <v>4210288.239999999</v>
      </c>
      <c r="H20" s="16">
        <v>5000</v>
      </c>
      <c r="I20" s="28">
        <f t="shared" si="0"/>
        <v>4205288.239999999</v>
      </c>
      <c r="J20" s="236" t="s">
        <v>50</v>
      </c>
      <c r="K20" s="235" t="s">
        <v>19</v>
      </c>
      <c r="L20" s="207"/>
      <c r="M20" s="116"/>
    </row>
    <row r="21" s="23" customFormat="1">
      <c r="A21" s="25">
        <f t="shared" si="1"/>
        <v>18</v>
      </c>
      <c r="B21" s="25"/>
      <c r="C21" s="25" t="s">
        <v>51</v>
      </c>
      <c r="D21" s="25" t="s">
        <v>15</v>
      </c>
      <c r="E21" s="24" t="s">
        <v>16</v>
      </c>
      <c r="F21" s="25" t="s">
        <v>17</v>
      </c>
      <c r="G21" s="16">
        <f>'tanda terima  (2)'!G21</f>
        <v>3807288.2399999993</v>
      </c>
      <c r="H21" s="16">
        <v>5000</v>
      </c>
      <c r="I21" s="16">
        <f t="shared" si="0"/>
        <v>3802288.2399999993</v>
      </c>
      <c r="J21" s="235" t="s">
        <v>52</v>
      </c>
      <c r="K21" s="239" t="s">
        <v>19</v>
      </c>
      <c r="L21" s="207"/>
      <c r="M21" s="116"/>
    </row>
    <row r="22" s="23" customFormat="1">
      <c r="A22" s="25">
        <f t="shared" si="1"/>
        <v>19</v>
      </c>
      <c r="B22" s="25"/>
      <c r="C22" s="25" t="s">
        <v>53</v>
      </c>
      <c r="D22" s="25" t="s">
        <v>15</v>
      </c>
      <c r="E22" s="24" t="s">
        <v>16</v>
      </c>
      <c r="F22" s="25" t="s">
        <v>17</v>
      </c>
      <c r="G22" s="16">
        <f>'tanda terima  (2)'!G22</f>
        <v>3260041.5199999996</v>
      </c>
      <c r="H22" s="16">
        <v>5000</v>
      </c>
      <c r="I22" s="16">
        <f t="shared" si="0"/>
        <v>3255041.5199999996</v>
      </c>
      <c r="J22" s="235" t="s">
        <v>54</v>
      </c>
      <c r="K22" s="239" t="s">
        <v>19</v>
      </c>
      <c r="L22" s="207"/>
      <c r="M22" s="116"/>
    </row>
    <row r="23" s="23" customFormat="1">
      <c r="A23" s="25">
        <f t="shared" si="1"/>
        <v>20</v>
      </c>
      <c r="B23" s="25"/>
      <c r="C23" s="27" t="s">
        <v>55</v>
      </c>
      <c r="D23" s="25" t="s">
        <v>15</v>
      </c>
      <c r="E23" s="24" t="s">
        <v>16</v>
      </c>
      <c r="F23" s="25" t="s">
        <v>17</v>
      </c>
      <c r="G23" s="16">
        <f>'tanda terima  (2)'!G23</f>
        <v>4307288.239999999</v>
      </c>
      <c r="H23" s="16">
        <v>5000</v>
      </c>
      <c r="I23" s="28">
        <f t="shared" si="0"/>
        <v>4302288.239999999</v>
      </c>
      <c r="J23" s="235" t="s">
        <v>56</v>
      </c>
      <c r="K23" s="239" t="s">
        <v>19</v>
      </c>
      <c r="L23" s="207"/>
      <c r="M23" s="116"/>
    </row>
    <row r="24" s="23" customFormat="1">
      <c r="A24" s="25">
        <f t="shared" si="1"/>
        <v>21</v>
      </c>
      <c r="B24" s="25"/>
      <c r="C24" s="25" t="s">
        <v>57</v>
      </c>
      <c r="D24" s="25" t="s">
        <v>15</v>
      </c>
      <c r="E24" s="24" t="s">
        <v>16</v>
      </c>
      <c r="F24" s="25" t="s">
        <v>17</v>
      </c>
      <c r="G24" s="16">
        <f>'tanda terima  (2)'!G24</f>
        <v>4307288.239999999</v>
      </c>
      <c r="H24" s="16">
        <v>5000</v>
      </c>
      <c r="I24" s="16">
        <f t="shared" si="0"/>
        <v>4302288.239999999</v>
      </c>
      <c r="J24" s="235" t="s">
        <v>58</v>
      </c>
      <c r="K24" s="239" t="s">
        <v>19</v>
      </c>
      <c r="L24" s="207"/>
      <c r="M24" s="116"/>
    </row>
    <row r="25" s="23" customFormat="1">
      <c r="A25" s="25">
        <f t="shared" si="1"/>
        <v>22</v>
      </c>
      <c r="B25" s="25"/>
      <c r="C25" s="27" t="s">
        <v>59</v>
      </c>
      <c r="D25" s="25" t="s">
        <v>15</v>
      </c>
      <c r="E25" s="24" t="s">
        <v>16</v>
      </c>
      <c r="F25" s="25" t="s">
        <v>17</v>
      </c>
      <c r="G25" s="16">
        <f>'tanda terima  (2)'!G25</f>
        <v>4120041.5199999996</v>
      </c>
      <c r="H25" s="16">
        <v>5000</v>
      </c>
      <c r="I25" s="16">
        <f t="shared" si="0"/>
        <v>4115041.5199999996</v>
      </c>
      <c r="J25" s="235" t="s">
        <v>60</v>
      </c>
      <c r="K25" s="239" t="s">
        <v>19</v>
      </c>
      <c r="L25" s="207"/>
      <c r="M25" s="116"/>
    </row>
    <row r="26" s="23" customFormat="1">
      <c r="A26" s="25">
        <f t="shared" si="1"/>
        <v>23</v>
      </c>
      <c r="B26" s="25"/>
      <c r="C26" s="27" t="s">
        <v>61</v>
      </c>
      <c r="D26" s="25" t="s">
        <v>15</v>
      </c>
      <c r="E26" s="24" t="s">
        <v>16</v>
      </c>
      <c r="F26" s="25" t="s">
        <v>17</v>
      </c>
      <c r="G26" s="16">
        <f>'tanda terima  (2)'!G26</f>
        <v>4307288.239999999</v>
      </c>
      <c r="H26" s="16">
        <v>5000</v>
      </c>
      <c r="I26" s="16">
        <f t="shared" si="0"/>
        <v>4302288.239999999</v>
      </c>
      <c r="J26" s="235" t="s">
        <v>64</v>
      </c>
      <c r="K26" s="239" t="s">
        <v>19</v>
      </c>
      <c r="L26" s="207"/>
      <c r="M26" s="116"/>
    </row>
    <row r="27" s="23" customFormat="1">
      <c r="A27" s="25">
        <f t="shared" si="1"/>
        <v>24</v>
      </c>
      <c r="B27" s="25"/>
      <c r="C27" s="25" t="s">
        <v>63</v>
      </c>
      <c r="D27" s="25" t="s">
        <v>15</v>
      </c>
      <c r="E27" s="24" t="s">
        <v>16</v>
      </c>
      <c r="F27" s="25" t="s">
        <v>17</v>
      </c>
      <c r="G27" s="16">
        <f>'tanda terima  (2)'!G27</f>
        <v>4307288.239999999</v>
      </c>
      <c r="H27" s="16">
        <v>5000</v>
      </c>
      <c r="I27" s="28">
        <f t="shared" si="0"/>
        <v>4302288.239999999</v>
      </c>
      <c r="J27" s="236" t="s">
        <v>66</v>
      </c>
      <c r="K27" s="239" t="s">
        <v>19</v>
      </c>
      <c r="L27" s="207"/>
      <c r="M27" s="116"/>
    </row>
    <row r="28" s="23" customFormat="1">
      <c r="A28" s="25">
        <f t="shared" si="1"/>
        <v>25</v>
      </c>
      <c r="B28" s="25"/>
      <c r="C28" s="27" t="s">
        <v>65</v>
      </c>
      <c r="D28" s="25" t="s">
        <v>15</v>
      </c>
      <c r="E28" s="24" t="s">
        <v>16</v>
      </c>
      <c r="F28" s="25" t="s">
        <v>17</v>
      </c>
      <c r="G28" s="16">
        <f>'tanda terima  (2)'!G28</f>
        <v>3720041.5199999996</v>
      </c>
      <c r="H28" s="16">
        <v>5000</v>
      </c>
      <c r="I28" s="16">
        <f t="shared" si="0"/>
        <v>3715041.5199999996</v>
      </c>
      <c r="J28" s="235" t="s">
        <v>68</v>
      </c>
      <c r="K28" s="239" t="s">
        <v>19</v>
      </c>
      <c r="L28" s="207"/>
      <c r="M28" s="116"/>
    </row>
    <row r="29" s="23" customFormat="1">
      <c r="A29" s="25">
        <f t="shared" si="1"/>
        <v>26</v>
      </c>
      <c r="B29" s="25"/>
      <c r="C29" s="25" t="s">
        <v>67</v>
      </c>
      <c r="D29" s="25" t="s">
        <v>15</v>
      </c>
      <c r="E29" s="24" t="s">
        <v>16</v>
      </c>
      <c r="F29" s="25" t="s">
        <v>17</v>
      </c>
      <c r="G29" s="16">
        <f>'tanda terima  (2)'!G29</f>
        <v>4307288.239999999</v>
      </c>
      <c r="H29" s="16">
        <v>5000</v>
      </c>
      <c r="I29" s="28">
        <f t="shared" si="0"/>
        <v>4302288.239999999</v>
      </c>
      <c r="J29" s="236" t="s">
        <v>70</v>
      </c>
      <c r="K29" s="239" t="s">
        <v>19</v>
      </c>
      <c r="L29" s="207"/>
      <c r="M29" s="116"/>
    </row>
    <row r="30" s="23" customFormat="1">
      <c r="A30" s="25">
        <f t="shared" si="1"/>
        <v>27</v>
      </c>
      <c r="B30" s="25"/>
      <c r="C30" s="27" t="s">
        <v>69</v>
      </c>
      <c r="D30" s="25" t="s">
        <v>15</v>
      </c>
      <c r="E30" s="24" t="s">
        <v>16</v>
      </c>
      <c r="F30" s="25" t="s">
        <v>17</v>
      </c>
      <c r="G30" s="16">
        <f>'tanda terima  (2)'!G30</f>
        <v>3310495.8400000003</v>
      </c>
      <c r="H30" s="16">
        <v>5000</v>
      </c>
      <c r="I30" s="16">
        <f t="shared" si="0"/>
        <v>3305495.8400000003</v>
      </c>
      <c r="J30" s="235" t="s">
        <v>72</v>
      </c>
      <c r="K30" s="239" t="s">
        <v>19</v>
      </c>
      <c r="L30" s="207"/>
      <c r="M30" s="116"/>
    </row>
    <row r="31" s="23" customFormat="1">
      <c r="A31" s="25">
        <f t="shared" si="1"/>
        <v>28</v>
      </c>
      <c r="B31" s="25"/>
      <c r="C31" s="27" t="s">
        <v>71</v>
      </c>
      <c r="D31" s="25" t="s">
        <v>15</v>
      </c>
      <c r="E31" s="24" t="s">
        <v>16</v>
      </c>
      <c r="F31" s="25" t="s">
        <v>17</v>
      </c>
      <c r="G31" s="16">
        <f>'tanda terima  (2)'!G31</f>
        <v>2744041.5199999996</v>
      </c>
      <c r="H31" s="16">
        <v>5000</v>
      </c>
      <c r="I31" s="16">
        <f t="shared" si="0"/>
        <v>2739041.5199999996</v>
      </c>
      <c r="J31" s="235" t="s">
        <v>74</v>
      </c>
      <c r="K31" s="239" t="s">
        <v>19</v>
      </c>
      <c r="L31" s="207"/>
      <c r="M31" s="116"/>
    </row>
    <row r="32" s="23" customFormat="1">
      <c r="A32" s="25">
        <f t="shared" si="1"/>
        <v>29</v>
      </c>
      <c r="B32" s="27"/>
      <c r="C32" s="25" t="s">
        <v>73</v>
      </c>
      <c r="D32" s="25" t="s">
        <v>15</v>
      </c>
      <c r="E32" s="24" t="s">
        <v>16</v>
      </c>
      <c r="F32" s="25" t="s">
        <v>17</v>
      </c>
      <c r="G32" s="16">
        <f>'tanda terima  (2)'!G32</f>
        <v>4210288.239999999</v>
      </c>
      <c r="H32" s="16">
        <v>5000</v>
      </c>
      <c r="I32" s="28">
        <f t="shared" si="0"/>
        <v>4205288.239999999</v>
      </c>
      <c r="J32" s="236" t="s">
        <v>76</v>
      </c>
      <c r="K32" s="235" t="s">
        <v>19</v>
      </c>
      <c r="L32" s="207"/>
      <c r="M32" s="116"/>
    </row>
    <row r="33" s="23" customFormat="1">
      <c r="A33" s="25">
        <f t="shared" si="1"/>
        <v>30</v>
      </c>
      <c r="B33" s="25"/>
      <c r="C33" s="27" t="s">
        <v>75</v>
      </c>
      <c r="D33" s="25" t="s">
        <v>15</v>
      </c>
      <c r="E33" s="24" t="s">
        <v>16</v>
      </c>
      <c r="F33" s="25" t="s">
        <v>17</v>
      </c>
      <c r="G33" s="16">
        <f>'tanda terima  (2)'!G33</f>
        <v>4307288.239999999</v>
      </c>
      <c r="H33" s="16">
        <v>5000</v>
      </c>
      <c r="I33" s="16">
        <f t="shared" si="0"/>
        <v>4302288.239999999</v>
      </c>
      <c r="J33" s="235">
        <v>3780270488</v>
      </c>
      <c r="K33" s="239" t="s">
        <v>19</v>
      </c>
      <c r="L33" s="207"/>
      <c r="M33" s="116"/>
    </row>
    <row r="34" s="23" customFormat="1">
      <c r="A34" s="25">
        <f t="shared" si="1"/>
        <v>31</v>
      </c>
      <c r="B34" s="25"/>
      <c r="C34" s="25" t="s">
        <v>77</v>
      </c>
      <c r="D34" s="25" t="s">
        <v>79</v>
      </c>
      <c r="E34" s="24" t="s">
        <v>16</v>
      </c>
      <c r="F34" s="25" t="s">
        <v>17</v>
      </c>
      <c r="G34" s="16">
        <f>'tanda terima  (2)'!G34</f>
        <v>4307288.239999999</v>
      </c>
      <c r="H34" s="16">
        <v>5000</v>
      </c>
      <c r="I34" s="16">
        <f t="shared" si="0"/>
        <v>4302288.239999999</v>
      </c>
      <c r="J34" s="235" t="s">
        <v>80</v>
      </c>
      <c r="K34" s="239" t="s">
        <v>19</v>
      </c>
      <c r="L34" s="207"/>
      <c r="M34" s="116"/>
    </row>
    <row r="35" s="23" customFormat="1">
      <c r="A35" s="25">
        <f t="shared" si="1"/>
        <v>32</v>
      </c>
      <c r="B35" s="27"/>
      <c r="C35" s="25" t="s">
        <v>78</v>
      </c>
      <c r="D35" s="25" t="s">
        <v>15</v>
      </c>
      <c r="E35" s="24" t="s">
        <v>16</v>
      </c>
      <c r="F35" s="25" t="s">
        <v>17</v>
      </c>
      <c r="G35" s="16">
        <f>'tanda terima  (2)'!G35</f>
        <v>4122066</v>
      </c>
      <c r="H35" s="16">
        <v>5000</v>
      </c>
      <c r="I35" s="28">
        <f t="shared" si="0"/>
        <v>4117066</v>
      </c>
      <c r="J35" s="236" t="s">
        <v>82</v>
      </c>
      <c r="K35" s="235" t="s">
        <v>19</v>
      </c>
      <c r="L35" s="207"/>
      <c r="M35" s="116"/>
    </row>
    <row r="36" s="23" customFormat="1">
      <c r="A36" s="25">
        <f t="shared" si="1"/>
        <v>33</v>
      </c>
      <c r="B36" s="25"/>
      <c r="C36" s="27" t="s">
        <v>81</v>
      </c>
      <c r="D36" s="25" t="s">
        <v>15</v>
      </c>
      <c r="E36" s="24" t="s">
        <v>16</v>
      </c>
      <c r="F36" s="25" t="s">
        <v>17</v>
      </c>
      <c r="G36" s="16">
        <f>'tanda terima  (2)'!G36</f>
        <v>4307288.239999999</v>
      </c>
      <c r="H36" s="16">
        <v>5000</v>
      </c>
      <c r="I36" s="16">
        <f t="shared" si="0"/>
        <v>4302288.239999999</v>
      </c>
      <c r="J36" s="235" t="s">
        <v>84</v>
      </c>
      <c r="K36" s="239" t="s">
        <v>19</v>
      </c>
      <c r="L36" s="207"/>
      <c r="M36" s="116"/>
    </row>
    <row r="37">
      <c r="A37" s="25">
        <f t="shared" si="1"/>
        <v>34</v>
      </c>
      <c r="B37" s="25"/>
      <c r="C37" s="25" t="s">
        <v>83</v>
      </c>
      <c r="D37" s="25" t="s">
        <v>15</v>
      </c>
      <c r="E37" s="24" t="s">
        <v>16</v>
      </c>
      <c r="F37" s="25" t="s">
        <v>17</v>
      </c>
      <c r="G37" s="16">
        <f>'tanda terima  (2)'!G37</f>
        <v>3807288.2399999993</v>
      </c>
      <c r="H37" s="16">
        <v>5000</v>
      </c>
      <c r="I37" s="16">
        <f t="shared" si="0"/>
        <v>3802288.2399999993</v>
      </c>
      <c r="J37" s="235" t="s">
        <v>86</v>
      </c>
      <c r="K37" s="239" t="s">
        <v>19</v>
      </c>
      <c r="L37" s="207"/>
    </row>
    <row r="38">
      <c r="A38" s="25">
        <f t="shared" si="1"/>
        <v>35</v>
      </c>
      <c r="B38" s="25"/>
      <c r="C38" s="25" t="s">
        <v>85</v>
      </c>
      <c r="D38" s="25" t="s">
        <v>15</v>
      </c>
      <c r="E38" s="24" t="s">
        <v>16</v>
      </c>
      <c r="F38" s="25" t="s">
        <v>17</v>
      </c>
      <c r="G38" s="16">
        <f>'tanda terima  (2)'!G38</f>
        <v>4307288.239999999</v>
      </c>
      <c r="H38" s="16">
        <v>5000</v>
      </c>
      <c r="I38" s="16">
        <f t="shared" si="0"/>
        <v>4302288.239999999</v>
      </c>
      <c r="J38" s="235" t="s">
        <v>88</v>
      </c>
      <c r="K38" s="239" t="s">
        <v>19</v>
      </c>
      <c r="L38" s="207"/>
    </row>
    <row r="39">
      <c r="A39" s="25">
        <f t="shared" si="1"/>
        <v>36</v>
      </c>
      <c r="B39" s="25"/>
      <c r="C39" s="25" t="s">
        <v>87</v>
      </c>
      <c r="D39" s="25" t="s">
        <v>15</v>
      </c>
      <c r="E39" s="24" t="s">
        <v>16</v>
      </c>
      <c r="F39" s="25" t="s">
        <v>17</v>
      </c>
      <c r="G39" s="16">
        <f>'tanda terima  (2)'!G39</f>
        <v>4107288.2399999993</v>
      </c>
      <c r="H39" s="16">
        <v>5000</v>
      </c>
      <c r="I39" s="16">
        <f t="shared" si="0"/>
        <v>4102288.2399999993</v>
      </c>
      <c r="J39" s="235" t="s">
        <v>90</v>
      </c>
      <c r="K39" s="239" t="s">
        <v>19</v>
      </c>
      <c r="L39" s="207"/>
    </row>
    <row r="40">
      <c r="A40" s="25">
        <f t="shared" si="1"/>
        <v>37</v>
      </c>
      <c r="B40" s="25"/>
      <c r="C40" s="25" t="s">
        <v>89</v>
      </c>
      <c r="D40" s="25" t="s">
        <v>15</v>
      </c>
      <c r="E40" s="24" t="s">
        <v>16</v>
      </c>
      <c r="F40" s="25" t="s">
        <v>17</v>
      </c>
      <c r="G40" s="16">
        <f>'tanda terima  (2)'!G40</f>
        <v>4307288.239999999</v>
      </c>
      <c r="H40" s="16">
        <v>5000</v>
      </c>
      <c r="I40" s="16">
        <f t="shared" si="0"/>
        <v>4302288.239999999</v>
      </c>
      <c r="J40" s="235" t="s">
        <v>92</v>
      </c>
      <c r="K40" s="239" t="s">
        <v>19</v>
      </c>
      <c r="L40" s="207"/>
    </row>
    <row r="41">
      <c r="A41" s="25">
        <f t="shared" si="1"/>
        <v>38</v>
      </c>
      <c r="B41" s="25"/>
      <c r="C41" s="25" t="s">
        <v>91</v>
      </c>
      <c r="D41" s="25" t="s">
        <v>15</v>
      </c>
      <c r="E41" s="24" t="s">
        <v>16</v>
      </c>
      <c r="F41" s="25" t="s">
        <v>17</v>
      </c>
      <c r="G41" s="16">
        <f>'tanda terima  (2)'!G41</f>
        <v>4307288.239999999</v>
      </c>
      <c r="H41" s="16">
        <v>5000</v>
      </c>
      <c r="I41" s="16">
        <f t="shared" si="0"/>
        <v>4302288.239999999</v>
      </c>
      <c r="J41" s="235" t="s">
        <v>94</v>
      </c>
      <c r="K41" s="239" t="s">
        <v>19</v>
      </c>
      <c r="L41" s="207"/>
    </row>
    <row r="42">
      <c r="A42" s="25">
        <f t="shared" si="1"/>
        <v>39</v>
      </c>
      <c r="B42" s="25"/>
      <c r="C42" s="25" t="s">
        <v>93</v>
      </c>
      <c r="D42" s="25" t="s">
        <v>15</v>
      </c>
      <c r="E42" s="24" t="s">
        <v>16</v>
      </c>
      <c r="F42" s="25" t="s">
        <v>17</v>
      </c>
      <c r="G42" s="16">
        <f>'tanda terima  (2)'!G42</f>
        <v>4307288.239999999</v>
      </c>
      <c r="H42" s="16">
        <v>5000</v>
      </c>
      <c r="I42" s="16">
        <f t="shared" si="0"/>
        <v>4302288.239999999</v>
      </c>
      <c r="J42" s="235" t="s">
        <v>96</v>
      </c>
      <c r="K42" s="239" t="s">
        <v>19</v>
      </c>
      <c r="L42" s="207"/>
    </row>
    <row r="43">
      <c r="A43" s="25">
        <f t="shared" si="1"/>
        <v>40</v>
      </c>
      <c r="B43" s="25"/>
      <c r="C43" s="25" t="s">
        <v>95</v>
      </c>
      <c r="D43" s="25" t="s">
        <v>15</v>
      </c>
      <c r="E43" s="24" t="s">
        <v>16</v>
      </c>
      <c r="F43" s="25" t="s">
        <v>17</v>
      </c>
      <c r="G43" s="16">
        <f>'tanda terima  (2)'!G43</f>
        <v>3947371.2800000003</v>
      </c>
      <c r="H43" s="16">
        <v>5000</v>
      </c>
      <c r="I43" s="28">
        <f t="shared" si="0"/>
        <v>3942371.2800000003</v>
      </c>
      <c r="J43" s="236" t="s">
        <v>98</v>
      </c>
      <c r="K43" s="239" t="s">
        <v>19</v>
      </c>
      <c r="L43" s="207"/>
    </row>
    <row r="44">
      <c r="A44" s="25">
        <f t="shared" si="1"/>
        <v>41</v>
      </c>
      <c r="B44" s="25"/>
      <c r="C44" s="27" t="s">
        <v>97</v>
      </c>
      <c r="D44" s="25" t="s">
        <v>15</v>
      </c>
      <c r="E44" s="24" t="s">
        <v>16</v>
      </c>
      <c r="F44" s="25" t="s">
        <v>17</v>
      </c>
      <c r="G44" s="16">
        <f>'tanda terima  (2)'!G44</f>
        <v>4307288.239999999</v>
      </c>
      <c r="H44" s="16">
        <v>5000</v>
      </c>
      <c r="I44" s="16">
        <f t="shared" si="0"/>
        <v>4302288.239999999</v>
      </c>
      <c r="J44" s="235" t="s">
        <v>100</v>
      </c>
      <c r="K44" s="239" t="s">
        <v>19</v>
      </c>
      <c r="L44" s="207"/>
    </row>
    <row r="45">
      <c r="A45" s="25">
        <f t="shared" si="1"/>
        <v>42</v>
      </c>
      <c r="B45" s="27"/>
      <c r="C45" s="25" t="s">
        <v>99</v>
      </c>
      <c r="D45" s="25" t="s">
        <v>15</v>
      </c>
      <c r="E45" s="24" t="s">
        <v>16</v>
      </c>
      <c r="F45" s="25" t="s">
        <v>17</v>
      </c>
      <c r="G45" s="16">
        <f>'tanda terima  (2)'!G45</f>
        <v>4307288.239999999</v>
      </c>
      <c r="H45" s="16">
        <v>5000</v>
      </c>
      <c r="I45" s="16">
        <f t="shared" si="0"/>
        <v>4302288.239999999</v>
      </c>
      <c r="J45" s="235" t="s">
        <v>102</v>
      </c>
      <c r="K45" s="239" t="s">
        <v>19</v>
      </c>
      <c r="L45" s="207"/>
    </row>
    <row r="46">
      <c r="A46" s="25">
        <f t="shared" si="1"/>
        <v>43</v>
      </c>
      <c r="B46" s="25"/>
      <c r="C46" s="27" t="s">
        <v>101</v>
      </c>
      <c r="D46" s="25" t="s">
        <v>15</v>
      </c>
      <c r="E46" s="24" t="s">
        <v>16</v>
      </c>
      <c r="F46" s="25" t="s">
        <v>17</v>
      </c>
      <c r="G46" s="16">
        <f>'tanda terima  (2)'!G46</f>
        <v>4300041.52</v>
      </c>
      <c r="H46" s="16">
        <v>5000</v>
      </c>
      <c r="I46" s="16">
        <f t="shared" si="0"/>
        <v>4295041.52</v>
      </c>
      <c r="J46" s="235">
        <v>5775486632</v>
      </c>
      <c r="K46" s="239" t="s">
        <v>19</v>
      </c>
      <c r="L46" s="207"/>
    </row>
    <row r="47">
      <c r="A47" s="25">
        <f t="shared" si="1"/>
        <v>44</v>
      </c>
      <c r="B47" s="25"/>
      <c r="C47" s="25" t="s">
        <v>103</v>
      </c>
      <c r="D47" s="25" t="s">
        <v>15</v>
      </c>
      <c r="E47" s="24" t="s">
        <v>16</v>
      </c>
      <c r="F47" s="25" t="s">
        <v>17</v>
      </c>
      <c r="G47" s="16">
        <f>'tanda terima  (2)'!G47</f>
        <v>3947371.2800000003</v>
      </c>
      <c r="H47" s="16">
        <v>5000</v>
      </c>
      <c r="I47" s="16">
        <f t="shared" si="0"/>
        <v>3942371.2800000003</v>
      </c>
      <c r="J47" s="235" t="s">
        <v>105</v>
      </c>
      <c r="K47" s="239" t="s">
        <v>19</v>
      </c>
      <c r="L47" s="207"/>
      <c r="M47" s="116"/>
    </row>
    <row r="48">
      <c r="A48" s="25">
        <f t="shared" si="1"/>
        <v>45</v>
      </c>
      <c r="B48" s="25"/>
      <c r="C48" s="25" t="s">
        <v>104</v>
      </c>
      <c r="D48" s="25" t="s">
        <v>15</v>
      </c>
      <c r="E48" s="24" t="s">
        <v>16</v>
      </c>
      <c r="F48" s="25" t="s">
        <v>17</v>
      </c>
      <c r="G48" s="16">
        <f>'tanda terima  (2)'!G48</f>
        <v>4307288.239999999</v>
      </c>
      <c r="H48" s="16">
        <v>5000</v>
      </c>
      <c r="I48" s="16">
        <f t="shared" si="0"/>
        <v>4302288.239999999</v>
      </c>
      <c r="J48" s="235" t="s">
        <v>107</v>
      </c>
      <c r="K48" s="239" t="s">
        <v>19</v>
      </c>
      <c r="L48" s="207"/>
      <c r="M48" s="116"/>
    </row>
    <row r="49">
      <c r="A49" s="25">
        <f t="shared" si="1"/>
        <v>46</v>
      </c>
      <c r="B49" s="25"/>
      <c r="C49" s="27" t="s">
        <v>106</v>
      </c>
      <c r="D49" s="25" t="s">
        <v>15</v>
      </c>
      <c r="E49" s="24" t="s">
        <v>16</v>
      </c>
      <c r="F49" s="25" t="s">
        <v>17</v>
      </c>
      <c r="G49" s="16">
        <f>'tanda terima  (2)'!G49</f>
        <v>3970041.5199999996</v>
      </c>
      <c r="H49" s="16">
        <v>5000</v>
      </c>
      <c r="I49" s="16">
        <f t="shared" si="0"/>
        <v>3965041.5199999996</v>
      </c>
      <c r="J49" s="235" t="s">
        <v>109</v>
      </c>
      <c r="K49" s="239" t="s">
        <v>19</v>
      </c>
      <c r="L49" s="207"/>
      <c r="M49" s="116"/>
    </row>
    <row r="50">
      <c r="A50" s="25">
        <f t="shared" si="1"/>
        <v>47</v>
      </c>
      <c r="B50" s="25"/>
      <c r="C50" s="25" t="s">
        <v>108</v>
      </c>
      <c r="D50" s="25" t="s">
        <v>15</v>
      </c>
      <c r="E50" s="24" t="s">
        <v>16</v>
      </c>
      <c r="F50" s="25" t="s">
        <v>17</v>
      </c>
      <c r="G50" s="16">
        <f>'tanda terima  (2)'!G50</f>
        <v>4307288.239999999</v>
      </c>
      <c r="H50" s="16">
        <v>5000</v>
      </c>
      <c r="I50" s="28">
        <f t="shared" si="0"/>
        <v>4302288.239999999</v>
      </c>
      <c r="J50" s="235" t="s">
        <v>111</v>
      </c>
      <c r="K50" s="239" t="s">
        <v>19</v>
      </c>
      <c r="L50" s="207"/>
      <c r="M50" s="116"/>
    </row>
    <row r="51">
      <c r="A51" s="25">
        <f t="shared" si="1"/>
        <v>48</v>
      </c>
      <c r="B51" s="25"/>
      <c r="C51" s="27" t="s">
        <v>110</v>
      </c>
      <c r="D51" s="25" t="s">
        <v>15</v>
      </c>
      <c r="E51" s="24" t="s">
        <v>16</v>
      </c>
      <c r="F51" s="25" t="s">
        <v>17</v>
      </c>
      <c r="G51" s="16">
        <f>'tanda terima  (2)'!G51</f>
        <v>3807288.2399999993</v>
      </c>
      <c r="H51" s="16">
        <v>5000</v>
      </c>
      <c r="I51" s="16">
        <f t="shared" si="0"/>
        <v>3802288.2399999993</v>
      </c>
      <c r="J51" s="235" t="s">
        <v>113</v>
      </c>
      <c r="K51" s="239" t="s">
        <v>19</v>
      </c>
      <c r="L51" s="207"/>
      <c r="M51" s="116"/>
    </row>
    <row r="52">
      <c r="A52" s="25">
        <f t="shared" si="1"/>
        <v>49</v>
      </c>
      <c r="B52" s="25"/>
      <c r="C52" s="25" t="s">
        <v>112</v>
      </c>
      <c r="D52" s="25" t="s">
        <v>15</v>
      </c>
      <c r="E52" s="24" t="s">
        <v>16</v>
      </c>
      <c r="F52" s="25" t="s">
        <v>17</v>
      </c>
      <c r="G52" s="16">
        <f>'tanda terima  (2)'!G52</f>
        <v>3947371.2800000003</v>
      </c>
      <c r="H52" s="16">
        <v>5000</v>
      </c>
      <c r="I52" s="16">
        <f t="shared" si="0"/>
        <v>3942371.2800000003</v>
      </c>
      <c r="J52" s="235" t="s">
        <v>115</v>
      </c>
      <c r="K52" s="239" t="s">
        <v>19</v>
      </c>
      <c r="L52" s="207"/>
      <c r="M52" s="116"/>
    </row>
    <row r="53">
      <c r="A53" s="25">
        <f t="shared" si="1"/>
        <v>50</v>
      </c>
      <c r="B53" s="25"/>
      <c r="C53" s="25" t="s">
        <v>114</v>
      </c>
      <c r="D53" s="25" t="s">
        <v>15</v>
      </c>
      <c r="E53" s="24" t="s">
        <v>16</v>
      </c>
      <c r="F53" s="25" t="s">
        <v>17</v>
      </c>
      <c r="G53" s="16">
        <f>'tanda terima  (2)'!G53</f>
        <v>4307288.239999999</v>
      </c>
      <c r="H53" s="16">
        <v>5000</v>
      </c>
      <c r="I53" s="28">
        <f t="shared" si="0"/>
        <v>4302288.239999999</v>
      </c>
      <c r="J53" s="235" t="s">
        <v>117</v>
      </c>
      <c r="K53" s="239" t="s">
        <v>19</v>
      </c>
      <c r="L53" s="207"/>
    </row>
    <row r="54">
      <c r="A54" s="25">
        <f t="shared" si="1"/>
        <v>51</v>
      </c>
      <c r="B54" s="25"/>
      <c r="C54" s="27" t="s">
        <v>116</v>
      </c>
      <c r="D54" s="25" t="s">
        <v>15</v>
      </c>
      <c r="E54" s="24" t="s">
        <v>16</v>
      </c>
      <c r="F54" s="25" t="s">
        <v>17</v>
      </c>
      <c r="G54" s="16">
        <f>'tanda terima  (2)'!G54</f>
        <v>4307288.239999999</v>
      </c>
      <c r="H54" s="16">
        <v>5000</v>
      </c>
      <c r="I54" s="16">
        <f t="shared" si="0"/>
        <v>4302288.239999999</v>
      </c>
      <c r="J54" s="235" t="s">
        <v>119</v>
      </c>
      <c r="K54" s="239" t="s">
        <v>19</v>
      </c>
      <c r="L54" s="207"/>
      <c r="M54" s="116"/>
    </row>
    <row r="55">
      <c r="A55" s="25">
        <f t="shared" si="1"/>
        <v>52</v>
      </c>
      <c r="B55" s="25"/>
      <c r="C55" s="25" t="s">
        <v>118</v>
      </c>
      <c r="D55" s="25" t="s">
        <v>15</v>
      </c>
      <c r="E55" s="24" t="s">
        <v>16</v>
      </c>
      <c r="F55" s="25" t="s">
        <v>17</v>
      </c>
      <c r="G55" s="16">
        <f>'tanda terima  (2)'!G55</f>
        <v>4307288.239999999</v>
      </c>
      <c r="H55" s="16">
        <v>5000</v>
      </c>
      <c r="I55" s="16">
        <f t="shared" si="0"/>
        <v>4302288.239999999</v>
      </c>
      <c r="J55" s="235" t="s">
        <v>121</v>
      </c>
      <c r="K55" s="239" t="s">
        <v>19</v>
      </c>
      <c r="L55" s="207"/>
      <c r="M55" s="116"/>
    </row>
    <row r="56">
      <c r="A56" s="25">
        <f t="shared" si="1"/>
        <v>53</v>
      </c>
      <c r="B56" s="25"/>
      <c r="C56" s="25" t="s">
        <v>120</v>
      </c>
      <c r="D56" s="25" t="s">
        <v>15</v>
      </c>
      <c r="E56" s="24" t="s">
        <v>16</v>
      </c>
      <c r="F56" s="25" t="s">
        <v>17</v>
      </c>
      <c r="G56" s="16">
        <f>'tanda terima  (2)'!G56</f>
        <v>4307288.239999999</v>
      </c>
      <c r="H56" s="16">
        <v>5000</v>
      </c>
      <c r="I56" s="28">
        <f t="shared" si="0"/>
        <v>4302288.239999999</v>
      </c>
      <c r="J56" s="235" t="s">
        <v>123</v>
      </c>
      <c r="K56" s="239" t="s">
        <v>19</v>
      </c>
    </row>
    <row r="57">
      <c r="A57" s="25">
        <f t="shared" si="1"/>
        <v>54</v>
      </c>
      <c r="B57" s="25"/>
      <c r="C57" s="27" t="s">
        <v>122</v>
      </c>
      <c r="D57" s="25" t="s">
        <v>15</v>
      </c>
      <c r="E57" s="24" t="s">
        <v>16</v>
      </c>
      <c r="F57" s="25" t="s">
        <v>17</v>
      </c>
      <c r="G57" s="16">
        <f>'tanda terima  (2)'!G57</f>
        <v>4307288.239999999</v>
      </c>
      <c r="H57" s="16">
        <v>5000</v>
      </c>
      <c r="I57" s="16">
        <f t="shared" si="0"/>
        <v>4302288.239999999</v>
      </c>
      <c r="J57" s="235" t="s">
        <v>125</v>
      </c>
      <c r="K57" s="239" t="s">
        <v>19</v>
      </c>
    </row>
    <row r="58">
      <c r="A58" s="25">
        <f t="shared" si="1"/>
        <v>55</v>
      </c>
      <c r="B58" s="27"/>
      <c r="C58" s="25" t="s">
        <v>124</v>
      </c>
      <c r="D58" s="25" t="s">
        <v>79</v>
      </c>
      <c r="E58" s="24" t="s">
        <v>16</v>
      </c>
      <c r="F58" s="25" t="s">
        <v>17</v>
      </c>
      <c r="G58" s="16">
        <f>'tanda terima  (2)'!G58</f>
        <v>4307288.239999999</v>
      </c>
      <c r="H58" s="16">
        <v>5000</v>
      </c>
      <c r="I58" s="28">
        <f t="shared" si="0"/>
        <v>4302288.239999999</v>
      </c>
      <c r="J58" s="236" t="s">
        <v>127</v>
      </c>
      <c r="K58" s="239" t="s">
        <v>19</v>
      </c>
    </row>
    <row r="59">
      <c r="A59" s="25">
        <f t="shared" si="1"/>
        <v>56</v>
      </c>
      <c r="B59" s="27"/>
      <c r="C59" s="27" t="s">
        <v>126</v>
      </c>
      <c r="D59" s="25" t="s">
        <v>15</v>
      </c>
      <c r="E59" s="24" t="s">
        <v>16</v>
      </c>
      <c r="F59" s="25" t="s">
        <v>17</v>
      </c>
      <c r="G59" s="16">
        <f>'tanda terima  (2)'!G59</f>
        <v>4600170.239999999</v>
      </c>
      <c r="H59" s="16">
        <v>5000</v>
      </c>
      <c r="I59" s="28">
        <f t="shared" si="0"/>
        <v>4595170.239999999</v>
      </c>
      <c r="J59" s="236" t="s">
        <v>212</v>
      </c>
      <c r="K59" s="235" t="s">
        <v>19</v>
      </c>
    </row>
    <row r="60">
      <c r="A60" s="25">
        <f t="shared" si="1"/>
        <v>57</v>
      </c>
      <c r="B60" s="25"/>
      <c r="C60" s="27" t="s">
        <v>128</v>
      </c>
      <c r="D60" s="25" t="s">
        <v>15</v>
      </c>
      <c r="E60" s="24" t="s">
        <v>16</v>
      </c>
      <c r="F60" s="25" t="s">
        <v>17</v>
      </c>
      <c r="G60" s="16">
        <f>'tanda terima  (2)'!G60</f>
        <v>3912288.2399999993</v>
      </c>
      <c r="H60" s="16">
        <v>5000</v>
      </c>
      <c r="I60" s="16">
        <f t="shared" si="0"/>
        <v>3907288.2399999993</v>
      </c>
      <c r="J60" s="235" t="s">
        <v>130</v>
      </c>
      <c r="K60" s="239" t="s">
        <v>19</v>
      </c>
    </row>
    <row r="61" s="23" customFormat="1">
      <c r="A61" s="25">
        <f t="shared" si="1"/>
        <v>58</v>
      </c>
      <c r="B61" s="25"/>
      <c r="C61" s="27" t="s">
        <v>129</v>
      </c>
      <c r="D61" s="25" t="s">
        <v>15</v>
      </c>
      <c r="E61" s="24" t="s">
        <v>16</v>
      </c>
      <c r="F61" s="25" t="s">
        <v>17</v>
      </c>
      <c r="G61" s="16">
        <f>'tanda terima  (2)'!G61</f>
        <v>4120041.5199999996</v>
      </c>
      <c r="H61" s="16">
        <v>5000</v>
      </c>
      <c r="I61" s="16">
        <f t="shared" si="0"/>
        <v>4115041.5199999996</v>
      </c>
      <c r="J61" s="235" t="s">
        <v>132</v>
      </c>
      <c r="K61" s="239" t="s">
        <v>19</v>
      </c>
      <c r="L61" s="20"/>
      <c r="M61" s="20"/>
    </row>
    <row r="62">
      <c r="A62" s="25">
        <f t="shared" si="1"/>
        <v>59</v>
      </c>
      <c r="B62" s="25"/>
      <c r="C62" s="25" t="s">
        <v>131</v>
      </c>
      <c r="D62" s="25" t="s">
        <v>15</v>
      </c>
      <c r="E62" s="24" t="s">
        <v>16</v>
      </c>
      <c r="F62" s="25" t="s">
        <v>17</v>
      </c>
      <c r="G62" s="16">
        <f>'tanda terima  (2)'!G62</f>
        <v>4307288.239999999</v>
      </c>
      <c r="H62" s="16">
        <v>5000</v>
      </c>
      <c r="I62" s="16">
        <f t="shared" si="0"/>
        <v>4302288.239999999</v>
      </c>
      <c r="J62" s="235" t="s">
        <v>134</v>
      </c>
      <c r="K62" s="239" t="s">
        <v>19</v>
      </c>
    </row>
    <row r="63">
      <c r="A63" s="25">
        <f t="shared" si="1"/>
        <v>60</v>
      </c>
      <c r="B63" s="25"/>
      <c r="C63" s="27" t="s">
        <v>133</v>
      </c>
      <c r="D63" s="25" t="s">
        <v>15</v>
      </c>
      <c r="E63" s="24" t="s">
        <v>16</v>
      </c>
      <c r="F63" s="25" t="s">
        <v>17</v>
      </c>
      <c r="G63" s="16">
        <f>'tanda terima  (2)'!G63</f>
        <v>4100041.5199999996</v>
      </c>
      <c r="H63" s="16">
        <v>5000</v>
      </c>
      <c r="I63" s="16">
        <f t="shared" si="0"/>
        <v>4095041.5199999996</v>
      </c>
      <c r="J63" s="235">
        <v>4860211764</v>
      </c>
      <c r="K63" s="239" t="s">
        <v>19</v>
      </c>
    </row>
    <row r="64">
      <c r="A64" s="25">
        <f t="shared" si="1"/>
        <v>61</v>
      </c>
      <c r="B64" s="25"/>
      <c r="C64" s="25" t="s">
        <v>135</v>
      </c>
      <c r="D64" s="25" t="s">
        <v>15</v>
      </c>
      <c r="E64" s="24" t="s">
        <v>16</v>
      </c>
      <c r="F64" s="25" t="s">
        <v>17</v>
      </c>
      <c r="G64" s="16">
        <f>'tanda terima  (2)'!G64</f>
        <v>4487246.239999999</v>
      </c>
      <c r="H64" s="16">
        <v>5000</v>
      </c>
      <c r="I64" s="16">
        <f t="shared" si="0"/>
        <v>4482246.239999999</v>
      </c>
      <c r="J64" s="235" t="s">
        <v>137</v>
      </c>
      <c r="K64" s="239" t="s">
        <v>19</v>
      </c>
    </row>
    <row r="65">
      <c r="A65" s="25">
        <f t="shared" si="1"/>
        <v>62</v>
      </c>
      <c r="B65" s="25"/>
      <c r="C65" s="25" t="s">
        <v>136</v>
      </c>
      <c r="D65" s="25" t="s">
        <v>15</v>
      </c>
      <c r="E65" s="24" t="s">
        <v>16</v>
      </c>
      <c r="F65" s="25" t="s">
        <v>17</v>
      </c>
      <c r="G65" s="16">
        <f>'tanda terima  (2)'!G65</f>
        <v>4307288.239999999</v>
      </c>
      <c r="H65" s="16">
        <v>5000</v>
      </c>
      <c r="I65" s="16">
        <f t="shared" si="0"/>
        <v>4302288.239999999</v>
      </c>
      <c r="J65" s="235" t="s">
        <v>139</v>
      </c>
      <c r="K65" s="239" t="s">
        <v>19</v>
      </c>
    </row>
    <row r="66">
      <c r="A66" s="25">
        <f t="shared" si="1"/>
        <v>63</v>
      </c>
      <c r="B66" s="25"/>
      <c r="C66" s="25" t="s">
        <v>138</v>
      </c>
      <c r="D66" s="25" t="s">
        <v>15</v>
      </c>
      <c r="E66" s="24" t="s">
        <v>16</v>
      </c>
      <c r="F66" s="25" t="s">
        <v>17</v>
      </c>
      <c r="G66" s="16">
        <f>'tanda terima  (2)'!G66</f>
        <v>4307288.239999999</v>
      </c>
      <c r="H66" s="16">
        <v>5000</v>
      </c>
      <c r="I66" s="28">
        <f t="shared" si="0"/>
        <v>4302288.239999999</v>
      </c>
      <c r="J66" s="236" t="s">
        <v>141</v>
      </c>
      <c r="K66" s="235" t="s">
        <v>142</v>
      </c>
    </row>
    <row r="67">
      <c r="A67" s="25">
        <f t="shared" si="1"/>
        <v>64</v>
      </c>
      <c r="B67" s="25"/>
      <c r="C67" s="27" t="s">
        <v>140</v>
      </c>
      <c r="D67" s="25" t="s">
        <v>15</v>
      </c>
      <c r="E67" s="24" t="s">
        <v>16</v>
      </c>
      <c r="F67" s="25" t="s">
        <v>17</v>
      </c>
      <c r="G67" s="16">
        <f>'tanda terima  (2)'!G67</f>
        <v>4307288.239999999</v>
      </c>
      <c r="H67" s="16">
        <v>5000</v>
      </c>
      <c r="I67" s="16">
        <f t="shared" si="0"/>
        <v>4302288.239999999</v>
      </c>
      <c r="J67" s="235">
        <v>6785129982</v>
      </c>
      <c r="K67" s="239" t="s">
        <v>19</v>
      </c>
    </row>
    <row r="68">
      <c r="A68" s="25">
        <f t="shared" si="1"/>
        <v>65</v>
      </c>
      <c r="B68" s="25"/>
      <c r="C68" s="25" t="s">
        <v>143</v>
      </c>
      <c r="D68" s="25" t="s">
        <v>15</v>
      </c>
      <c r="E68" s="24" t="s">
        <v>16</v>
      </c>
      <c r="F68" s="25" t="s">
        <v>17</v>
      </c>
      <c r="G68" s="16">
        <f>'tanda terima  (2)'!G68</f>
        <v>4307288.239999999</v>
      </c>
      <c r="H68" s="16">
        <v>5000</v>
      </c>
      <c r="I68" s="16">
        <f ref="I68:I97" t="shared" si="2">+G68-H68</f>
        <v>4302288.239999999</v>
      </c>
      <c r="J68" s="235" t="s">
        <v>145</v>
      </c>
      <c r="K68" s="239" t="s">
        <v>19</v>
      </c>
    </row>
    <row r="69">
      <c r="A69" s="25">
        <f t="shared" si="1"/>
        <v>66</v>
      </c>
      <c r="B69" s="27"/>
      <c r="C69" s="25" t="s">
        <v>144</v>
      </c>
      <c r="D69" s="25" t="s">
        <v>15</v>
      </c>
      <c r="E69" s="24" t="s">
        <v>16</v>
      </c>
      <c r="F69" s="25" t="s">
        <v>17</v>
      </c>
      <c r="G69" s="16">
        <f>'tanda terima  (2)'!G69</f>
        <v>4307288.239999999</v>
      </c>
      <c r="H69" s="16">
        <v>5000</v>
      </c>
      <c r="I69" s="28">
        <f t="shared" si="2"/>
        <v>4302288.239999999</v>
      </c>
      <c r="J69" s="236" t="s">
        <v>147</v>
      </c>
      <c r="K69" s="239" t="s">
        <v>19</v>
      </c>
    </row>
    <row r="70">
      <c r="A70" s="25">
        <f ref="A70:A97" t="shared" si="3">+A69+1</f>
        <v>67</v>
      </c>
      <c r="B70" s="25"/>
      <c r="C70" s="27" t="s">
        <v>146</v>
      </c>
      <c r="D70" s="25" t="s">
        <v>15</v>
      </c>
      <c r="E70" s="24" t="s">
        <v>16</v>
      </c>
      <c r="F70" s="25" t="s">
        <v>17</v>
      </c>
      <c r="G70" s="16">
        <f>'tanda terima  (2)'!G70</f>
        <v>4299999.52</v>
      </c>
      <c r="H70" s="16">
        <v>5000</v>
      </c>
      <c r="I70" s="16">
        <f t="shared" si="2"/>
        <v>4294999.52</v>
      </c>
      <c r="J70" s="235" t="s">
        <v>149</v>
      </c>
      <c r="K70" s="239" t="s">
        <v>19</v>
      </c>
    </row>
    <row r="71">
      <c r="A71" s="25">
        <f t="shared" si="3"/>
        <v>68</v>
      </c>
      <c r="B71" s="25"/>
      <c r="C71" s="25" t="s">
        <v>148</v>
      </c>
      <c r="D71" s="25" t="s">
        <v>15</v>
      </c>
      <c r="E71" s="24" t="s">
        <v>16</v>
      </c>
      <c r="F71" s="25" t="s">
        <v>17</v>
      </c>
      <c r="G71" s="16">
        <f>'tanda terima  (2)'!G71</f>
        <v>4120041.5199999996</v>
      </c>
      <c r="H71" s="16">
        <v>5000</v>
      </c>
      <c r="I71" s="16">
        <f t="shared" si="2"/>
        <v>4115041.5199999996</v>
      </c>
      <c r="J71" s="235" t="s">
        <v>151</v>
      </c>
      <c r="K71" s="239" t="s">
        <v>19</v>
      </c>
    </row>
    <row r="72">
      <c r="A72" s="25">
        <f t="shared" si="3"/>
        <v>69</v>
      </c>
      <c r="B72" s="27"/>
      <c r="C72" s="25" t="s">
        <v>150</v>
      </c>
      <c r="D72" s="25" t="s">
        <v>15</v>
      </c>
      <c r="E72" s="24" t="s">
        <v>16</v>
      </c>
      <c r="F72" s="25" t="s">
        <v>17</v>
      </c>
      <c r="G72" s="16">
        <f>'tanda terima  (2)'!G72</f>
        <v>4307288.239999999</v>
      </c>
      <c r="H72" s="16">
        <v>5000</v>
      </c>
      <c r="I72" s="28">
        <f t="shared" si="2"/>
        <v>4302288.239999999</v>
      </c>
      <c r="J72" s="235" t="s">
        <v>153</v>
      </c>
      <c r="K72" s="235" t="s">
        <v>19</v>
      </c>
    </row>
    <row r="73">
      <c r="A73" s="25">
        <f t="shared" si="3"/>
        <v>70</v>
      </c>
      <c r="B73" s="25"/>
      <c r="C73" s="27" t="s">
        <v>152</v>
      </c>
      <c r="D73" s="25" t="s">
        <v>15</v>
      </c>
      <c r="E73" s="24" t="s">
        <v>16</v>
      </c>
      <c r="F73" s="25" t="s">
        <v>17</v>
      </c>
      <c r="G73" s="16">
        <f>'tanda terima  (2)'!G73</f>
        <v>4307288.239999999</v>
      </c>
      <c r="H73" s="16">
        <v>5000</v>
      </c>
      <c r="I73" s="16">
        <f t="shared" si="2"/>
        <v>4302288.239999999</v>
      </c>
      <c r="J73" s="235" t="s">
        <v>155</v>
      </c>
      <c r="K73" s="239" t="s">
        <v>19</v>
      </c>
    </row>
    <row r="74">
      <c r="A74" s="25">
        <f t="shared" si="3"/>
        <v>71</v>
      </c>
      <c r="B74" s="27"/>
      <c r="C74" s="25" t="s">
        <v>154</v>
      </c>
      <c r="D74" s="25" t="s">
        <v>15</v>
      </c>
      <c r="E74" s="24" t="s">
        <v>16</v>
      </c>
      <c r="F74" s="25" t="s">
        <v>17</v>
      </c>
      <c r="G74" s="16">
        <f>'tanda terima  (2)'!G74</f>
        <v>4307288.239999999</v>
      </c>
      <c r="H74" s="16">
        <v>5000</v>
      </c>
      <c r="I74" s="28">
        <f t="shared" si="2"/>
        <v>4302288.239999999</v>
      </c>
      <c r="J74" s="236" t="s">
        <v>157</v>
      </c>
      <c r="K74" s="235" t="s">
        <v>19</v>
      </c>
    </row>
    <row r="75">
      <c r="A75" s="25">
        <f t="shared" si="3"/>
        <v>72</v>
      </c>
      <c r="B75" s="27"/>
      <c r="C75" s="27" t="s">
        <v>156</v>
      </c>
      <c r="D75" s="25" t="s">
        <v>15</v>
      </c>
      <c r="E75" s="24" t="s">
        <v>16</v>
      </c>
      <c r="F75" s="25" t="s">
        <v>17</v>
      </c>
      <c r="G75" s="16">
        <f>'tanda terima  (2)'!G75</f>
        <v>3970041.5199999996</v>
      </c>
      <c r="H75" s="16">
        <v>5000</v>
      </c>
      <c r="I75" s="28">
        <f t="shared" si="2"/>
        <v>3965041.5199999996</v>
      </c>
      <c r="J75" s="235" t="s">
        <v>159</v>
      </c>
      <c r="K75" s="235" t="s">
        <v>19</v>
      </c>
    </row>
    <row r="76">
      <c r="A76" s="25">
        <f t="shared" si="3"/>
        <v>73</v>
      </c>
      <c r="B76" s="27"/>
      <c r="C76" s="27" t="s">
        <v>158</v>
      </c>
      <c r="D76" s="25" t="s">
        <v>15</v>
      </c>
      <c r="E76" s="24" t="s">
        <v>16</v>
      </c>
      <c r="F76" s="25" t="s">
        <v>17</v>
      </c>
      <c r="G76" s="16">
        <f>'tanda terima  (2)'!G76</f>
        <v>4307288.239999999</v>
      </c>
      <c r="H76" s="16">
        <v>5000</v>
      </c>
      <c r="I76" s="28">
        <f t="shared" si="2"/>
        <v>4302288.239999999</v>
      </c>
      <c r="J76" s="235" t="s">
        <v>161</v>
      </c>
      <c r="K76" s="235" t="s">
        <v>19</v>
      </c>
    </row>
    <row r="77">
      <c r="A77" s="25">
        <f t="shared" si="3"/>
        <v>74</v>
      </c>
      <c r="B77" s="27"/>
      <c r="C77" s="27" t="s">
        <v>160</v>
      </c>
      <c r="D77" s="25" t="s">
        <v>15</v>
      </c>
      <c r="E77" s="24" t="s">
        <v>16</v>
      </c>
      <c r="F77" s="25" t="s">
        <v>17</v>
      </c>
      <c r="G77" s="16">
        <f>'tanda terima  (2)'!G77</f>
        <v>4307288.239999999</v>
      </c>
      <c r="H77" s="16">
        <v>5000</v>
      </c>
      <c r="I77" s="28">
        <f t="shared" si="2"/>
        <v>4302288.239999999</v>
      </c>
      <c r="J77" s="235">
        <v>1310664088</v>
      </c>
      <c r="K77" s="235" t="s">
        <v>19</v>
      </c>
    </row>
    <row r="78">
      <c r="A78" s="25">
        <f t="shared" si="3"/>
        <v>75</v>
      </c>
      <c r="B78" s="27"/>
      <c r="C78" s="27" t="s">
        <v>162</v>
      </c>
      <c r="D78" s="25" t="s">
        <v>15</v>
      </c>
      <c r="E78" s="24" t="s">
        <v>16</v>
      </c>
      <c r="F78" s="25" t="s">
        <v>17</v>
      </c>
      <c r="G78" s="16">
        <f>'tanda terima  (2)'!G78</f>
        <v>4127329.7600000007</v>
      </c>
      <c r="H78" s="16">
        <v>5000</v>
      </c>
      <c r="I78" s="28">
        <f t="shared" si="2"/>
        <v>4122329.7600000007</v>
      </c>
      <c r="J78" s="235">
        <v>6880638066</v>
      </c>
      <c r="K78" s="235" t="s">
        <v>213</v>
      </c>
    </row>
    <row r="79">
      <c r="A79" s="25">
        <f t="shared" si="3"/>
        <v>76</v>
      </c>
      <c r="B79" s="27"/>
      <c r="C79" s="27" t="s">
        <v>163</v>
      </c>
      <c r="D79" s="25" t="s">
        <v>15</v>
      </c>
      <c r="E79" s="24" t="s">
        <v>16</v>
      </c>
      <c r="F79" s="25" t="s">
        <v>17</v>
      </c>
      <c r="G79" s="16">
        <f>'tanda terima  (2)'!G79</f>
        <v>4307288.239999999</v>
      </c>
      <c r="H79" s="16">
        <v>5000</v>
      </c>
      <c r="I79" s="28">
        <f t="shared" si="2"/>
        <v>4302288.239999999</v>
      </c>
      <c r="J79" s="235">
        <v>4860356380</v>
      </c>
      <c r="K79" s="235" t="s">
        <v>19</v>
      </c>
    </row>
    <row r="80">
      <c r="A80" s="25">
        <f t="shared" si="3"/>
        <v>77</v>
      </c>
      <c r="B80" s="27"/>
      <c r="C80" s="27" t="s">
        <v>164</v>
      </c>
      <c r="D80" s="25" t="s">
        <v>15</v>
      </c>
      <c r="E80" s="24" t="s">
        <v>16</v>
      </c>
      <c r="F80" s="25" t="s">
        <v>17</v>
      </c>
      <c r="G80" s="16">
        <f>'tanda terima  (2)'!G80</f>
        <v>4307288.239999999</v>
      </c>
      <c r="H80" s="16">
        <v>5000</v>
      </c>
      <c r="I80" s="28">
        <f t="shared" si="2"/>
        <v>4302288.239999999</v>
      </c>
      <c r="J80" s="236">
        <v>8730771666</v>
      </c>
      <c r="K80" s="235" t="s">
        <v>19</v>
      </c>
    </row>
    <row r="81">
      <c r="A81" s="25">
        <f t="shared" si="3"/>
        <v>78</v>
      </c>
      <c r="B81" s="27"/>
      <c r="C81" s="27" t="s">
        <v>165</v>
      </c>
      <c r="D81" s="25" t="s">
        <v>15</v>
      </c>
      <c r="E81" s="24" t="s">
        <v>16</v>
      </c>
      <c r="F81" s="25" t="s">
        <v>17</v>
      </c>
      <c r="G81" s="16">
        <f>'tanda terima  (2)'!G81</f>
        <v>4202288.239999999</v>
      </c>
      <c r="H81" s="16">
        <v>5000</v>
      </c>
      <c r="I81" s="28">
        <f t="shared" si="2"/>
        <v>4197288.239999999</v>
      </c>
      <c r="J81" s="236">
        <v>8761063766</v>
      </c>
      <c r="K81" s="235" t="s">
        <v>19</v>
      </c>
    </row>
    <row r="82">
      <c r="A82" s="25">
        <f t="shared" si="3"/>
        <v>79</v>
      </c>
      <c r="B82" s="27"/>
      <c r="C82" s="27" t="s">
        <v>166</v>
      </c>
      <c r="D82" s="27" t="s">
        <v>15</v>
      </c>
      <c r="E82" s="253" t="s">
        <v>16</v>
      </c>
      <c r="F82" s="27" t="s">
        <v>17</v>
      </c>
      <c r="G82" s="16">
        <f>'tanda terima  (2)'!G82</f>
        <v>3710288.2399999993</v>
      </c>
      <c r="H82" s="16">
        <v>5000</v>
      </c>
      <c r="I82" s="28">
        <f t="shared" si="2"/>
        <v>3705288.2399999993</v>
      </c>
      <c r="J82" s="236" t="s">
        <v>169</v>
      </c>
      <c r="K82" s="235" t="s">
        <v>19</v>
      </c>
    </row>
    <row r="83">
      <c r="A83" s="25">
        <f t="shared" si="3"/>
        <v>80</v>
      </c>
      <c r="B83" s="27"/>
      <c r="C83" s="27" t="s">
        <v>167</v>
      </c>
      <c r="D83" s="27" t="s">
        <v>15</v>
      </c>
      <c r="E83" s="253" t="s">
        <v>16</v>
      </c>
      <c r="F83" s="27" t="s">
        <v>17</v>
      </c>
      <c r="G83" s="16">
        <f>'tanda terima  (2)'!G83</f>
        <v>4307288.239999999</v>
      </c>
      <c r="H83" s="16">
        <v>5000</v>
      </c>
      <c r="I83" s="28">
        <f t="shared" si="2"/>
        <v>4302288.239999999</v>
      </c>
      <c r="J83" s="236" t="s">
        <v>171</v>
      </c>
      <c r="K83" s="235" t="s">
        <v>19</v>
      </c>
    </row>
    <row r="84">
      <c r="A84" s="25">
        <f t="shared" si="3"/>
        <v>81</v>
      </c>
      <c r="B84" s="27"/>
      <c r="C84" s="27" t="s">
        <v>168</v>
      </c>
      <c r="D84" s="27" t="s">
        <v>15</v>
      </c>
      <c r="E84" s="253" t="s">
        <v>16</v>
      </c>
      <c r="F84" s="27" t="s">
        <v>17</v>
      </c>
      <c r="G84" s="16">
        <f>'tanda terima  (2)'!G84</f>
        <v>4057288.2399999993</v>
      </c>
      <c r="H84" s="16">
        <v>5000</v>
      </c>
      <c r="I84" s="28">
        <f t="shared" si="2"/>
        <v>4052288.2399999993</v>
      </c>
      <c r="J84" s="236" t="s">
        <v>214</v>
      </c>
      <c r="K84" s="235" t="s">
        <v>19</v>
      </c>
    </row>
    <row r="85">
      <c r="A85" s="25">
        <f t="shared" si="3"/>
        <v>82</v>
      </c>
      <c r="B85" s="27"/>
      <c r="C85" s="27" t="s">
        <v>170</v>
      </c>
      <c r="D85" s="27" t="s">
        <v>15</v>
      </c>
      <c r="E85" s="253" t="s">
        <v>16</v>
      </c>
      <c r="F85" s="27" t="s">
        <v>17</v>
      </c>
      <c r="G85" s="16">
        <f>'tanda terima  (2)'!G85</f>
        <v>4307288.239999999</v>
      </c>
      <c r="H85" s="16">
        <v>5000</v>
      </c>
      <c r="I85" s="28">
        <f t="shared" si="2"/>
        <v>4302288.239999999</v>
      </c>
      <c r="J85" s="236" t="s">
        <v>174</v>
      </c>
      <c r="K85" s="235" t="s">
        <v>19</v>
      </c>
    </row>
    <row r="86">
      <c r="A86" s="25">
        <f t="shared" si="3"/>
        <v>83</v>
      </c>
      <c r="B86" s="27"/>
      <c r="C86" s="27" t="s">
        <v>172</v>
      </c>
      <c r="D86" s="27" t="s">
        <v>15</v>
      </c>
      <c r="E86" s="253" t="s">
        <v>16</v>
      </c>
      <c r="F86" s="27" t="s">
        <v>17</v>
      </c>
      <c r="G86" s="16">
        <f>'tanda terima  (2)'!G86</f>
        <v>3870041.5199999996</v>
      </c>
      <c r="H86" s="16">
        <v>5000</v>
      </c>
      <c r="I86" s="28">
        <f t="shared" si="2"/>
        <v>3865041.5199999996</v>
      </c>
      <c r="J86" s="236" t="s">
        <v>176</v>
      </c>
      <c r="K86" s="235" t="s">
        <v>19</v>
      </c>
    </row>
    <row r="87">
      <c r="A87" s="25">
        <f t="shared" si="3"/>
        <v>84</v>
      </c>
      <c r="B87" s="27"/>
      <c r="C87" s="27" t="s">
        <v>173</v>
      </c>
      <c r="D87" s="27" t="s">
        <v>15</v>
      </c>
      <c r="E87" s="253" t="s">
        <v>16</v>
      </c>
      <c r="F87" s="27" t="s">
        <v>17</v>
      </c>
      <c r="G87" s="16">
        <f>'tanda terima  (2)'!G87</f>
        <v>4307288.239999999</v>
      </c>
      <c r="H87" s="16">
        <v>5000</v>
      </c>
      <c r="I87" s="28">
        <f t="shared" si="2"/>
        <v>4302288.239999999</v>
      </c>
      <c r="J87" s="236" t="s">
        <v>178</v>
      </c>
      <c r="K87" s="235" t="s">
        <v>19</v>
      </c>
    </row>
    <row r="88">
      <c r="A88" s="25">
        <f t="shared" si="3"/>
        <v>85</v>
      </c>
      <c r="B88" s="27"/>
      <c r="C88" s="27" t="s">
        <v>175</v>
      </c>
      <c r="D88" s="25" t="s">
        <v>15</v>
      </c>
      <c r="E88" s="24" t="s">
        <v>16</v>
      </c>
      <c r="F88" s="25" t="s">
        <v>17</v>
      </c>
      <c r="G88" s="16">
        <f>'tanda terima  (2)'!G88</f>
        <v>4227288.239999999</v>
      </c>
      <c r="H88" s="16">
        <v>5000</v>
      </c>
      <c r="I88" s="28">
        <f t="shared" si="2"/>
        <v>4222288.239999999</v>
      </c>
      <c r="J88" s="236">
        <v>7035036466</v>
      </c>
      <c r="K88" s="235" t="s">
        <v>19</v>
      </c>
    </row>
    <row r="89">
      <c r="A89" s="25">
        <f t="shared" si="3"/>
        <v>86</v>
      </c>
      <c r="B89" s="27"/>
      <c r="C89" s="27" t="s">
        <v>177</v>
      </c>
      <c r="D89" s="27" t="s">
        <v>15</v>
      </c>
      <c r="E89" s="253" t="s">
        <v>16</v>
      </c>
      <c r="F89" s="27" t="s">
        <v>17</v>
      </c>
      <c r="G89" s="16">
        <f>'tanda terima  (2)'!G89</f>
        <v>4307288.239999999</v>
      </c>
      <c r="H89" s="16">
        <v>5000</v>
      </c>
      <c r="I89" s="28">
        <f t="shared" si="2"/>
        <v>4302288.239999999</v>
      </c>
      <c r="J89" s="236" t="s">
        <v>181</v>
      </c>
      <c r="K89" s="235" t="s">
        <v>19</v>
      </c>
    </row>
    <row r="90">
      <c r="A90" s="25">
        <f t="shared" si="3"/>
        <v>87</v>
      </c>
      <c r="C90" s="27" t="s">
        <v>179</v>
      </c>
      <c r="D90" s="27" t="s">
        <v>15</v>
      </c>
      <c r="E90" s="253" t="s">
        <v>16</v>
      </c>
      <c r="F90" s="27" t="s">
        <v>17</v>
      </c>
      <c r="G90" s="16">
        <f>'tanda terima  (2)'!G90</f>
        <v>4307288.239999999</v>
      </c>
      <c r="H90" s="16">
        <v>5000</v>
      </c>
      <c r="I90" s="28">
        <f t="shared" si="2"/>
        <v>4302288.239999999</v>
      </c>
      <c r="J90" s="236">
        <v>7425230671</v>
      </c>
      <c r="K90" s="235" t="s">
        <v>19</v>
      </c>
    </row>
    <row r="91">
      <c r="A91" s="25">
        <f t="shared" si="3"/>
        <v>88</v>
      </c>
      <c r="C91" s="27" t="s">
        <v>180</v>
      </c>
      <c r="D91" s="27" t="s">
        <v>15</v>
      </c>
      <c r="E91" s="253" t="s">
        <v>16</v>
      </c>
      <c r="F91" s="27" t="s">
        <v>17</v>
      </c>
      <c r="G91" s="16">
        <f>'tanda terima  (2)'!G91</f>
        <v>4307288.239999999</v>
      </c>
      <c r="H91" s="16">
        <v>5000</v>
      </c>
      <c r="I91" s="28">
        <f t="shared" si="2"/>
        <v>4302288.239999999</v>
      </c>
      <c r="J91" s="236" t="s">
        <v>184</v>
      </c>
      <c r="K91" s="235" t="s">
        <v>19</v>
      </c>
    </row>
    <row r="92" s="128" customFormat="1">
      <c r="A92" s="25">
        <f t="shared" si="3"/>
        <v>89</v>
      </c>
      <c r="C92" s="263" t="s">
        <v>182</v>
      </c>
      <c r="D92" s="27" t="s">
        <v>15</v>
      </c>
      <c r="E92" s="253" t="s">
        <v>16</v>
      </c>
      <c r="F92" s="27" t="s">
        <v>17</v>
      </c>
      <c r="G92" s="16">
        <f>'tanda terima  (2)'!G92</f>
        <v>3702288.2399999993</v>
      </c>
      <c r="H92" s="16">
        <v>5000</v>
      </c>
      <c r="I92" s="28">
        <f ref="I92:I95" t="shared" si="4">+G92-H92</f>
        <v>3697288.2399999993</v>
      </c>
      <c r="J92" s="236">
        <v>6880630871</v>
      </c>
      <c r="K92" s="235" t="s">
        <v>19</v>
      </c>
    </row>
    <row r="93" s="128" customFormat="1">
      <c r="A93" s="25">
        <f t="shared" si="3"/>
        <v>90</v>
      </c>
      <c r="C93" s="27" t="s">
        <v>183</v>
      </c>
      <c r="D93" s="27" t="s">
        <v>15</v>
      </c>
      <c r="E93" s="253" t="s">
        <v>16</v>
      </c>
      <c r="F93" s="27" t="s">
        <v>17</v>
      </c>
      <c r="G93" s="16">
        <f>'tanda terima  (2)'!G93</f>
        <v>4127329.7600000007</v>
      </c>
      <c r="H93" s="16">
        <v>5000</v>
      </c>
      <c r="I93" s="28">
        <f t="shared" si="4"/>
        <v>4122329.7600000007</v>
      </c>
      <c r="J93" s="236">
        <v>4870539156</v>
      </c>
      <c r="K93" s="235" t="s">
        <v>19</v>
      </c>
    </row>
    <row r="94" s="128" customFormat="1">
      <c r="A94" s="25">
        <f t="shared" si="3"/>
        <v>91</v>
      </c>
      <c r="C94" s="27" t="s">
        <v>185</v>
      </c>
      <c r="D94" s="27" t="s">
        <v>15</v>
      </c>
      <c r="E94" s="253" t="s">
        <v>16</v>
      </c>
      <c r="F94" s="27" t="s">
        <v>17</v>
      </c>
      <c r="G94" s="16">
        <f>'tanda terima  (2)'!G94</f>
        <v>4157288.2399999993</v>
      </c>
      <c r="H94" s="16">
        <v>5000</v>
      </c>
      <c r="I94" s="28">
        <f t="shared" si="4"/>
        <v>4152288.2399999993</v>
      </c>
      <c r="J94" s="236">
        <v>6880630871</v>
      </c>
      <c r="K94" s="235" t="s">
        <v>19</v>
      </c>
    </row>
    <row r="95" s="128" customFormat="1">
      <c r="A95" s="25">
        <f t="shared" si="3"/>
        <v>92</v>
      </c>
      <c r="C95" s="27" t="s">
        <v>186</v>
      </c>
      <c r="D95" s="27" t="s">
        <v>15</v>
      </c>
      <c r="E95" s="253" t="s">
        <v>16</v>
      </c>
      <c r="F95" s="27" t="s">
        <v>17</v>
      </c>
      <c r="G95" s="16">
        <f>'tanda terima  (2)'!G95</f>
        <v>348201.68000000005</v>
      </c>
      <c r="H95" s="16">
        <v>5000</v>
      </c>
      <c r="I95" s="28">
        <f t="shared" si="4"/>
        <v>343201.68000000005</v>
      </c>
      <c r="J95" s="236">
        <v>4870539156</v>
      </c>
      <c r="K95" s="235" t="s">
        <v>19</v>
      </c>
    </row>
    <row r="96">
      <c r="A96" s="25">
        <f t="shared" si="3"/>
        <v>93</v>
      </c>
      <c r="C96" s="27" t="s">
        <v>188</v>
      </c>
      <c r="D96" s="27" t="s">
        <v>15</v>
      </c>
      <c r="E96" s="253" t="s">
        <v>16</v>
      </c>
      <c r="F96" s="27" t="s">
        <v>17</v>
      </c>
      <c r="G96" s="16">
        <f>'tanda terima  (2)'!G96</f>
        <v>348201.68000000005</v>
      </c>
      <c r="H96" s="16">
        <v>5000</v>
      </c>
      <c r="I96" s="28">
        <f t="shared" si="2"/>
        <v>343201.68000000005</v>
      </c>
      <c r="J96" s="236">
        <v>6880630871</v>
      </c>
      <c r="K96" s="235" t="s">
        <v>19</v>
      </c>
    </row>
    <row r="97">
      <c r="A97" s="25">
        <f t="shared" si="3"/>
        <v>94</v>
      </c>
      <c r="C97" s="27" t="s">
        <v>189</v>
      </c>
      <c r="D97" s="27" t="s">
        <v>15</v>
      </c>
      <c r="E97" s="253" t="s">
        <v>16</v>
      </c>
      <c r="F97" s="27" t="s">
        <v>17</v>
      </c>
      <c r="G97" s="16">
        <f>'tanda terima  (2)'!G97</f>
        <v>3657288.2399999993</v>
      </c>
      <c r="H97" s="16">
        <v>5000</v>
      </c>
      <c r="I97" s="28">
        <f t="shared" si="2"/>
        <v>3652288.2399999993</v>
      </c>
      <c r="J97" s="236">
        <v>4870539156</v>
      </c>
      <c r="K97" s="235" t="s">
        <v>19</v>
      </c>
    </row>
    <row r="98">
      <c r="A98" s="128"/>
      <c r="G98" s="15">
        <f>SUM(G4:G97)</f>
        <v>382687596.00000036</v>
      </c>
      <c r="H98" s="15">
        <f>SUM(H4:H97)</f>
        <v>470000</v>
      </c>
    </row>
  </sheetData>
  <printOptions horizontalCentered="1"/>
  <pageMargins left="0" right="0" top="0.25" bottom="0.25" header="0.3" footer="0.3"/>
  <pageSetup paperSize="9" scale="120" orientation="portrait" horizontalDpi="240" verticalDpi="144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0">
    <tabColor rgb="FF7030A0"/>
    <pageSetUpPr fitToPage="1"/>
  </sheetPr>
  <dimension ref="A1:N117"/>
  <sheetViews>
    <sheetView zoomScale="85" zoomScaleNormal="85" workbookViewId="0">
      <pane xSplit="4" ySplit="3" topLeftCell="I49" activePane="bottomRight" state="frozen"/>
      <selection pane="topRight" activeCell="E1" sqref="E1"/>
      <selection pane="bottomLeft" activeCell="A4" sqref="A4"/>
      <selection pane="bottomRight" activeCell="J93" sqref="J93"/>
    </sheetView>
  </sheetViews>
  <sheetFormatPr defaultRowHeight="15" x14ac:dyDescent="0.25"/>
  <cols>
    <col min="1" max="1" width="5.85546875" customWidth="1" style="128"/>
    <col min="2" max="2" hidden="1" width="5.85546875" customWidth="1" style="128"/>
    <col min="3" max="3" width="29.140625" customWidth="1" style="128"/>
    <col min="4" max="4" bestFit="1" width="14.5703125" customWidth="1" style="128"/>
    <col min="5" max="5" bestFit="1" width="12.140625" customWidth="1" style="14"/>
    <col min="6" max="6" bestFit="1" width="14.5703125" customWidth="1" style="128"/>
    <col min="7" max="7" bestFit="1" width="18.28515625" customWidth="1" style="15"/>
    <col min="8" max="8" bestFit="1" width="12.42578125" customWidth="1" style="15"/>
    <col min="9" max="9" bestFit="1" width="18.28515625" customWidth="1" style="15"/>
    <col min="10" max="10" bestFit="1" width="17.5703125" customWidth="1" style="237"/>
    <col min="11" max="11" width="21.28515625" customWidth="1" style="237"/>
    <col min="12" max="12" bestFit="1" width="30.85546875" customWidth="1" style="128"/>
    <col min="13" max="13" bestFit="1" width="58.140625" customWidth="1" style="128"/>
    <col min="14" max="14" bestFit="1" width="18.85546875" customWidth="1" style="128"/>
    <col min="15" max="16384" width="9.140625" customWidth="1" style="128"/>
  </cols>
  <sheetData>
    <row r="1">
      <c r="A1" s="133" t="s">
        <v>0</v>
      </c>
      <c r="G1" s="329" t="s">
        <v>1</v>
      </c>
    </row>
    <row r="2">
      <c r="A2" s="21" t="s">
        <v>2</v>
      </c>
    </row>
    <row r="3" ht="28.5" customHeight="1" s="115" customFormat="1">
      <c r="A3" s="113" t="s">
        <v>3</v>
      </c>
      <c r="B3" s="113"/>
      <c r="C3" s="113" t="s">
        <v>4</v>
      </c>
      <c r="D3" s="113" t="s">
        <v>5</v>
      </c>
      <c r="E3" s="113" t="s">
        <v>6</v>
      </c>
      <c r="F3" s="113" t="s">
        <v>7</v>
      </c>
      <c r="G3" s="114" t="s">
        <v>8</v>
      </c>
      <c r="H3" s="114" t="s">
        <v>9</v>
      </c>
      <c r="I3" s="114" t="s">
        <v>10</v>
      </c>
      <c r="J3" s="238" t="s">
        <v>11</v>
      </c>
      <c r="K3" s="238" t="s">
        <v>12</v>
      </c>
      <c r="L3" s="113" t="s">
        <v>13</v>
      </c>
    </row>
    <row r="4" s="23" customFormat="1">
      <c r="A4" s="25">
        <v>1</v>
      </c>
      <c r="B4" s="25"/>
      <c r="C4" s="27" t="s">
        <v>14</v>
      </c>
      <c r="D4" s="25" t="s">
        <v>15</v>
      </c>
      <c r="E4" s="24" t="s">
        <v>16</v>
      </c>
      <c r="F4" s="25" t="s">
        <v>17</v>
      </c>
      <c r="G4" s="16">
        <f>VLOOKUP(C4,REKAP!$AV$11:$AW$125,2,0)</f>
        <v>4307288.239999999</v>
      </c>
      <c r="H4" s="16">
        <v>5000</v>
      </c>
      <c r="I4" s="16">
        <f ref="I4:I68" t="shared" si="0">+G4-H4</f>
        <v>4302288.239999999</v>
      </c>
      <c r="J4" s="235" t="s">
        <v>18</v>
      </c>
      <c r="K4" s="239" t="s">
        <v>19</v>
      </c>
      <c r="L4" s="25"/>
      <c r="M4" s="20"/>
      <c r="N4" s="20"/>
    </row>
    <row r="5" s="23" customFormat="1">
      <c r="A5" s="25">
        <f>+A4+1</f>
        <v>2</v>
      </c>
      <c r="B5" s="25"/>
      <c r="C5" s="27" t="s">
        <v>20</v>
      </c>
      <c r="D5" s="25" t="s">
        <v>15</v>
      </c>
      <c r="E5" s="24" t="s">
        <v>16</v>
      </c>
      <c r="F5" s="25" t="s">
        <v>17</v>
      </c>
      <c r="G5" s="16">
        <f>VLOOKUP(C5,REKAP!$AV$11:$AW$125,2,0)</f>
        <v>4307288.239999999</v>
      </c>
      <c r="H5" s="16">
        <v>5000</v>
      </c>
      <c r="I5" s="16">
        <f t="shared" si="0"/>
        <v>4302288.239999999</v>
      </c>
      <c r="J5" s="235" t="s">
        <v>21</v>
      </c>
      <c r="K5" s="239" t="s">
        <v>19</v>
      </c>
      <c r="L5" s="24"/>
      <c r="M5" s="20"/>
      <c r="N5" s="20"/>
    </row>
    <row r="6" s="23" customFormat="1">
      <c r="A6" s="25">
        <f ref="A6:A70" t="shared" si="1">+A5+1</f>
        <v>3</v>
      </c>
      <c r="B6" s="25"/>
      <c r="C6" s="25" t="s">
        <v>22</v>
      </c>
      <c r="D6" s="25" t="s">
        <v>15</v>
      </c>
      <c r="E6" s="24" t="s">
        <v>16</v>
      </c>
      <c r="F6" s="25" t="s">
        <v>17</v>
      </c>
      <c r="G6" s="16">
        <f>VLOOKUP(C6,REKAP!$AV$11:$AW$125,2,0)</f>
        <v>4120041.5199999996</v>
      </c>
      <c r="H6" s="16">
        <v>5000</v>
      </c>
      <c r="I6" s="16">
        <f t="shared" si="0"/>
        <v>4115041.5199999996</v>
      </c>
      <c r="J6" s="235" t="s">
        <v>23</v>
      </c>
      <c r="K6" s="239" t="s">
        <v>19</v>
      </c>
      <c r="L6" s="25"/>
      <c r="M6" s="20"/>
      <c r="N6" s="20"/>
    </row>
    <row r="7" s="23" customFormat="1">
      <c r="A7" s="25">
        <f t="shared" si="1"/>
        <v>4</v>
      </c>
      <c r="B7" s="25"/>
      <c r="C7" s="27" t="s">
        <v>24</v>
      </c>
      <c r="D7" s="25" t="s">
        <v>15</v>
      </c>
      <c r="E7" s="24" t="s">
        <v>16</v>
      </c>
      <c r="F7" s="25" t="s">
        <v>17</v>
      </c>
      <c r="G7" s="16">
        <f>VLOOKUP(C7,REKAP!$AV$11:$AW$125,2,0)</f>
        <v>4307288.239999999</v>
      </c>
      <c r="H7" s="16">
        <v>5000</v>
      </c>
      <c r="I7" s="28">
        <f t="shared" si="0"/>
        <v>4302288.239999999</v>
      </c>
      <c r="J7" s="235" t="s">
        <v>25</v>
      </c>
      <c r="K7" s="239" t="s">
        <v>19</v>
      </c>
      <c r="L7" s="25"/>
      <c r="M7" s="20"/>
      <c r="N7" s="20"/>
    </row>
    <row r="8" s="23" customFormat="1">
      <c r="A8" s="25">
        <f t="shared" si="1"/>
        <v>5</v>
      </c>
      <c r="B8" s="25"/>
      <c r="C8" s="27" t="s">
        <v>26</v>
      </c>
      <c r="D8" s="25" t="s">
        <v>15</v>
      </c>
      <c r="E8" s="24" t="s">
        <v>16</v>
      </c>
      <c r="F8" s="25" t="s">
        <v>17</v>
      </c>
      <c r="G8" s="16">
        <f>VLOOKUP(C8,REKAP!$AV$11:$AW$125,2,0)</f>
        <v>4120041.5199999996</v>
      </c>
      <c r="H8" s="16">
        <v>5000</v>
      </c>
      <c r="I8" s="16">
        <f t="shared" si="0"/>
        <v>4115041.5199999996</v>
      </c>
      <c r="J8" s="235" t="s">
        <v>27</v>
      </c>
      <c r="K8" s="239" t="s">
        <v>19</v>
      </c>
      <c r="L8" s="25"/>
      <c r="M8" s="20"/>
      <c r="N8" s="20"/>
    </row>
    <row r="9" s="23" customFormat="1">
      <c r="A9" s="25">
        <f t="shared" si="1"/>
        <v>6</v>
      </c>
      <c r="B9" s="25"/>
      <c r="C9" s="27" t="s">
        <v>28</v>
      </c>
      <c r="D9" s="25" t="s">
        <v>15</v>
      </c>
      <c r="E9" s="24" t="s">
        <v>16</v>
      </c>
      <c r="F9" s="25" t="s">
        <v>17</v>
      </c>
      <c r="G9" s="16">
        <f>VLOOKUP(C9,REKAP!$AV$11:$AW$125,2,0)</f>
        <v>4307288.239999999</v>
      </c>
      <c r="H9" s="16">
        <v>5000</v>
      </c>
      <c r="I9" s="16">
        <f t="shared" si="0"/>
        <v>4302288.239999999</v>
      </c>
      <c r="J9" s="235" t="s">
        <v>29</v>
      </c>
      <c r="K9" s="239" t="s">
        <v>19</v>
      </c>
      <c r="L9" s="25"/>
      <c r="M9" s="20"/>
      <c r="N9" s="20"/>
    </row>
    <row r="10" s="23" customFormat="1">
      <c r="A10" s="25">
        <f t="shared" si="1"/>
        <v>7</v>
      </c>
      <c r="B10" s="27"/>
      <c r="C10" s="27" t="s">
        <v>30</v>
      </c>
      <c r="D10" s="25" t="s">
        <v>15</v>
      </c>
      <c r="E10" s="24" t="s">
        <v>16</v>
      </c>
      <c r="F10" s="25" t="s">
        <v>17</v>
      </c>
      <c r="G10" s="16">
        <f>VLOOKUP(C10,REKAP!$AV$11:$AW$125,2,0)</f>
        <v>4307288.239999999</v>
      </c>
      <c r="H10" s="16">
        <v>5000</v>
      </c>
      <c r="I10" s="16">
        <f t="shared" si="0"/>
        <v>4302288.239999999</v>
      </c>
      <c r="J10" s="235" t="s">
        <v>31</v>
      </c>
      <c r="K10" s="239" t="s">
        <v>19</v>
      </c>
      <c r="L10" s="25"/>
      <c r="M10" s="20"/>
      <c r="N10" s="20"/>
    </row>
    <row r="11" s="23" customFormat="1">
      <c r="A11" s="25">
        <f t="shared" si="1"/>
        <v>8</v>
      </c>
      <c r="B11" s="25"/>
      <c r="C11" s="27" t="s">
        <v>32</v>
      </c>
      <c r="D11" s="25" t="s">
        <v>15</v>
      </c>
      <c r="E11" s="24" t="s">
        <v>16</v>
      </c>
      <c r="F11" s="25" t="s">
        <v>17</v>
      </c>
      <c r="G11" s="16">
        <f>VLOOKUP(C11,REKAP!$AV$11:$AW$125,2,0)</f>
        <v>4120041.5199999996</v>
      </c>
      <c r="H11" s="16">
        <v>5000</v>
      </c>
      <c r="I11" s="16">
        <f t="shared" si="0"/>
        <v>4115041.5199999996</v>
      </c>
      <c r="J11" s="235" t="s">
        <v>33</v>
      </c>
      <c r="K11" s="239" t="s">
        <v>19</v>
      </c>
      <c r="L11" s="25"/>
      <c r="M11" s="20"/>
      <c r="N11" s="20"/>
    </row>
    <row r="12" s="23" customFormat="1">
      <c r="A12" s="25">
        <f t="shared" si="1"/>
        <v>9</v>
      </c>
      <c r="B12" s="27"/>
      <c r="C12" s="27" t="s">
        <v>34</v>
      </c>
      <c r="D12" s="25" t="s">
        <v>15</v>
      </c>
      <c r="E12" s="24" t="s">
        <v>16</v>
      </c>
      <c r="F12" s="25" t="s">
        <v>17</v>
      </c>
      <c r="G12" s="16">
        <f>VLOOKUP(C12,REKAP!$AV$11:$AW$125,2,0)</f>
        <v>4307288.239999999</v>
      </c>
      <c r="H12" s="16">
        <v>5000</v>
      </c>
      <c r="I12" s="16">
        <f t="shared" si="0"/>
        <v>4302288.239999999</v>
      </c>
      <c r="J12" s="235" t="s">
        <v>35</v>
      </c>
      <c r="K12" s="239" t="s">
        <v>19</v>
      </c>
      <c r="L12" s="25"/>
      <c r="M12" s="20"/>
      <c r="N12" s="20"/>
    </row>
    <row r="13" s="23" customFormat="1">
      <c r="A13" s="25">
        <f t="shared" si="1"/>
        <v>10</v>
      </c>
      <c r="B13" s="27"/>
      <c r="C13" s="27" t="s">
        <v>36</v>
      </c>
      <c r="D13" s="25" t="s">
        <v>15</v>
      </c>
      <c r="E13" s="24" t="s">
        <v>16</v>
      </c>
      <c r="F13" s="25" t="s">
        <v>17</v>
      </c>
      <c r="G13" s="16">
        <f>VLOOKUP(C13,REKAP!$AV$11:$AW$125,2,0)</f>
        <v>4307288.239999999</v>
      </c>
      <c r="H13" s="16">
        <v>5000</v>
      </c>
      <c r="I13" s="28">
        <f t="shared" si="0"/>
        <v>4302288.239999999</v>
      </c>
      <c r="J13" s="236" t="s">
        <v>37</v>
      </c>
      <c r="K13" s="235" t="s">
        <v>19</v>
      </c>
      <c r="L13" s="25"/>
      <c r="M13" s="20"/>
      <c r="N13" s="246"/>
    </row>
    <row r="14" s="23" customFormat="1">
      <c r="A14" s="25">
        <f t="shared" si="1"/>
        <v>11</v>
      </c>
      <c r="B14" s="27"/>
      <c r="C14" s="27" t="s">
        <v>38</v>
      </c>
      <c r="D14" s="25" t="s">
        <v>15</v>
      </c>
      <c r="E14" s="24" t="s">
        <v>16</v>
      </c>
      <c r="F14" s="25" t="s">
        <v>17</v>
      </c>
      <c r="G14" s="16">
        <f>VLOOKUP(C14,REKAP!$AV$11:$AW$125,2,0)</f>
        <v>4307288.239999999</v>
      </c>
      <c r="H14" s="16">
        <v>5000</v>
      </c>
      <c r="I14" s="16">
        <f t="shared" si="0"/>
        <v>4302288.239999999</v>
      </c>
      <c r="J14" s="235" t="s">
        <v>39</v>
      </c>
      <c r="K14" s="239" t="s">
        <v>19</v>
      </c>
      <c r="L14" s="25"/>
      <c r="M14" s="20"/>
      <c r="N14" s="20"/>
    </row>
    <row r="15" s="23" customFormat="1">
      <c r="A15" s="25">
        <f t="shared" si="1"/>
        <v>12</v>
      </c>
      <c r="B15" s="25"/>
      <c r="C15" s="25" t="s">
        <v>40</v>
      </c>
      <c r="D15" s="25" t="s">
        <v>15</v>
      </c>
      <c r="E15" s="24" t="s">
        <v>16</v>
      </c>
      <c r="F15" s="25" t="s">
        <v>17</v>
      </c>
      <c r="G15" s="16">
        <f>VLOOKUP(C15,REKAP!$AV$11:$AW$125,2,0)</f>
        <v>2932041.5199999996</v>
      </c>
      <c r="H15" s="16">
        <v>5000</v>
      </c>
      <c r="I15" s="16">
        <f t="shared" si="0"/>
        <v>2927041.5199999996</v>
      </c>
      <c r="J15" s="236">
        <v>5765226951</v>
      </c>
      <c r="K15" s="239" t="s">
        <v>19</v>
      </c>
      <c r="L15" s="25"/>
      <c r="M15" s="20"/>
      <c r="N15" s="20"/>
    </row>
    <row r="16" s="23" customFormat="1">
      <c r="A16" s="25">
        <f t="shared" si="1"/>
        <v>13</v>
      </c>
      <c r="B16" s="25"/>
      <c r="C16" s="25" t="s">
        <v>41</v>
      </c>
      <c r="D16" s="25" t="s">
        <v>15</v>
      </c>
      <c r="E16" s="24" t="s">
        <v>16</v>
      </c>
      <c r="F16" s="25" t="s">
        <v>17</v>
      </c>
      <c r="G16" s="16">
        <f>VLOOKUP(C16,REKAP!$AV$11:$AW$125,2,0)</f>
        <v>4307288.239999999</v>
      </c>
      <c r="H16" s="16">
        <v>5000</v>
      </c>
      <c r="I16" s="16">
        <f t="shared" si="0"/>
        <v>4302288.239999999</v>
      </c>
      <c r="J16" s="235" t="s">
        <v>42</v>
      </c>
      <c r="K16" s="239" t="s">
        <v>19</v>
      </c>
      <c r="L16" s="25"/>
      <c r="M16" s="20"/>
      <c r="N16" s="20"/>
    </row>
    <row r="17" s="23" customFormat="1">
      <c r="A17" s="25">
        <f t="shared" si="1"/>
        <v>14</v>
      </c>
      <c r="B17" s="25"/>
      <c r="C17" s="25" t="s">
        <v>43</v>
      </c>
      <c r="D17" s="25" t="s">
        <v>15</v>
      </c>
      <c r="E17" s="24" t="s">
        <v>16</v>
      </c>
      <c r="F17" s="25" t="s">
        <v>17</v>
      </c>
      <c r="G17" s="16">
        <f>VLOOKUP(C17,REKAP!$AV$11:$AW$125,2,0)</f>
        <v>4120041.5199999996</v>
      </c>
      <c r="H17" s="16">
        <v>5000</v>
      </c>
      <c r="I17" s="16">
        <f t="shared" si="0"/>
        <v>4115041.5199999996</v>
      </c>
      <c r="J17" s="235" t="s">
        <v>44</v>
      </c>
      <c r="K17" s="239" t="s">
        <v>19</v>
      </c>
      <c r="L17" s="25"/>
      <c r="M17" s="20"/>
      <c r="N17" s="20"/>
    </row>
    <row r="18" s="29" customFormat="1">
      <c r="A18" s="25">
        <f t="shared" si="1"/>
        <v>15</v>
      </c>
      <c r="B18" s="25"/>
      <c r="C18" s="25" t="s">
        <v>45</v>
      </c>
      <c r="D18" s="25" t="s">
        <v>15</v>
      </c>
      <c r="E18" s="24" t="s">
        <v>16</v>
      </c>
      <c r="F18" s="25" t="s">
        <v>17</v>
      </c>
      <c r="G18" s="16">
        <f>VLOOKUP(C18,REKAP!$AV$11:$AW$125,2,0)</f>
        <v>4307288.239999999</v>
      </c>
      <c r="H18" s="16">
        <v>5000</v>
      </c>
      <c r="I18" s="16">
        <f t="shared" si="0"/>
        <v>4302288.239999999</v>
      </c>
      <c r="J18" s="235" t="s">
        <v>46</v>
      </c>
      <c r="K18" s="239" t="s">
        <v>19</v>
      </c>
      <c r="L18" s="25"/>
      <c r="M18" s="20"/>
      <c r="N18" s="20"/>
    </row>
    <row r="19" s="23" customFormat="1">
      <c r="A19" s="25">
        <f t="shared" si="1"/>
        <v>16</v>
      </c>
      <c r="B19" s="25"/>
      <c r="C19" s="27" t="s">
        <v>47</v>
      </c>
      <c r="D19" s="25" t="s">
        <v>15</v>
      </c>
      <c r="E19" s="24" t="s">
        <v>16</v>
      </c>
      <c r="F19" s="25" t="s">
        <v>17</v>
      </c>
      <c r="G19" s="16">
        <f>VLOOKUP(C19,REKAP!$AV$11:$AW$125,2,0)</f>
        <v>4120041.5199999996</v>
      </c>
      <c r="H19" s="16">
        <v>5000</v>
      </c>
      <c r="I19" s="16">
        <f t="shared" si="0"/>
        <v>4115041.5199999996</v>
      </c>
      <c r="J19" s="235" t="s">
        <v>48</v>
      </c>
      <c r="K19" s="239" t="s">
        <v>19</v>
      </c>
      <c r="L19" s="25"/>
      <c r="M19" s="20"/>
      <c r="N19" s="20"/>
    </row>
    <row r="20" s="23" customFormat="1">
      <c r="A20" s="25">
        <f t="shared" si="1"/>
        <v>17</v>
      </c>
      <c r="B20" s="27"/>
      <c r="C20" s="27" t="s">
        <v>49</v>
      </c>
      <c r="D20" s="25" t="s">
        <v>15</v>
      </c>
      <c r="E20" s="24" t="s">
        <v>16</v>
      </c>
      <c r="F20" s="25" t="s">
        <v>17</v>
      </c>
      <c r="G20" s="16">
        <f>VLOOKUP(C20,REKAP!$AV$11:$AW$125,2,0)</f>
        <v>4210288.239999999</v>
      </c>
      <c r="H20" s="16">
        <v>5000</v>
      </c>
      <c r="I20" s="28">
        <f t="shared" si="0"/>
        <v>4205288.239999999</v>
      </c>
      <c r="J20" s="236" t="s">
        <v>50</v>
      </c>
      <c r="K20" s="235" t="s">
        <v>19</v>
      </c>
      <c r="L20" s="25"/>
      <c r="M20" s="20"/>
      <c r="N20" s="20"/>
    </row>
    <row r="21" s="23" customFormat="1">
      <c r="A21" s="25">
        <f t="shared" si="1"/>
        <v>18</v>
      </c>
      <c r="B21" s="25"/>
      <c r="C21" s="25" t="s">
        <v>51</v>
      </c>
      <c r="D21" s="25" t="s">
        <v>15</v>
      </c>
      <c r="E21" s="24" t="s">
        <v>16</v>
      </c>
      <c r="F21" s="25" t="s">
        <v>17</v>
      </c>
      <c r="G21" s="16">
        <f>VLOOKUP(C21,REKAP!$AV$11:$AW$125,2,0)</f>
        <v>3807288.2399999993</v>
      </c>
      <c r="H21" s="16">
        <v>5000</v>
      </c>
      <c r="I21" s="16">
        <f t="shared" si="0"/>
        <v>3802288.2399999993</v>
      </c>
      <c r="J21" s="235" t="s">
        <v>52</v>
      </c>
      <c r="K21" s="239" t="s">
        <v>19</v>
      </c>
      <c r="L21" s="25"/>
      <c r="M21" s="20"/>
      <c r="N21" s="20"/>
    </row>
    <row r="22" s="23" customFormat="1">
      <c r="A22" s="25">
        <f t="shared" si="1"/>
        <v>19</v>
      </c>
      <c r="B22" s="25"/>
      <c r="C22" s="25" t="s">
        <v>53</v>
      </c>
      <c r="D22" s="25" t="s">
        <v>15</v>
      </c>
      <c r="E22" s="24" t="s">
        <v>16</v>
      </c>
      <c r="F22" s="25" t="s">
        <v>17</v>
      </c>
      <c r="G22" s="16">
        <f>VLOOKUP(C22,REKAP!$AV$11:$AW$125,2,0)</f>
        <v>3260041.5199999996</v>
      </c>
      <c r="H22" s="16">
        <v>5000</v>
      </c>
      <c r="I22" s="16">
        <f t="shared" si="0"/>
        <v>3255041.5199999996</v>
      </c>
      <c r="J22" s="235" t="s">
        <v>54</v>
      </c>
      <c r="K22" s="239" t="s">
        <v>19</v>
      </c>
      <c r="L22" s="25"/>
      <c r="M22" s="20"/>
      <c r="N22" s="20"/>
    </row>
    <row r="23" s="23" customFormat="1">
      <c r="A23" s="25">
        <f t="shared" si="1"/>
        <v>20</v>
      </c>
      <c r="B23" s="25"/>
      <c r="C23" s="27" t="s">
        <v>55</v>
      </c>
      <c r="D23" s="25" t="s">
        <v>15</v>
      </c>
      <c r="E23" s="24" t="s">
        <v>16</v>
      </c>
      <c r="F23" s="25" t="s">
        <v>17</v>
      </c>
      <c r="G23" s="16">
        <f>VLOOKUP(C23,REKAP!$AV$11:$AW$125,2,0)</f>
        <v>4307288.239999999</v>
      </c>
      <c r="H23" s="16">
        <v>5000</v>
      </c>
      <c r="I23" s="28">
        <f t="shared" si="0"/>
        <v>4302288.239999999</v>
      </c>
      <c r="J23" s="235" t="s">
        <v>56</v>
      </c>
      <c r="K23" s="239" t="s">
        <v>19</v>
      </c>
      <c r="L23" s="25"/>
      <c r="M23" s="20"/>
      <c r="N23" s="20"/>
    </row>
    <row r="24" s="23" customFormat="1">
      <c r="A24" s="25">
        <f t="shared" si="1"/>
        <v>21</v>
      </c>
      <c r="B24" s="25"/>
      <c r="C24" s="25" t="s">
        <v>57</v>
      </c>
      <c r="D24" s="25" t="s">
        <v>15</v>
      </c>
      <c r="E24" s="24" t="s">
        <v>16</v>
      </c>
      <c r="F24" s="25" t="s">
        <v>17</v>
      </c>
      <c r="G24" s="16">
        <f>VLOOKUP(C24,REKAP!$AV$11:$AW$125,2,0)</f>
        <v>4307288.239999999</v>
      </c>
      <c r="H24" s="16">
        <v>5000</v>
      </c>
      <c r="I24" s="16">
        <f t="shared" si="0"/>
        <v>4302288.239999999</v>
      </c>
      <c r="J24" s="235" t="s">
        <v>58</v>
      </c>
      <c r="K24" s="239" t="s">
        <v>19</v>
      </c>
      <c r="L24" s="25"/>
      <c r="M24" s="20"/>
      <c r="N24" s="20"/>
    </row>
    <row r="25" s="23" customFormat="1">
      <c r="A25" s="25">
        <f t="shared" si="1"/>
        <v>22</v>
      </c>
      <c r="B25" s="25"/>
      <c r="C25" s="27" t="s">
        <v>59</v>
      </c>
      <c r="D25" s="25" t="s">
        <v>15</v>
      </c>
      <c r="E25" s="24" t="s">
        <v>16</v>
      </c>
      <c r="F25" s="25" t="s">
        <v>17</v>
      </c>
      <c r="G25" s="16">
        <f>VLOOKUP(C25,REKAP!$AV$11:$AW$125,2,0)</f>
        <v>4120041.5199999996</v>
      </c>
      <c r="H25" s="16">
        <v>5000</v>
      </c>
      <c r="I25" s="16">
        <f t="shared" si="0"/>
        <v>4115041.5199999996</v>
      </c>
      <c r="J25" s="235" t="s">
        <v>60</v>
      </c>
      <c r="K25" s="239" t="s">
        <v>19</v>
      </c>
      <c r="L25" s="25"/>
      <c r="M25" s="20"/>
      <c r="N25" s="20"/>
    </row>
    <row r="26" s="29" customFormat="1">
      <c r="A26" s="25">
        <f t="shared" si="1"/>
        <v>23</v>
      </c>
      <c r="B26" s="27"/>
      <c r="C26" s="27" t="s">
        <v>61</v>
      </c>
      <c r="D26" s="25" t="s">
        <v>15</v>
      </c>
      <c r="E26" s="24" t="s">
        <v>16</v>
      </c>
      <c r="F26" s="25" t="s">
        <v>17</v>
      </c>
      <c r="G26" s="16">
        <f>VLOOKUP(C26,REKAP!$AV$11:$AW$125,2,0)</f>
        <v>4307288.239999999</v>
      </c>
      <c r="H26" s="16">
        <v>5000</v>
      </c>
      <c r="I26" s="28">
        <f>+G26-H26</f>
        <v>4302288.239999999</v>
      </c>
      <c r="J26" s="236" t="s">
        <v>62</v>
      </c>
      <c r="K26" s="239" t="s">
        <v>19</v>
      </c>
      <c r="L26" s="27"/>
      <c r="M26" s="20"/>
      <c r="N26" s="246"/>
    </row>
    <row r="27" s="23" customFormat="1">
      <c r="A27" s="25">
        <f t="shared" si="1"/>
        <v>24</v>
      </c>
      <c r="B27" s="25"/>
      <c r="C27" s="25" t="s">
        <v>63</v>
      </c>
      <c r="D27" s="25" t="s">
        <v>15</v>
      </c>
      <c r="E27" s="24" t="s">
        <v>16</v>
      </c>
      <c r="F27" s="25" t="s">
        <v>17</v>
      </c>
      <c r="G27" s="16">
        <f>VLOOKUP(C27,REKAP!$AV$11:$AW$125,2,0)</f>
        <v>4307288.239999999</v>
      </c>
      <c r="H27" s="16">
        <v>5000</v>
      </c>
      <c r="I27" s="16">
        <f t="shared" si="0"/>
        <v>4302288.239999999</v>
      </c>
      <c r="J27" s="235" t="s">
        <v>64</v>
      </c>
      <c r="K27" s="239" t="s">
        <v>19</v>
      </c>
      <c r="L27" s="25"/>
      <c r="M27" s="20"/>
      <c r="N27" s="20"/>
    </row>
    <row r="28" s="23" customFormat="1">
      <c r="A28" s="25">
        <f t="shared" si="1"/>
        <v>25</v>
      </c>
      <c r="B28" s="25"/>
      <c r="C28" s="27" t="s">
        <v>65</v>
      </c>
      <c r="D28" s="25" t="s">
        <v>15</v>
      </c>
      <c r="E28" s="24" t="s">
        <v>16</v>
      </c>
      <c r="F28" s="25" t="s">
        <v>17</v>
      </c>
      <c r="G28" s="16">
        <f>VLOOKUP(C28,REKAP!$AV$11:$AW$125,2,0)</f>
        <v>3720041.5199999996</v>
      </c>
      <c r="H28" s="16">
        <v>5000</v>
      </c>
      <c r="I28" s="28">
        <f t="shared" si="0"/>
        <v>3715041.5199999996</v>
      </c>
      <c r="J28" s="236" t="s">
        <v>66</v>
      </c>
      <c r="K28" s="239" t="s">
        <v>19</v>
      </c>
      <c r="L28" s="25"/>
      <c r="M28" s="20"/>
      <c r="N28" s="20"/>
    </row>
    <row r="29" s="23" customFormat="1">
      <c r="A29" s="25">
        <f t="shared" si="1"/>
        <v>26</v>
      </c>
      <c r="B29" s="25"/>
      <c r="C29" s="25" t="s">
        <v>67</v>
      </c>
      <c r="D29" s="25" t="s">
        <v>15</v>
      </c>
      <c r="E29" s="24" t="s">
        <v>16</v>
      </c>
      <c r="F29" s="25" t="s">
        <v>17</v>
      </c>
      <c r="G29" s="16">
        <f>VLOOKUP(C29,REKAP!$AV$11:$AW$125,2,0)</f>
        <v>4307288.239999999</v>
      </c>
      <c r="H29" s="16">
        <v>5000</v>
      </c>
      <c r="I29" s="16">
        <f t="shared" si="0"/>
        <v>4302288.239999999</v>
      </c>
      <c r="J29" s="235" t="s">
        <v>68</v>
      </c>
      <c r="K29" s="239" t="s">
        <v>19</v>
      </c>
      <c r="L29" s="25"/>
      <c r="M29" s="20"/>
      <c r="N29" s="20"/>
    </row>
    <row r="30" s="23" customFormat="1">
      <c r="A30" s="25">
        <f t="shared" si="1"/>
        <v>27</v>
      </c>
      <c r="B30" s="25"/>
      <c r="C30" s="27" t="s">
        <v>69</v>
      </c>
      <c r="D30" s="25" t="s">
        <v>15</v>
      </c>
      <c r="E30" s="24" t="s">
        <v>16</v>
      </c>
      <c r="F30" s="25" t="s">
        <v>17</v>
      </c>
      <c r="G30" s="16">
        <f>VLOOKUP(C30,REKAP!$AV$11:$AW$125,2,0)</f>
        <v>3310495.8400000003</v>
      </c>
      <c r="H30" s="16">
        <v>5000</v>
      </c>
      <c r="I30" s="28">
        <f t="shared" si="0"/>
        <v>3305495.8400000003</v>
      </c>
      <c r="J30" s="236" t="s">
        <v>70</v>
      </c>
      <c r="K30" s="239" t="s">
        <v>19</v>
      </c>
      <c r="L30" s="25"/>
      <c r="M30" s="20"/>
      <c r="N30" s="20"/>
    </row>
    <row r="31" s="23" customFormat="1">
      <c r="A31" s="25">
        <f t="shared" si="1"/>
        <v>28</v>
      </c>
      <c r="B31" s="25"/>
      <c r="C31" s="27" t="s">
        <v>71</v>
      </c>
      <c r="D31" s="25" t="s">
        <v>15</v>
      </c>
      <c r="E31" s="24" t="s">
        <v>16</v>
      </c>
      <c r="F31" s="25" t="s">
        <v>17</v>
      </c>
      <c r="G31" s="16">
        <f>VLOOKUP(C31,REKAP!$AV$11:$AW$125,2,0)</f>
        <v>2744041.5199999996</v>
      </c>
      <c r="H31" s="16">
        <v>5000</v>
      </c>
      <c r="I31" s="16">
        <f t="shared" si="0"/>
        <v>2739041.5199999996</v>
      </c>
      <c r="J31" s="235" t="s">
        <v>72</v>
      </c>
      <c r="K31" s="239" t="s">
        <v>19</v>
      </c>
      <c r="L31" s="25"/>
      <c r="M31" s="20"/>
      <c r="N31" s="20"/>
    </row>
    <row r="32" s="23" customFormat="1">
      <c r="A32" s="25">
        <f t="shared" si="1"/>
        <v>29</v>
      </c>
      <c r="B32" s="25"/>
      <c r="C32" s="25" t="s">
        <v>73</v>
      </c>
      <c r="D32" s="25" t="s">
        <v>15</v>
      </c>
      <c r="E32" s="24" t="s">
        <v>16</v>
      </c>
      <c r="F32" s="25" t="s">
        <v>17</v>
      </c>
      <c r="G32" s="16">
        <f>VLOOKUP(C32,REKAP!$AV$11:$AW$125,2,0)</f>
        <v>4210288.239999999</v>
      </c>
      <c r="H32" s="16">
        <v>5000</v>
      </c>
      <c r="I32" s="16">
        <f t="shared" si="0"/>
        <v>4205288.239999999</v>
      </c>
      <c r="J32" s="235" t="s">
        <v>74</v>
      </c>
      <c r="K32" s="239" t="s">
        <v>19</v>
      </c>
      <c r="L32" s="25"/>
      <c r="M32" s="20"/>
      <c r="N32" s="20"/>
    </row>
    <row r="33" s="23" customFormat="1">
      <c r="A33" s="25">
        <f t="shared" si="1"/>
        <v>30</v>
      </c>
      <c r="B33" s="27"/>
      <c r="C33" s="27" t="s">
        <v>75</v>
      </c>
      <c r="D33" s="25" t="s">
        <v>15</v>
      </c>
      <c r="E33" s="24" t="s">
        <v>16</v>
      </c>
      <c r="F33" s="25" t="s">
        <v>17</v>
      </c>
      <c r="G33" s="16">
        <f>VLOOKUP(C33,REKAP!$AV$11:$AW$125,2,0)</f>
        <v>4307288.239999999</v>
      </c>
      <c r="H33" s="16">
        <v>5000</v>
      </c>
      <c r="I33" s="28">
        <f t="shared" si="0"/>
        <v>4302288.239999999</v>
      </c>
      <c r="J33" s="236" t="s">
        <v>76</v>
      </c>
      <c r="K33" s="235" t="s">
        <v>19</v>
      </c>
      <c r="L33" s="25"/>
      <c r="M33" s="20"/>
      <c r="N33" s="20"/>
    </row>
    <row r="34" s="23" customFormat="1">
      <c r="A34" s="25">
        <f t="shared" si="1"/>
        <v>31</v>
      </c>
      <c r="B34" s="25"/>
      <c r="C34" s="25" t="s">
        <v>77</v>
      </c>
      <c r="D34" s="25" t="s">
        <v>15</v>
      </c>
      <c r="E34" s="24" t="s">
        <v>16</v>
      </c>
      <c r="F34" s="25" t="s">
        <v>17</v>
      </c>
      <c r="G34" s="16">
        <f>VLOOKUP(C34,REKAP!$AV$11:$AW$125,2,0)</f>
        <v>4307288.239999999</v>
      </c>
      <c r="H34" s="16">
        <v>5000</v>
      </c>
      <c r="I34" s="16">
        <f t="shared" si="0"/>
        <v>4302288.239999999</v>
      </c>
      <c r="J34" s="235">
        <v>3780270488</v>
      </c>
      <c r="K34" s="239" t="s">
        <v>19</v>
      </c>
      <c r="L34" s="25"/>
      <c r="M34" s="20"/>
      <c r="N34" s="20"/>
    </row>
    <row r="35" s="23" customFormat="1">
      <c r="A35" s="25">
        <f t="shared" si="1"/>
        <v>32</v>
      </c>
      <c r="B35" s="25"/>
      <c r="C35" s="25" t="s">
        <v>78</v>
      </c>
      <c r="D35" s="25" t="s">
        <v>79</v>
      </c>
      <c r="E35" s="24" t="s">
        <v>16</v>
      </c>
      <c r="F35" s="25" t="s">
        <v>17</v>
      </c>
      <c r="G35" s="16">
        <f>VLOOKUP(C35,REKAP!$AV$11:$AW$125,2,0)</f>
        <v>4122066</v>
      </c>
      <c r="H35" s="16">
        <v>5000</v>
      </c>
      <c r="I35" s="16">
        <f t="shared" si="0"/>
        <v>4117066</v>
      </c>
      <c r="J35" s="235" t="s">
        <v>80</v>
      </c>
      <c r="K35" s="239" t="s">
        <v>19</v>
      </c>
      <c r="L35" s="25"/>
      <c r="M35" s="20"/>
      <c r="N35" s="20"/>
    </row>
    <row r="36" s="23" customFormat="1">
      <c r="A36" s="25">
        <f t="shared" si="1"/>
        <v>33</v>
      </c>
      <c r="B36" s="27"/>
      <c r="C36" s="27" t="s">
        <v>81</v>
      </c>
      <c r="D36" s="25" t="s">
        <v>15</v>
      </c>
      <c r="E36" s="24" t="s">
        <v>16</v>
      </c>
      <c r="F36" s="25" t="s">
        <v>17</v>
      </c>
      <c r="G36" s="16">
        <f>VLOOKUP(C36,REKAP!$AV$11:$AW$125,2,0)</f>
        <v>4307288.239999999</v>
      </c>
      <c r="H36" s="16">
        <v>5000</v>
      </c>
      <c r="I36" s="28">
        <f t="shared" si="0"/>
        <v>4302288.239999999</v>
      </c>
      <c r="J36" s="236" t="s">
        <v>82</v>
      </c>
      <c r="K36" s="235" t="s">
        <v>19</v>
      </c>
      <c r="L36" s="25"/>
      <c r="M36" s="20"/>
      <c r="N36" s="20"/>
    </row>
    <row r="37" s="23" customFormat="1">
      <c r="A37" s="25">
        <f t="shared" si="1"/>
        <v>34</v>
      </c>
      <c r="B37" s="25"/>
      <c r="C37" s="25" t="s">
        <v>83</v>
      </c>
      <c r="D37" s="25" t="s">
        <v>15</v>
      </c>
      <c r="E37" s="24" t="s">
        <v>16</v>
      </c>
      <c r="F37" s="25" t="s">
        <v>17</v>
      </c>
      <c r="G37" s="16">
        <f>VLOOKUP(C37,REKAP!$AV$11:$AW$125,2,0)</f>
        <v>3807288.2399999993</v>
      </c>
      <c r="H37" s="16">
        <v>5000</v>
      </c>
      <c r="I37" s="16">
        <f t="shared" si="0"/>
        <v>3802288.2399999993</v>
      </c>
      <c r="J37" s="235" t="s">
        <v>84</v>
      </c>
      <c r="K37" s="239" t="s">
        <v>19</v>
      </c>
      <c r="L37" s="25"/>
      <c r="M37" s="20"/>
      <c r="N37" s="20"/>
    </row>
    <row r="38" s="23" customFormat="1">
      <c r="A38" s="25">
        <f t="shared" si="1"/>
        <v>35</v>
      </c>
      <c r="B38" s="25"/>
      <c r="C38" s="25" t="s">
        <v>85</v>
      </c>
      <c r="D38" s="25" t="s">
        <v>15</v>
      </c>
      <c r="E38" s="24" t="s">
        <v>16</v>
      </c>
      <c r="F38" s="25" t="s">
        <v>17</v>
      </c>
      <c r="G38" s="16">
        <f>VLOOKUP(C38,REKAP!$AV$11:$AW$125,2,0)</f>
        <v>4307288.239999999</v>
      </c>
      <c r="H38" s="16">
        <v>5000</v>
      </c>
      <c r="I38" s="16">
        <f t="shared" si="0"/>
        <v>4302288.239999999</v>
      </c>
      <c r="J38" s="235" t="s">
        <v>86</v>
      </c>
      <c r="K38" s="239" t="s">
        <v>19</v>
      </c>
      <c r="L38" s="25"/>
      <c r="M38" s="20"/>
      <c r="N38" s="20"/>
    </row>
    <row r="39" s="23" customFormat="1">
      <c r="A39" s="25">
        <f t="shared" si="1"/>
        <v>36</v>
      </c>
      <c r="B39" s="25"/>
      <c r="C39" s="25" t="s">
        <v>87</v>
      </c>
      <c r="D39" s="25" t="s">
        <v>15</v>
      </c>
      <c r="E39" s="24" t="s">
        <v>16</v>
      </c>
      <c r="F39" s="25" t="s">
        <v>17</v>
      </c>
      <c r="G39" s="16">
        <f>VLOOKUP(C39,REKAP!$AV$11:$AW$125,2,0)</f>
        <v>4107288.2399999993</v>
      </c>
      <c r="H39" s="16">
        <v>5000</v>
      </c>
      <c r="I39" s="16">
        <f t="shared" si="0"/>
        <v>4102288.2399999993</v>
      </c>
      <c r="J39" s="235" t="s">
        <v>88</v>
      </c>
      <c r="K39" s="239" t="s">
        <v>19</v>
      </c>
      <c r="L39" s="25"/>
      <c r="M39" s="20"/>
      <c r="N39" s="20"/>
    </row>
    <row r="40" s="23" customFormat="1">
      <c r="A40" s="25">
        <f t="shared" si="1"/>
        <v>37</v>
      </c>
      <c r="B40" s="25"/>
      <c r="C40" s="25" t="s">
        <v>89</v>
      </c>
      <c r="D40" s="25" t="s">
        <v>15</v>
      </c>
      <c r="E40" s="24" t="s">
        <v>16</v>
      </c>
      <c r="F40" s="25" t="s">
        <v>17</v>
      </c>
      <c r="G40" s="16">
        <f>VLOOKUP(C40,REKAP!$AV$11:$AW$125,2,0)</f>
        <v>4307288.239999999</v>
      </c>
      <c r="H40" s="16">
        <v>5000</v>
      </c>
      <c r="I40" s="16">
        <f t="shared" si="0"/>
        <v>4302288.239999999</v>
      </c>
      <c r="J40" s="235" t="s">
        <v>90</v>
      </c>
      <c r="K40" s="239" t="s">
        <v>19</v>
      </c>
      <c r="L40" s="25"/>
      <c r="M40" s="20"/>
      <c r="N40" s="20"/>
    </row>
    <row r="41" s="23" customFormat="1">
      <c r="A41" s="25">
        <f t="shared" si="1"/>
        <v>38</v>
      </c>
      <c r="B41" s="25"/>
      <c r="C41" s="25" t="s">
        <v>91</v>
      </c>
      <c r="D41" s="25" t="s">
        <v>15</v>
      </c>
      <c r="E41" s="24" t="s">
        <v>16</v>
      </c>
      <c r="F41" s="25" t="s">
        <v>17</v>
      </c>
      <c r="G41" s="16">
        <f>VLOOKUP(C41,REKAP!$AV$11:$AW$125,2,0)</f>
        <v>4307288.239999999</v>
      </c>
      <c r="H41" s="16">
        <v>5000</v>
      </c>
      <c r="I41" s="16">
        <f t="shared" si="0"/>
        <v>4302288.239999999</v>
      </c>
      <c r="J41" s="235" t="s">
        <v>92</v>
      </c>
      <c r="K41" s="239" t="s">
        <v>19</v>
      </c>
      <c r="L41" s="25"/>
      <c r="M41" s="20"/>
      <c r="N41" s="20"/>
    </row>
    <row r="42" s="23" customFormat="1">
      <c r="A42" s="25">
        <f t="shared" si="1"/>
        <v>39</v>
      </c>
      <c r="B42" s="25"/>
      <c r="C42" s="25" t="s">
        <v>93</v>
      </c>
      <c r="D42" s="25" t="s">
        <v>15</v>
      </c>
      <c r="E42" s="24" t="s">
        <v>16</v>
      </c>
      <c r="F42" s="25" t="s">
        <v>17</v>
      </c>
      <c r="G42" s="16">
        <f>VLOOKUP(C42,REKAP!$AV$11:$AW$125,2,0)</f>
        <v>4307288.239999999</v>
      </c>
      <c r="H42" s="16">
        <v>5000</v>
      </c>
      <c r="I42" s="16">
        <f t="shared" si="0"/>
        <v>4302288.239999999</v>
      </c>
      <c r="J42" s="235" t="s">
        <v>94</v>
      </c>
      <c r="K42" s="239" t="s">
        <v>19</v>
      </c>
      <c r="L42" s="25"/>
      <c r="M42" s="20"/>
      <c r="N42" s="20"/>
    </row>
    <row r="43" s="23" customFormat="1">
      <c r="A43" s="25">
        <f t="shared" si="1"/>
        <v>40</v>
      </c>
      <c r="B43" s="25"/>
      <c r="C43" s="25" t="s">
        <v>95</v>
      </c>
      <c r="D43" s="25" t="s">
        <v>15</v>
      </c>
      <c r="E43" s="24" t="s">
        <v>16</v>
      </c>
      <c r="F43" s="25" t="s">
        <v>17</v>
      </c>
      <c r="G43" s="16">
        <f>VLOOKUP(C43,REKAP!$AV$11:$AW$125,2,0)</f>
        <v>3947371.2800000003</v>
      </c>
      <c r="H43" s="16">
        <v>5000</v>
      </c>
      <c r="I43" s="16">
        <f t="shared" si="0"/>
        <v>3942371.2800000003</v>
      </c>
      <c r="J43" s="235" t="s">
        <v>96</v>
      </c>
      <c r="K43" s="239" t="s">
        <v>19</v>
      </c>
      <c r="L43" s="25"/>
      <c r="M43" s="20"/>
      <c r="N43" s="20"/>
    </row>
    <row r="44" s="23" customFormat="1">
      <c r="A44" s="25">
        <f t="shared" si="1"/>
        <v>41</v>
      </c>
      <c r="B44" s="25"/>
      <c r="C44" s="27" t="s">
        <v>97</v>
      </c>
      <c r="D44" s="25" t="s">
        <v>15</v>
      </c>
      <c r="E44" s="24" t="s">
        <v>16</v>
      </c>
      <c r="F44" s="25" t="s">
        <v>17</v>
      </c>
      <c r="G44" s="16">
        <f>VLOOKUP(C44,REKAP!$AV$11:$AW$125,2,0)</f>
        <v>4307288.239999999</v>
      </c>
      <c r="H44" s="16">
        <v>5000</v>
      </c>
      <c r="I44" s="28">
        <f t="shared" si="0"/>
        <v>4302288.239999999</v>
      </c>
      <c r="J44" s="236" t="s">
        <v>98</v>
      </c>
      <c r="K44" s="239" t="s">
        <v>19</v>
      </c>
      <c r="L44" s="25"/>
      <c r="M44" s="20"/>
      <c r="N44" s="20"/>
    </row>
    <row r="45" s="23" customFormat="1">
      <c r="A45" s="25">
        <f t="shared" si="1"/>
        <v>42</v>
      </c>
      <c r="B45" s="25"/>
      <c r="C45" s="25" t="s">
        <v>99</v>
      </c>
      <c r="D45" s="25" t="s">
        <v>15</v>
      </c>
      <c r="E45" s="24" t="s">
        <v>16</v>
      </c>
      <c r="F45" s="25" t="s">
        <v>17</v>
      </c>
      <c r="G45" s="16">
        <f>VLOOKUP(C45,REKAP!$AV$11:$AW$125,2,0)</f>
        <v>4307288.239999999</v>
      </c>
      <c r="H45" s="16">
        <v>5000</v>
      </c>
      <c r="I45" s="16">
        <f t="shared" si="0"/>
        <v>4302288.239999999</v>
      </c>
      <c r="J45" s="235" t="s">
        <v>100</v>
      </c>
      <c r="K45" s="239" t="s">
        <v>19</v>
      </c>
      <c r="L45" s="25"/>
      <c r="M45" s="20"/>
      <c r="N45" s="20"/>
    </row>
    <row r="46" s="23" customFormat="1">
      <c r="A46" s="25">
        <f t="shared" si="1"/>
        <v>43</v>
      </c>
      <c r="B46" s="27"/>
      <c r="C46" s="27" t="s">
        <v>101</v>
      </c>
      <c r="D46" s="25" t="s">
        <v>15</v>
      </c>
      <c r="E46" s="24" t="s">
        <v>16</v>
      </c>
      <c r="F46" s="25" t="s">
        <v>17</v>
      </c>
      <c r="G46" s="16">
        <f>VLOOKUP(C46,REKAP!$AV$11:$AW$125,2,0)</f>
        <v>4300041.52</v>
      </c>
      <c r="H46" s="16">
        <v>5000</v>
      </c>
      <c r="I46" s="16">
        <f t="shared" si="0"/>
        <v>4295041.52</v>
      </c>
      <c r="J46" s="235" t="s">
        <v>102</v>
      </c>
      <c r="K46" s="239" t="s">
        <v>19</v>
      </c>
      <c r="L46" s="25"/>
      <c r="M46" s="20"/>
      <c r="N46" s="20"/>
    </row>
    <row r="47" s="23" customFormat="1">
      <c r="A47" s="25">
        <f t="shared" si="1"/>
        <v>44</v>
      </c>
      <c r="B47" s="25"/>
      <c r="C47" s="25" t="s">
        <v>103</v>
      </c>
      <c r="D47" s="25" t="s">
        <v>15</v>
      </c>
      <c r="E47" s="24" t="s">
        <v>16</v>
      </c>
      <c r="F47" s="25" t="s">
        <v>17</v>
      </c>
      <c r="G47" s="16">
        <f>VLOOKUP(C47,REKAP!$AV$11:$AW$125,2,0)</f>
        <v>3947371.2800000003</v>
      </c>
      <c r="H47" s="16">
        <v>5000</v>
      </c>
      <c r="I47" s="16">
        <f t="shared" si="0"/>
        <v>3942371.2800000003</v>
      </c>
      <c r="J47" s="235">
        <v>5775486632</v>
      </c>
      <c r="K47" s="239" t="s">
        <v>19</v>
      </c>
      <c r="L47" s="25"/>
      <c r="M47" s="20"/>
      <c r="N47" s="20"/>
    </row>
    <row r="48" s="23" customFormat="1">
      <c r="A48" s="25">
        <f t="shared" si="1"/>
        <v>45</v>
      </c>
      <c r="B48" s="25"/>
      <c r="C48" s="25" t="s">
        <v>104</v>
      </c>
      <c r="D48" s="25" t="s">
        <v>15</v>
      </c>
      <c r="E48" s="24" t="s">
        <v>16</v>
      </c>
      <c r="F48" s="25" t="s">
        <v>17</v>
      </c>
      <c r="G48" s="16">
        <f>VLOOKUP(C48,REKAP!$AV$11:$AW$125,2,0)</f>
        <v>4307288.239999999</v>
      </c>
      <c r="H48" s="16">
        <v>5000</v>
      </c>
      <c r="I48" s="16">
        <f t="shared" si="0"/>
        <v>4302288.239999999</v>
      </c>
      <c r="J48" s="235" t="s">
        <v>105</v>
      </c>
      <c r="K48" s="239" t="s">
        <v>19</v>
      </c>
      <c r="L48" s="25"/>
      <c r="M48" s="20"/>
      <c r="N48" s="20"/>
    </row>
    <row r="49" s="23" customFormat="1">
      <c r="A49" s="25">
        <f t="shared" si="1"/>
        <v>46</v>
      </c>
      <c r="B49" s="25"/>
      <c r="C49" s="27" t="s">
        <v>106</v>
      </c>
      <c r="D49" s="25" t="s">
        <v>15</v>
      </c>
      <c r="E49" s="24" t="s">
        <v>16</v>
      </c>
      <c r="F49" s="25" t="s">
        <v>17</v>
      </c>
      <c r="G49" s="16">
        <f>VLOOKUP(C49,REKAP!$AV$11:$AW$125,2,0)</f>
        <v>3970041.5199999996</v>
      </c>
      <c r="H49" s="16">
        <v>5000</v>
      </c>
      <c r="I49" s="16">
        <f t="shared" si="0"/>
        <v>3965041.5199999996</v>
      </c>
      <c r="J49" s="235" t="s">
        <v>107</v>
      </c>
      <c r="K49" s="239" t="s">
        <v>19</v>
      </c>
      <c r="L49" s="25"/>
      <c r="M49" s="20"/>
      <c r="N49" s="20"/>
    </row>
    <row r="50" s="23" customFormat="1">
      <c r="A50" s="25">
        <f t="shared" si="1"/>
        <v>47</v>
      </c>
      <c r="B50" s="25"/>
      <c r="C50" s="25" t="s">
        <v>108</v>
      </c>
      <c r="D50" s="25" t="s">
        <v>15</v>
      </c>
      <c r="E50" s="24" t="s">
        <v>16</v>
      </c>
      <c r="F50" s="25" t="s">
        <v>17</v>
      </c>
      <c r="G50" s="16">
        <f>VLOOKUP(C50,REKAP!$AV$11:$AW$125,2,0)</f>
        <v>4307288.239999999</v>
      </c>
      <c r="H50" s="16">
        <v>5000</v>
      </c>
      <c r="I50" s="16">
        <f t="shared" si="0"/>
        <v>4302288.239999999</v>
      </c>
      <c r="J50" s="235" t="s">
        <v>109</v>
      </c>
      <c r="K50" s="239" t="s">
        <v>19</v>
      </c>
      <c r="L50" s="25"/>
      <c r="M50" s="20"/>
      <c r="N50" s="20"/>
    </row>
    <row r="51" s="23" customFormat="1">
      <c r="A51" s="25">
        <f t="shared" si="1"/>
        <v>48</v>
      </c>
      <c r="B51" s="25"/>
      <c r="C51" s="27" t="s">
        <v>110</v>
      </c>
      <c r="D51" s="25" t="s">
        <v>15</v>
      </c>
      <c r="E51" s="24" t="s">
        <v>16</v>
      </c>
      <c r="F51" s="25" t="s">
        <v>17</v>
      </c>
      <c r="G51" s="16">
        <f>VLOOKUP(C51,REKAP!$AV$11:$AW$125,2,0)</f>
        <v>3807288.2399999993</v>
      </c>
      <c r="H51" s="16">
        <v>5000</v>
      </c>
      <c r="I51" s="28">
        <f t="shared" si="0"/>
        <v>3802288.2399999993</v>
      </c>
      <c r="J51" s="235" t="s">
        <v>111</v>
      </c>
      <c r="K51" s="239" t="s">
        <v>19</v>
      </c>
      <c r="L51" s="25"/>
      <c r="M51" s="20"/>
      <c r="N51" s="20"/>
    </row>
    <row r="52" s="23" customFormat="1">
      <c r="A52" s="25">
        <f t="shared" si="1"/>
        <v>49</v>
      </c>
      <c r="B52" s="25"/>
      <c r="C52" s="25" t="s">
        <v>112</v>
      </c>
      <c r="D52" s="25" t="s">
        <v>15</v>
      </c>
      <c r="E52" s="24" t="s">
        <v>16</v>
      </c>
      <c r="F52" s="25" t="s">
        <v>17</v>
      </c>
      <c r="G52" s="16">
        <f>VLOOKUP(C52,REKAP!$AV$11:$AW$125,2,0)</f>
        <v>3947371.2800000003</v>
      </c>
      <c r="H52" s="16">
        <v>5000</v>
      </c>
      <c r="I52" s="16">
        <f t="shared" si="0"/>
        <v>3942371.2800000003</v>
      </c>
      <c r="J52" s="235" t="s">
        <v>113</v>
      </c>
      <c r="K52" s="239" t="s">
        <v>19</v>
      </c>
      <c r="L52" s="25"/>
      <c r="M52" s="20"/>
      <c r="N52" s="20"/>
    </row>
    <row r="53" s="23" customFormat="1">
      <c r="A53" s="25">
        <f t="shared" si="1"/>
        <v>50</v>
      </c>
      <c r="B53" s="25"/>
      <c r="C53" s="25" t="s">
        <v>114</v>
      </c>
      <c r="D53" s="25" t="s">
        <v>15</v>
      </c>
      <c r="E53" s="24" t="s">
        <v>16</v>
      </c>
      <c r="F53" s="25" t="s">
        <v>17</v>
      </c>
      <c r="G53" s="16">
        <f>VLOOKUP(C53,REKAP!$AV$11:$AW$125,2,0)</f>
        <v>4307288.239999999</v>
      </c>
      <c r="H53" s="16">
        <v>5000</v>
      </c>
      <c r="I53" s="16">
        <f t="shared" si="0"/>
        <v>4302288.239999999</v>
      </c>
      <c r="J53" s="235" t="s">
        <v>115</v>
      </c>
      <c r="K53" s="239" t="s">
        <v>19</v>
      </c>
      <c r="L53" s="25"/>
      <c r="M53" s="20"/>
      <c r="N53" s="20"/>
    </row>
    <row r="54" s="23" customFormat="1">
      <c r="A54" s="25">
        <f t="shared" si="1"/>
        <v>51</v>
      </c>
      <c r="B54" s="25"/>
      <c r="C54" s="27" t="s">
        <v>116</v>
      </c>
      <c r="D54" s="25" t="s">
        <v>15</v>
      </c>
      <c r="E54" s="24" t="s">
        <v>16</v>
      </c>
      <c r="F54" s="25" t="s">
        <v>17</v>
      </c>
      <c r="G54" s="16">
        <f>VLOOKUP(C54,REKAP!$AV$11:$AW$125,2,0)</f>
        <v>4307288.239999999</v>
      </c>
      <c r="H54" s="16">
        <v>5000</v>
      </c>
      <c r="I54" s="28">
        <f t="shared" si="0"/>
        <v>4302288.239999999</v>
      </c>
      <c r="J54" s="235" t="s">
        <v>117</v>
      </c>
      <c r="K54" s="239" t="s">
        <v>19</v>
      </c>
      <c r="L54" s="25"/>
      <c r="M54" s="20"/>
      <c r="N54" s="20"/>
    </row>
    <row r="55" s="23" customFormat="1">
      <c r="A55" s="25">
        <f t="shared" si="1"/>
        <v>52</v>
      </c>
      <c r="B55" s="25"/>
      <c r="C55" s="25" t="s">
        <v>118</v>
      </c>
      <c r="D55" s="25" t="s">
        <v>15</v>
      </c>
      <c r="E55" s="24" t="s">
        <v>16</v>
      </c>
      <c r="F55" s="25" t="s">
        <v>17</v>
      </c>
      <c r="G55" s="16">
        <f>VLOOKUP(C55,REKAP!$AV$11:$AW$125,2,0)</f>
        <v>4307288.239999999</v>
      </c>
      <c r="H55" s="16">
        <v>5000</v>
      </c>
      <c r="I55" s="16">
        <f t="shared" si="0"/>
        <v>4302288.239999999</v>
      </c>
      <c r="J55" s="235" t="s">
        <v>119</v>
      </c>
      <c r="K55" s="239" t="s">
        <v>19</v>
      </c>
      <c r="L55" s="25"/>
      <c r="M55" s="20"/>
      <c r="N55" s="20"/>
    </row>
    <row r="56" s="23" customFormat="1">
      <c r="A56" s="25">
        <f t="shared" si="1"/>
        <v>53</v>
      </c>
      <c r="B56" s="25"/>
      <c r="C56" s="25" t="s">
        <v>120</v>
      </c>
      <c r="D56" s="25" t="s">
        <v>15</v>
      </c>
      <c r="E56" s="24" t="s">
        <v>16</v>
      </c>
      <c r="F56" s="25" t="s">
        <v>17</v>
      </c>
      <c r="G56" s="16">
        <f>VLOOKUP(C56,REKAP!$AV$11:$AW$125,2,0)</f>
        <v>4307288.239999999</v>
      </c>
      <c r="H56" s="16">
        <v>5000</v>
      </c>
      <c r="I56" s="16">
        <f t="shared" si="0"/>
        <v>4302288.239999999</v>
      </c>
      <c r="J56" s="235" t="s">
        <v>121</v>
      </c>
      <c r="K56" s="239" t="s">
        <v>19</v>
      </c>
      <c r="L56" s="25"/>
      <c r="M56" s="20"/>
      <c r="N56" s="20"/>
    </row>
    <row r="57" s="23" customFormat="1">
      <c r="A57" s="25">
        <f t="shared" si="1"/>
        <v>54</v>
      </c>
      <c r="B57" s="25"/>
      <c r="C57" s="27" t="s">
        <v>122</v>
      </c>
      <c r="D57" s="25" t="s">
        <v>15</v>
      </c>
      <c r="E57" s="24" t="s">
        <v>16</v>
      </c>
      <c r="F57" s="25" t="s">
        <v>17</v>
      </c>
      <c r="G57" s="16">
        <f>VLOOKUP(C57,REKAP!$AV$11:$AW$125,2,0)</f>
        <v>4307288.239999999</v>
      </c>
      <c r="H57" s="16">
        <v>5000</v>
      </c>
      <c r="I57" s="28">
        <f t="shared" si="0"/>
        <v>4302288.239999999</v>
      </c>
      <c r="J57" s="235" t="s">
        <v>123</v>
      </c>
      <c r="K57" s="239" t="s">
        <v>19</v>
      </c>
      <c r="L57" s="25"/>
      <c r="M57" s="20"/>
      <c r="N57" s="20"/>
    </row>
    <row r="58" s="23" customFormat="1">
      <c r="A58" s="25">
        <f t="shared" si="1"/>
        <v>55</v>
      </c>
      <c r="B58" s="25"/>
      <c r="C58" s="25" t="s">
        <v>124</v>
      </c>
      <c r="D58" s="25" t="s">
        <v>15</v>
      </c>
      <c r="E58" s="24" t="s">
        <v>16</v>
      </c>
      <c r="F58" s="25" t="s">
        <v>17</v>
      </c>
      <c r="G58" s="16">
        <f>VLOOKUP(C58,REKAP!$AV$11:$AW$125,2,0)</f>
        <v>4307288.239999999</v>
      </c>
      <c r="H58" s="16">
        <v>5000</v>
      </c>
      <c r="I58" s="16">
        <f t="shared" si="0"/>
        <v>4302288.239999999</v>
      </c>
      <c r="J58" s="235" t="s">
        <v>125</v>
      </c>
      <c r="K58" s="239" t="s">
        <v>19</v>
      </c>
      <c r="L58" s="25"/>
      <c r="M58" s="20"/>
      <c r="N58" s="20"/>
    </row>
    <row r="59" s="23" customFormat="1">
      <c r="A59" s="25">
        <f t="shared" si="1"/>
        <v>56</v>
      </c>
      <c r="B59" s="27"/>
      <c r="C59" s="27" t="s">
        <v>126</v>
      </c>
      <c r="D59" s="25" t="s">
        <v>79</v>
      </c>
      <c r="E59" s="24" t="s">
        <v>16</v>
      </c>
      <c r="F59" s="25" t="s">
        <v>17</v>
      </c>
      <c r="G59" s="16">
        <f>VLOOKUP(C59,REKAP!$AV$11:$AW$125,2,0)</f>
        <v>4600170.239999999</v>
      </c>
      <c r="H59" s="16">
        <v>5000</v>
      </c>
      <c r="I59" s="28">
        <f t="shared" si="0"/>
        <v>4595170.239999999</v>
      </c>
      <c r="J59" s="236" t="s">
        <v>127</v>
      </c>
      <c r="K59" s="239" t="s">
        <v>19</v>
      </c>
      <c r="L59" s="25"/>
      <c r="M59" s="20"/>
      <c r="N59" s="20"/>
    </row>
    <row r="60" s="23" customFormat="1">
      <c r="A60" s="25">
        <f t="shared" si="1"/>
        <v>57</v>
      </c>
      <c r="B60" s="27"/>
      <c r="C60" s="27" t="s">
        <v>128</v>
      </c>
      <c r="D60" s="25" t="s">
        <v>15</v>
      </c>
      <c r="E60" s="24" t="s">
        <v>16</v>
      </c>
      <c r="F60" s="25" t="s">
        <v>17</v>
      </c>
      <c r="G60" s="16">
        <f>VLOOKUP(C60,REKAP!$AV$11:$AW$125,2,0)</f>
        <v>3912288.2399999993</v>
      </c>
      <c r="H60" s="16">
        <v>5000</v>
      </c>
      <c r="I60" s="28">
        <f t="shared" si="0"/>
        <v>3907288.2399999993</v>
      </c>
      <c r="J60" s="236">
        <v>6825471204</v>
      </c>
      <c r="K60" s="235" t="s">
        <v>19</v>
      </c>
      <c r="L60" s="27"/>
      <c r="M60" s="20"/>
      <c r="N60" s="246"/>
    </row>
    <row r="61" s="23" customFormat="1">
      <c r="A61" s="25">
        <f t="shared" si="1"/>
        <v>58</v>
      </c>
      <c r="B61" s="25"/>
      <c r="C61" s="27" t="s">
        <v>129</v>
      </c>
      <c r="D61" s="25" t="s">
        <v>15</v>
      </c>
      <c r="E61" s="24" t="s">
        <v>16</v>
      </c>
      <c r="F61" s="25" t="s">
        <v>17</v>
      </c>
      <c r="G61" s="16">
        <f>VLOOKUP(C61,REKAP!$AV$11:$AW$125,2,0)</f>
        <v>4120041.5199999996</v>
      </c>
      <c r="H61" s="16">
        <v>5000</v>
      </c>
      <c r="I61" s="16">
        <f t="shared" si="0"/>
        <v>4115041.5199999996</v>
      </c>
      <c r="J61" s="235" t="s">
        <v>130</v>
      </c>
      <c r="K61" s="239" t="s">
        <v>19</v>
      </c>
      <c r="L61" s="25"/>
      <c r="M61" s="20"/>
      <c r="N61" s="20"/>
    </row>
    <row r="62" s="23" customFormat="1">
      <c r="A62" s="25">
        <f t="shared" si="1"/>
        <v>59</v>
      </c>
      <c r="B62" s="25"/>
      <c r="C62" s="25" t="s">
        <v>131</v>
      </c>
      <c r="D62" s="25" t="s">
        <v>15</v>
      </c>
      <c r="E62" s="24" t="s">
        <v>16</v>
      </c>
      <c r="F62" s="25" t="s">
        <v>17</v>
      </c>
      <c r="G62" s="16">
        <f>VLOOKUP(C62,REKAP!$AV$11:$AW$125,2,0)</f>
        <v>4307288.239999999</v>
      </c>
      <c r="H62" s="16">
        <v>5000</v>
      </c>
      <c r="I62" s="16">
        <f t="shared" si="0"/>
        <v>4302288.239999999</v>
      </c>
      <c r="J62" s="235" t="s">
        <v>132</v>
      </c>
      <c r="K62" s="239" t="s">
        <v>19</v>
      </c>
      <c r="L62" s="25"/>
      <c r="M62" s="20"/>
      <c r="N62" s="20"/>
    </row>
    <row r="63" s="23" customFormat="1">
      <c r="A63" s="25">
        <f t="shared" si="1"/>
        <v>60</v>
      </c>
      <c r="B63" s="25"/>
      <c r="C63" s="27" t="s">
        <v>133</v>
      </c>
      <c r="D63" s="25" t="s">
        <v>15</v>
      </c>
      <c r="E63" s="24" t="s">
        <v>16</v>
      </c>
      <c r="F63" s="25" t="s">
        <v>17</v>
      </c>
      <c r="G63" s="16">
        <f>VLOOKUP(C63,REKAP!$AV$11:$AW$125,2,0)</f>
        <v>4100041.5199999996</v>
      </c>
      <c r="H63" s="16">
        <v>5000</v>
      </c>
      <c r="I63" s="16">
        <f t="shared" si="0"/>
        <v>4095041.5199999996</v>
      </c>
      <c r="J63" s="235" t="s">
        <v>134</v>
      </c>
      <c r="K63" s="239" t="s">
        <v>19</v>
      </c>
      <c r="L63" s="25"/>
      <c r="M63" s="20"/>
      <c r="N63" s="20"/>
    </row>
    <row r="64" s="23" customFormat="1">
      <c r="A64" s="25">
        <f t="shared" si="1"/>
        <v>61</v>
      </c>
      <c r="B64" s="25"/>
      <c r="C64" s="25" t="s">
        <v>135</v>
      </c>
      <c r="D64" s="25" t="s">
        <v>15</v>
      </c>
      <c r="E64" s="24" t="s">
        <v>16</v>
      </c>
      <c r="F64" s="25" t="s">
        <v>17</v>
      </c>
      <c r="G64" s="16">
        <f>VLOOKUP(C64,REKAP!$AV$11:$AW$125,2,0)</f>
        <v>4487246.239999999</v>
      </c>
      <c r="H64" s="16">
        <v>5000</v>
      </c>
      <c r="I64" s="16">
        <f t="shared" si="0"/>
        <v>4482246.239999999</v>
      </c>
      <c r="J64" s="235">
        <v>4860211764</v>
      </c>
      <c r="K64" s="239" t="s">
        <v>19</v>
      </c>
      <c r="L64" s="25"/>
      <c r="M64" s="20"/>
      <c r="N64" s="20"/>
    </row>
    <row r="65" s="23" customFormat="1">
      <c r="A65" s="25">
        <f t="shared" si="1"/>
        <v>62</v>
      </c>
      <c r="B65" s="25"/>
      <c r="C65" s="25" t="s">
        <v>136</v>
      </c>
      <c r="D65" s="25" t="s">
        <v>15</v>
      </c>
      <c r="E65" s="24" t="s">
        <v>16</v>
      </c>
      <c r="F65" s="25" t="s">
        <v>17</v>
      </c>
      <c r="G65" s="16">
        <f>VLOOKUP(C65,REKAP!$AV$11:$AW$125,2,0)</f>
        <v>4307288.239999999</v>
      </c>
      <c r="H65" s="16">
        <v>5000</v>
      </c>
      <c r="I65" s="16">
        <f t="shared" si="0"/>
        <v>4302288.239999999</v>
      </c>
      <c r="J65" s="235" t="s">
        <v>137</v>
      </c>
      <c r="K65" s="239" t="s">
        <v>19</v>
      </c>
      <c r="L65" s="25"/>
      <c r="M65" s="20"/>
      <c r="N65" s="20"/>
    </row>
    <row r="66" s="23" customFormat="1">
      <c r="A66" s="25">
        <f t="shared" si="1"/>
        <v>63</v>
      </c>
      <c r="B66" s="25"/>
      <c r="C66" s="25" t="s">
        <v>138</v>
      </c>
      <c r="D66" s="25" t="s">
        <v>15</v>
      </c>
      <c r="E66" s="24" t="s">
        <v>16</v>
      </c>
      <c r="F66" s="25" t="s">
        <v>17</v>
      </c>
      <c r="G66" s="16">
        <f>VLOOKUP(C66,REKAP!$AV$11:$AW$125,2,0)</f>
        <v>4307288.239999999</v>
      </c>
      <c r="H66" s="16">
        <v>5000</v>
      </c>
      <c r="I66" s="16">
        <f t="shared" si="0"/>
        <v>4302288.239999999</v>
      </c>
      <c r="J66" s="235" t="s">
        <v>139</v>
      </c>
      <c r="K66" s="239" t="s">
        <v>19</v>
      </c>
      <c r="L66" s="25"/>
      <c r="M66" s="20"/>
      <c r="N66" s="20"/>
    </row>
    <row r="67" s="29" customFormat="1">
      <c r="A67" s="25">
        <f t="shared" si="1"/>
        <v>64</v>
      </c>
      <c r="B67" s="25"/>
      <c r="C67" s="27" t="s">
        <v>140</v>
      </c>
      <c r="D67" s="25" t="s">
        <v>15</v>
      </c>
      <c r="E67" s="24" t="s">
        <v>16</v>
      </c>
      <c r="F67" s="25" t="s">
        <v>17</v>
      </c>
      <c r="G67" s="16">
        <f>VLOOKUP(C67,REKAP!$AV$11:$AW$125,2,0)</f>
        <v>4307288.239999999</v>
      </c>
      <c r="H67" s="16">
        <v>5000</v>
      </c>
      <c r="I67" s="28">
        <f t="shared" si="0"/>
        <v>4302288.239999999</v>
      </c>
      <c r="J67" s="236" t="s">
        <v>141</v>
      </c>
      <c r="K67" s="235" t="s">
        <v>142</v>
      </c>
      <c r="L67" s="25"/>
      <c r="M67" s="20"/>
      <c r="N67" s="20"/>
    </row>
    <row r="68" s="29" customFormat="1">
      <c r="A68" s="25">
        <f t="shared" si="1"/>
        <v>65</v>
      </c>
      <c r="B68" s="25"/>
      <c r="C68" s="25" t="s">
        <v>143</v>
      </c>
      <c r="D68" s="25" t="s">
        <v>15</v>
      </c>
      <c r="E68" s="24" t="s">
        <v>16</v>
      </c>
      <c r="F68" s="25" t="s">
        <v>17</v>
      </c>
      <c r="G68" s="16">
        <f>VLOOKUP(C68,REKAP!$AV$11:$AW$125,2,0)</f>
        <v>4307288.239999999</v>
      </c>
      <c r="H68" s="16">
        <v>5000</v>
      </c>
      <c r="I68" s="16">
        <f t="shared" si="0"/>
        <v>4302288.239999999</v>
      </c>
      <c r="J68" s="235">
        <v>6785129982</v>
      </c>
      <c r="K68" s="239" t="s">
        <v>19</v>
      </c>
      <c r="L68" s="16"/>
      <c r="M68" s="20"/>
      <c r="N68" s="20"/>
    </row>
    <row r="69" s="23" customFormat="1">
      <c r="A69" s="25">
        <f t="shared" si="1"/>
        <v>66</v>
      </c>
      <c r="B69" s="25"/>
      <c r="C69" s="25" t="s">
        <v>144</v>
      </c>
      <c r="D69" s="25" t="s">
        <v>15</v>
      </c>
      <c r="E69" s="24" t="s">
        <v>16</v>
      </c>
      <c r="F69" s="25" t="s">
        <v>17</v>
      </c>
      <c r="G69" s="16">
        <f>VLOOKUP(C69,REKAP!$AV$11:$AW$125,2,0)</f>
        <v>4307288.239999999</v>
      </c>
      <c r="H69" s="16">
        <v>5000</v>
      </c>
      <c r="I69" s="16">
        <f ref="I69:I83" t="shared" si="2">+G69-H69</f>
        <v>4302288.239999999</v>
      </c>
      <c r="J69" s="235" t="s">
        <v>145</v>
      </c>
      <c r="K69" s="239" t="s">
        <v>19</v>
      </c>
      <c r="L69" s="25"/>
      <c r="M69" s="20"/>
      <c r="N69" s="20"/>
    </row>
    <row r="70" s="23" customFormat="1">
      <c r="A70" s="25">
        <f t="shared" si="1"/>
        <v>67</v>
      </c>
      <c r="B70" s="27"/>
      <c r="C70" s="27" t="s">
        <v>146</v>
      </c>
      <c r="D70" s="25" t="s">
        <v>15</v>
      </c>
      <c r="E70" s="24" t="s">
        <v>16</v>
      </c>
      <c r="F70" s="25" t="s">
        <v>17</v>
      </c>
      <c r="G70" s="16">
        <f>VLOOKUP(C70,REKAP!$AV$11:$AW$125,2,0)</f>
        <v>4299999.52</v>
      </c>
      <c r="H70" s="16">
        <v>5000</v>
      </c>
      <c r="I70" s="28">
        <f t="shared" si="2"/>
        <v>4294999.52</v>
      </c>
      <c r="J70" s="236" t="s">
        <v>147</v>
      </c>
      <c r="K70" s="239" t="s">
        <v>19</v>
      </c>
      <c r="L70" s="25"/>
      <c r="M70" s="20"/>
      <c r="N70" s="20"/>
    </row>
    <row r="71" s="29" customFormat="1">
      <c r="A71" s="25">
        <f ref="A71:A97" t="shared" si="3">+A70+1</f>
        <v>68</v>
      </c>
      <c r="B71" s="25"/>
      <c r="C71" s="25" t="s">
        <v>148</v>
      </c>
      <c r="D71" s="25" t="s">
        <v>15</v>
      </c>
      <c r="E71" s="24" t="s">
        <v>16</v>
      </c>
      <c r="F71" s="25" t="s">
        <v>17</v>
      </c>
      <c r="G71" s="16">
        <f>VLOOKUP(C71,REKAP!$AV$11:$AW$125,2,0)</f>
        <v>4120041.5199999996</v>
      </c>
      <c r="H71" s="16">
        <v>5000</v>
      </c>
      <c r="I71" s="16">
        <f t="shared" si="2"/>
        <v>4115041.5199999996</v>
      </c>
      <c r="J71" s="235" t="s">
        <v>149</v>
      </c>
      <c r="K71" s="239" t="s">
        <v>19</v>
      </c>
      <c r="L71" s="25"/>
      <c r="M71" s="20"/>
      <c r="N71" s="20"/>
    </row>
    <row r="72" s="23" customFormat="1">
      <c r="A72" s="25">
        <f t="shared" si="3"/>
        <v>69</v>
      </c>
      <c r="B72" s="25"/>
      <c r="C72" s="25" t="s">
        <v>150</v>
      </c>
      <c r="D72" s="25" t="s">
        <v>15</v>
      </c>
      <c r="E72" s="24" t="s">
        <v>16</v>
      </c>
      <c r="F72" s="25" t="s">
        <v>17</v>
      </c>
      <c r="G72" s="16">
        <f>VLOOKUP(C72,REKAP!$AV$11:$AW$125,2,0)</f>
        <v>4307288.239999999</v>
      </c>
      <c r="H72" s="16">
        <v>5000</v>
      </c>
      <c r="I72" s="16">
        <f t="shared" si="2"/>
        <v>4302288.239999999</v>
      </c>
      <c r="J72" s="235" t="s">
        <v>151</v>
      </c>
      <c r="K72" s="239" t="s">
        <v>19</v>
      </c>
      <c r="L72" s="25"/>
      <c r="M72" s="20"/>
      <c r="N72" s="20"/>
    </row>
    <row r="73" s="23" customFormat="1">
      <c r="A73" s="25">
        <f t="shared" si="3"/>
        <v>70</v>
      </c>
      <c r="B73" s="27"/>
      <c r="C73" s="27" t="s">
        <v>152</v>
      </c>
      <c r="D73" s="25" t="s">
        <v>15</v>
      </c>
      <c r="E73" s="24" t="s">
        <v>16</v>
      </c>
      <c r="F73" s="25" t="s">
        <v>17</v>
      </c>
      <c r="G73" s="16">
        <f>VLOOKUP(C73,REKAP!$AV$11:$AW$125,2,0)</f>
        <v>4307288.239999999</v>
      </c>
      <c r="H73" s="16">
        <v>5000</v>
      </c>
      <c r="I73" s="28">
        <f t="shared" si="2"/>
        <v>4302288.239999999</v>
      </c>
      <c r="J73" s="235" t="s">
        <v>153</v>
      </c>
      <c r="K73" s="235" t="s">
        <v>19</v>
      </c>
      <c r="L73" s="27"/>
      <c r="M73" s="20"/>
      <c r="N73" s="246"/>
    </row>
    <row r="74" s="23" customFormat="1">
      <c r="A74" s="25">
        <f t="shared" si="3"/>
        <v>71</v>
      </c>
      <c r="B74" s="25"/>
      <c r="C74" s="25" t="s">
        <v>154</v>
      </c>
      <c r="D74" s="25" t="s">
        <v>15</v>
      </c>
      <c r="E74" s="24" t="s">
        <v>16</v>
      </c>
      <c r="F74" s="25" t="s">
        <v>17</v>
      </c>
      <c r="G74" s="16">
        <f>VLOOKUP(C74,REKAP!$AV$11:$AW$125,2,0)</f>
        <v>4307288.239999999</v>
      </c>
      <c r="H74" s="16">
        <v>5000</v>
      </c>
      <c r="I74" s="16">
        <f t="shared" si="2"/>
        <v>4302288.239999999</v>
      </c>
      <c r="J74" s="235" t="s">
        <v>155</v>
      </c>
      <c r="K74" s="239" t="s">
        <v>19</v>
      </c>
      <c r="L74" s="25"/>
      <c r="M74" s="20"/>
      <c r="N74" s="20"/>
    </row>
    <row r="75" s="29" customFormat="1">
      <c r="A75" s="25">
        <f t="shared" si="3"/>
        <v>72</v>
      </c>
      <c r="B75" s="27"/>
      <c r="C75" s="27" t="s">
        <v>156</v>
      </c>
      <c r="D75" s="25" t="s">
        <v>15</v>
      </c>
      <c r="E75" s="24" t="s">
        <v>16</v>
      </c>
      <c r="F75" s="25" t="s">
        <v>17</v>
      </c>
      <c r="G75" s="16">
        <f>VLOOKUP(C75,REKAP!$AV$11:$AW$125,2,0)</f>
        <v>3970041.5199999996</v>
      </c>
      <c r="H75" s="16">
        <v>5000</v>
      </c>
      <c r="I75" s="28">
        <f t="shared" si="2"/>
        <v>3965041.5199999996</v>
      </c>
      <c r="J75" s="236" t="s">
        <v>157</v>
      </c>
      <c r="K75" s="235" t="s">
        <v>19</v>
      </c>
      <c r="L75" s="27"/>
      <c r="M75" s="20"/>
      <c r="N75" s="246"/>
    </row>
    <row r="76" s="29" customFormat="1">
      <c r="A76" s="25">
        <f t="shared" si="3"/>
        <v>73</v>
      </c>
      <c r="B76" s="27"/>
      <c r="C76" s="27" t="s">
        <v>158</v>
      </c>
      <c r="D76" s="25" t="s">
        <v>15</v>
      </c>
      <c r="E76" s="24" t="s">
        <v>16</v>
      </c>
      <c r="F76" s="25" t="s">
        <v>17</v>
      </c>
      <c r="G76" s="16">
        <f>VLOOKUP(C76,REKAP!$AV$11:$AW$125,2,0)</f>
        <v>4307288.239999999</v>
      </c>
      <c r="H76" s="16">
        <v>5000</v>
      </c>
      <c r="I76" s="28">
        <f t="shared" si="2"/>
        <v>4302288.239999999</v>
      </c>
      <c r="J76" s="235" t="s">
        <v>159</v>
      </c>
      <c r="K76" s="235" t="s">
        <v>19</v>
      </c>
      <c r="L76" s="27"/>
      <c r="M76" s="20"/>
      <c r="N76" s="246"/>
    </row>
    <row r="77" s="29" customFormat="1">
      <c r="A77" s="25">
        <f t="shared" si="3"/>
        <v>74</v>
      </c>
      <c r="B77" s="27"/>
      <c r="C77" s="27" t="s">
        <v>160</v>
      </c>
      <c r="D77" s="25" t="s">
        <v>15</v>
      </c>
      <c r="E77" s="24" t="s">
        <v>16</v>
      </c>
      <c r="F77" s="25" t="s">
        <v>17</v>
      </c>
      <c r="G77" s="16">
        <f>VLOOKUP(C77,REKAP!$AV$11:$AW$125,2,0)</f>
        <v>4307288.239999999</v>
      </c>
      <c r="H77" s="16">
        <v>5000</v>
      </c>
      <c r="I77" s="28">
        <f t="shared" si="2"/>
        <v>4302288.239999999</v>
      </c>
      <c r="J77" s="235" t="s">
        <v>161</v>
      </c>
      <c r="K77" s="235" t="s">
        <v>19</v>
      </c>
      <c r="L77" s="27"/>
      <c r="M77" s="20"/>
      <c r="N77" s="246"/>
    </row>
    <row r="78" s="29" customFormat="1">
      <c r="A78" s="25">
        <f t="shared" si="3"/>
        <v>75</v>
      </c>
      <c r="B78" s="27"/>
      <c r="C78" s="27" t="s">
        <v>162</v>
      </c>
      <c r="D78" s="25" t="s">
        <v>15</v>
      </c>
      <c r="E78" s="24" t="s">
        <v>16</v>
      </c>
      <c r="F78" s="25" t="s">
        <v>17</v>
      </c>
      <c r="G78" s="16">
        <f>VLOOKUP(C78,REKAP!$AV$11:$AW$125,2,0)</f>
        <v>4127329.7600000007</v>
      </c>
      <c r="H78" s="16">
        <v>5000</v>
      </c>
      <c r="I78" s="28">
        <f t="shared" si="2"/>
        <v>4122329.7600000007</v>
      </c>
      <c r="J78" s="235">
        <v>1310664088</v>
      </c>
      <c r="K78" s="235" t="s">
        <v>19</v>
      </c>
      <c r="L78" s="27"/>
      <c r="M78" s="20"/>
      <c r="N78" s="246"/>
    </row>
    <row r="79" s="29" customFormat="1">
      <c r="A79" s="25">
        <f t="shared" si="3"/>
        <v>76</v>
      </c>
      <c r="B79" s="27"/>
      <c r="C79" s="27" t="s">
        <v>163</v>
      </c>
      <c r="D79" s="25" t="s">
        <v>15</v>
      </c>
      <c r="E79" s="24" t="s">
        <v>16</v>
      </c>
      <c r="F79" s="25" t="s">
        <v>17</v>
      </c>
      <c r="G79" s="16">
        <f>VLOOKUP(C79,REKAP!$AV$11:$AW$125,2,0)</f>
        <v>4307288.239999999</v>
      </c>
      <c r="H79" s="16">
        <v>5000</v>
      </c>
      <c r="I79" s="28">
        <f>+G79-H79</f>
        <v>4302288.239999999</v>
      </c>
      <c r="J79" s="236">
        <v>4860358510</v>
      </c>
      <c r="K79" s="235" t="s">
        <v>19</v>
      </c>
      <c r="L79" s="27"/>
      <c r="M79" s="20"/>
      <c r="N79" s="246"/>
    </row>
    <row r="80" s="29" customFormat="1">
      <c r="A80" s="25">
        <f t="shared" si="3"/>
        <v>77</v>
      </c>
      <c r="B80" s="27"/>
      <c r="C80" s="27" t="s">
        <v>164</v>
      </c>
      <c r="D80" s="25" t="s">
        <v>15</v>
      </c>
      <c r="E80" s="24" t="s">
        <v>16</v>
      </c>
      <c r="F80" s="25" t="s">
        <v>17</v>
      </c>
      <c r="G80" s="16">
        <f>VLOOKUP(C80,REKAP!$AV$11:$AW$125,2,0)</f>
        <v>4307288.239999999</v>
      </c>
      <c r="H80" s="16">
        <v>5000</v>
      </c>
      <c r="I80" s="28">
        <f t="shared" si="2"/>
        <v>4302288.239999999</v>
      </c>
      <c r="J80" s="235">
        <v>6880638066</v>
      </c>
      <c r="K80" s="235" t="s">
        <v>19</v>
      </c>
      <c r="L80" s="27"/>
      <c r="M80" s="20"/>
      <c r="N80" s="246"/>
    </row>
    <row r="81" s="29" customFormat="1">
      <c r="A81" s="25">
        <f t="shared" si="3"/>
        <v>78</v>
      </c>
      <c r="B81" s="27"/>
      <c r="C81" s="27" t="s">
        <v>165</v>
      </c>
      <c r="D81" s="25" t="s">
        <v>15</v>
      </c>
      <c r="E81" s="24" t="s">
        <v>16</v>
      </c>
      <c r="F81" s="25" t="s">
        <v>17</v>
      </c>
      <c r="G81" s="16">
        <f>VLOOKUP(C81,REKAP!$AV$11:$AW$125,2,0)</f>
        <v>4202288.239999999</v>
      </c>
      <c r="H81" s="16">
        <v>5000</v>
      </c>
      <c r="I81" s="28">
        <f t="shared" si="2"/>
        <v>4197288.239999999</v>
      </c>
      <c r="J81" s="235">
        <v>4860356380</v>
      </c>
      <c r="K81" s="235" t="s">
        <v>19</v>
      </c>
      <c r="L81" s="27"/>
      <c r="M81" s="20"/>
      <c r="N81" s="246"/>
    </row>
    <row r="82" s="29" customFormat="1">
      <c r="A82" s="25">
        <f t="shared" si="3"/>
        <v>79</v>
      </c>
      <c r="B82" s="27"/>
      <c r="C82" s="27" t="s">
        <v>166</v>
      </c>
      <c r="D82" s="25" t="s">
        <v>15</v>
      </c>
      <c r="E82" s="24" t="s">
        <v>16</v>
      </c>
      <c r="F82" s="25" t="s">
        <v>17</v>
      </c>
      <c r="G82" s="16">
        <f>VLOOKUP(C82,REKAP!$AV$11:$AW$125,2,0)</f>
        <v>3710288.2399999993</v>
      </c>
      <c r="H82" s="16">
        <v>5000</v>
      </c>
      <c r="I82" s="28">
        <f t="shared" si="2"/>
        <v>3705288.2399999993</v>
      </c>
      <c r="J82" s="236">
        <v>8730771666</v>
      </c>
      <c r="K82" s="235" t="s">
        <v>19</v>
      </c>
      <c r="L82" s="27"/>
      <c r="M82" s="20"/>
      <c r="N82" s="246"/>
    </row>
    <row r="83" s="29" customFormat="1">
      <c r="A83" s="25">
        <f t="shared" si="3"/>
        <v>80</v>
      </c>
      <c r="B83" s="27"/>
      <c r="C83" s="27" t="s">
        <v>167</v>
      </c>
      <c r="D83" s="25" t="s">
        <v>15</v>
      </c>
      <c r="E83" s="24" t="s">
        <v>16</v>
      </c>
      <c r="F83" s="25" t="s">
        <v>17</v>
      </c>
      <c r="G83" s="16">
        <f>VLOOKUP(C83,REKAP!$AV$11:$AW$125,2,0)</f>
        <v>4307288.239999999</v>
      </c>
      <c r="H83" s="16">
        <v>5000</v>
      </c>
      <c r="I83" s="28">
        <f t="shared" si="2"/>
        <v>4302288.239999999</v>
      </c>
      <c r="J83" s="236">
        <v>8761063766</v>
      </c>
      <c r="K83" s="235" t="s">
        <v>19</v>
      </c>
      <c r="L83" s="27"/>
      <c r="M83" s="20"/>
      <c r="N83" s="246"/>
    </row>
    <row r="84" s="29" customFormat="1">
      <c r="A84" s="25">
        <f t="shared" si="3"/>
        <v>81</v>
      </c>
      <c r="B84" s="27"/>
      <c r="C84" s="27" t="s">
        <v>168</v>
      </c>
      <c r="D84" s="27" t="s">
        <v>15</v>
      </c>
      <c r="E84" s="253" t="s">
        <v>16</v>
      </c>
      <c r="F84" s="27" t="s">
        <v>17</v>
      </c>
      <c r="G84" s="16">
        <f>VLOOKUP(C84,REKAP!$AV$11:$AW$125,2,0)</f>
        <v>4057288.2399999993</v>
      </c>
      <c r="H84" s="16">
        <v>5000</v>
      </c>
      <c r="I84" s="28">
        <f ref="I84:I97" t="shared" si="4">+G84-H84</f>
        <v>4052288.2399999993</v>
      </c>
      <c r="J84" s="236" t="s">
        <v>169</v>
      </c>
      <c r="K84" s="235" t="s">
        <v>19</v>
      </c>
      <c r="L84" s="27"/>
      <c r="M84" s="246"/>
      <c r="N84" s="246"/>
    </row>
    <row r="85" s="29" customFormat="1">
      <c r="A85" s="25">
        <f t="shared" si="3"/>
        <v>82</v>
      </c>
      <c r="B85" s="27"/>
      <c r="C85" s="27" t="s">
        <v>170</v>
      </c>
      <c r="D85" s="27" t="s">
        <v>15</v>
      </c>
      <c r="E85" s="253" t="s">
        <v>16</v>
      </c>
      <c r="F85" s="27" t="s">
        <v>17</v>
      </c>
      <c r="G85" s="16">
        <f>VLOOKUP(C85,REKAP!$AV$11:$AW$125,2,0)</f>
        <v>4307288.239999999</v>
      </c>
      <c r="H85" s="16">
        <v>5000</v>
      </c>
      <c r="I85" s="28">
        <f t="shared" si="4"/>
        <v>4302288.239999999</v>
      </c>
      <c r="J85" s="236" t="s">
        <v>171</v>
      </c>
      <c r="K85" s="235" t="s">
        <v>19</v>
      </c>
      <c r="L85" s="27"/>
      <c r="M85" s="246"/>
      <c r="N85" s="246"/>
    </row>
    <row r="86" s="29" customFormat="1">
      <c r="A86" s="25">
        <f t="shared" si="3"/>
        <v>83</v>
      </c>
      <c r="B86" s="27"/>
      <c r="C86" s="27" t="s">
        <v>172</v>
      </c>
      <c r="D86" s="27" t="s">
        <v>15</v>
      </c>
      <c r="E86" s="253" t="s">
        <v>16</v>
      </c>
      <c r="F86" s="27" t="s">
        <v>17</v>
      </c>
      <c r="G86" s="16">
        <f>VLOOKUP(C86,REKAP!$AV$11:$AW$125,2,0)</f>
        <v>3870041.5199999996</v>
      </c>
      <c r="H86" s="16">
        <v>5000</v>
      </c>
      <c r="I86" s="28">
        <f t="shared" si="4"/>
        <v>3865041.5199999996</v>
      </c>
      <c r="J86" s="236">
        <v>7035044655</v>
      </c>
      <c r="K86" s="235" t="s">
        <v>19</v>
      </c>
      <c r="L86" s="27"/>
      <c r="M86" s="246"/>
      <c r="N86" s="246"/>
    </row>
    <row r="87" s="29" customFormat="1">
      <c r="A87" s="25">
        <f t="shared" si="3"/>
        <v>84</v>
      </c>
      <c r="B87" s="27"/>
      <c r="C87" s="27" t="s">
        <v>173</v>
      </c>
      <c r="D87" s="27" t="s">
        <v>15</v>
      </c>
      <c r="E87" s="253" t="s">
        <v>16</v>
      </c>
      <c r="F87" s="27" t="s">
        <v>17</v>
      </c>
      <c r="G87" s="16">
        <f>VLOOKUP(C87,REKAP!$AV$11:$AW$125,2,0)</f>
        <v>4307288.239999999</v>
      </c>
      <c r="H87" s="16">
        <v>5000</v>
      </c>
      <c r="I87" s="28">
        <f t="shared" si="4"/>
        <v>4302288.239999999</v>
      </c>
      <c r="J87" s="236" t="s">
        <v>174</v>
      </c>
      <c r="K87" s="235" t="s">
        <v>19</v>
      </c>
      <c r="L87" s="27"/>
      <c r="M87" s="246"/>
      <c r="N87" s="246"/>
    </row>
    <row r="88" s="29" customFormat="1">
      <c r="A88" s="25">
        <f t="shared" si="3"/>
        <v>85</v>
      </c>
      <c r="B88" s="27"/>
      <c r="C88" s="27" t="s">
        <v>175</v>
      </c>
      <c r="D88" s="27" t="s">
        <v>15</v>
      </c>
      <c r="E88" s="253" t="s">
        <v>16</v>
      </c>
      <c r="F88" s="27" t="s">
        <v>17</v>
      </c>
      <c r="G88" s="16">
        <f>VLOOKUP(C88,REKAP!$AV$11:$AW$125,2,0)</f>
        <v>4227288.239999999</v>
      </c>
      <c r="H88" s="16">
        <v>5000</v>
      </c>
      <c r="I88" s="28">
        <f t="shared" si="4"/>
        <v>4222288.239999999</v>
      </c>
      <c r="J88" s="236" t="s">
        <v>176</v>
      </c>
      <c r="K88" s="235" t="s">
        <v>19</v>
      </c>
      <c r="L88" s="27"/>
      <c r="M88" s="246"/>
      <c r="N88" s="246"/>
    </row>
    <row r="89" s="29" customFormat="1">
      <c r="A89" s="25">
        <f t="shared" si="3"/>
        <v>86</v>
      </c>
      <c r="B89" s="27"/>
      <c r="C89" s="27" t="s">
        <v>177</v>
      </c>
      <c r="D89" s="27" t="s">
        <v>15</v>
      </c>
      <c r="E89" s="253" t="s">
        <v>16</v>
      </c>
      <c r="F89" s="27" t="s">
        <v>17</v>
      </c>
      <c r="G89" s="16">
        <f>VLOOKUP(C89,REKAP!$AV$11:$AW$125,2,0)</f>
        <v>4307288.239999999</v>
      </c>
      <c r="H89" s="16">
        <v>5000</v>
      </c>
      <c r="I89" s="28">
        <f t="shared" si="4"/>
        <v>4302288.239999999</v>
      </c>
      <c r="J89" s="236" t="s">
        <v>178</v>
      </c>
      <c r="K89" s="235" t="s">
        <v>19</v>
      </c>
      <c r="L89" s="27"/>
      <c r="M89" s="246"/>
      <c r="N89" s="246"/>
    </row>
    <row r="90" s="29" customFormat="1">
      <c r="A90" s="25">
        <f t="shared" si="3"/>
        <v>87</v>
      </c>
      <c r="B90" s="27"/>
      <c r="C90" s="27" t="s">
        <v>179</v>
      </c>
      <c r="D90" s="25" t="s">
        <v>15</v>
      </c>
      <c r="E90" s="24" t="s">
        <v>16</v>
      </c>
      <c r="F90" s="25" t="s">
        <v>17</v>
      </c>
      <c r="G90" s="16">
        <f>VLOOKUP(C90,REKAP!$AV$11:$AW$125,2,0)</f>
        <v>4307288.239999999</v>
      </c>
      <c r="H90" s="16">
        <v>5000</v>
      </c>
      <c r="I90" s="28">
        <f t="shared" si="4"/>
        <v>4302288.239999999</v>
      </c>
      <c r="J90" s="236">
        <v>7035036466</v>
      </c>
      <c r="K90" s="235" t="s">
        <v>19</v>
      </c>
      <c r="L90" s="27"/>
      <c r="M90" s="20"/>
      <c r="N90" s="246"/>
    </row>
    <row r="91" s="29" customFormat="1">
      <c r="A91" s="25">
        <f t="shared" si="3"/>
        <v>88</v>
      </c>
      <c r="B91" s="27"/>
      <c r="C91" s="27" t="s">
        <v>180</v>
      </c>
      <c r="D91" s="27" t="s">
        <v>15</v>
      </c>
      <c r="E91" s="253" t="s">
        <v>16</v>
      </c>
      <c r="F91" s="27" t="s">
        <v>17</v>
      </c>
      <c r="G91" s="16">
        <f>VLOOKUP(C91,REKAP!$AV$11:$AW$125,2,0)</f>
        <v>4307288.239999999</v>
      </c>
      <c r="H91" s="16">
        <v>5000</v>
      </c>
      <c r="I91" s="28">
        <f ref="I91:I96" t="shared" si="5">+G91-H91</f>
        <v>4302288.239999999</v>
      </c>
      <c r="J91" s="236" t="s">
        <v>181</v>
      </c>
      <c r="K91" s="235" t="s">
        <v>19</v>
      </c>
      <c r="L91" s="27"/>
      <c r="M91" s="246"/>
      <c r="N91" s="246"/>
    </row>
    <row r="92" s="29" customFormat="1">
      <c r="A92" s="25">
        <f t="shared" si="3"/>
        <v>89</v>
      </c>
      <c r="B92" s="27"/>
      <c r="C92" s="263" t="s">
        <v>182</v>
      </c>
      <c r="D92" s="27" t="s">
        <v>15</v>
      </c>
      <c r="E92" s="253" t="s">
        <v>16</v>
      </c>
      <c r="F92" s="27" t="s">
        <v>17</v>
      </c>
      <c r="G92" s="16">
        <f>VLOOKUP(C92,REKAP!$AV$11:$AW$125,2,0)</f>
        <v>3702288.2399999993</v>
      </c>
      <c r="H92" s="16">
        <v>5000</v>
      </c>
      <c r="I92" s="28">
        <f>+G92-H92</f>
        <v>3697288.2399999993</v>
      </c>
      <c r="J92" s="236">
        <v>7425230671</v>
      </c>
      <c r="K92" s="235" t="s">
        <v>19</v>
      </c>
      <c r="L92" s="27"/>
      <c r="M92" s="246"/>
      <c r="N92" s="246"/>
    </row>
    <row r="93" s="29" customFormat="1">
      <c r="A93" s="25">
        <f t="shared" si="3"/>
        <v>90</v>
      </c>
      <c r="B93" s="27"/>
      <c r="C93" s="27" t="s">
        <v>183</v>
      </c>
      <c r="D93" s="27" t="s">
        <v>15</v>
      </c>
      <c r="E93" s="253" t="s">
        <v>16</v>
      </c>
      <c r="F93" s="27" t="s">
        <v>17</v>
      </c>
      <c r="G93" s="16">
        <f>VLOOKUP(C93,REKAP!$AV$11:$AW$125,2,0)</f>
        <v>4127329.7600000007</v>
      </c>
      <c r="H93" s="16">
        <v>5000</v>
      </c>
      <c r="I93" s="28">
        <f t="shared" si="5"/>
        <v>4122329.7600000007</v>
      </c>
      <c r="J93" s="236" t="s">
        <v>184</v>
      </c>
      <c r="K93" s="235" t="s">
        <v>19</v>
      </c>
      <c r="L93" s="27"/>
      <c r="M93" s="246"/>
      <c r="N93" s="246"/>
    </row>
    <row r="94" s="29" customFormat="1">
      <c r="A94" s="25">
        <f t="shared" si="3"/>
        <v>91</v>
      </c>
      <c r="B94" s="27"/>
      <c r="C94" s="27" t="s">
        <v>185</v>
      </c>
      <c r="D94" s="27" t="s">
        <v>15</v>
      </c>
      <c r="E94" s="253" t="s">
        <v>16</v>
      </c>
      <c r="F94" s="27" t="s">
        <v>17</v>
      </c>
      <c r="G94" s="16">
        <f>VLOOKUP(C94,REKAP!$AV$11:$AW$125,2,0)</f>
        <v>4157288.2399999993</v>
      </c>
      <c r="H94" s="16">
        <v>5000</v>
      </c>
      <c r="I94" s="28">
        <f>+G94-H94</f>
        <v>4152288.2399999993</v>
      </c>
      <c r="J94" s="236">
        <v>6880630871</v>
      </c>
      <c r="K94" s="235" t="s">
        <v>19</v>
      </c>
      <c r="L94" s="27"/>
      <c r="M94" s="246"/>
      <c r="N94" s="246"/>
    </row>
    <row r="95" s="29" customFormat="1">
      <c r="A95" s="25">
        <f t="shared" si="3"/>
        <v>92</v>
      </c>
      <c r="B95" s="27"/>
      <c r="C95" s="27" t="s">
        <v>186</v>
      </c>
      <c r="D95" s="27" t="s">
        <v>15</v>
      </c>
      <c r="E95" s="253" t="s">
        <v>16</v>
      </c>
      <c r="F95" s="27" t="s">
        <v>17</v>
      </c>
      <c r="G95" s="16">
        <f>VLOOKUP(C95,REKAP!$AV$11:$AW$125,2,0)</f>
        <v>348201.68000000005</v>
      </c>
      <c r="H95" s="16">
        <v>5000</v>
      </c>
      <c r="I95" s="28">
        <f>+G95-H95</f>
        <v>343201.68000000005</v>
      </c>
      <c r="J95" s="236" t="s">
        <v>187</v>
      </c>
      <c r="K95" s="235" t="s">
        <v>19</v>
      </c>
      <c r="L95" s="27"/>
      <c r="M95" s="246"/>
      <c r="N95" s="246"/>
    </row>
    <row r="96" s="29" customFormat="1">
      <c r="A96" s="25">
        <f t="shared" si="3"/>
        <v>93</v>
      </c>
      <c r="B96" s="27"/>
      <c r="C96" s="27" t="s">
        <v>188</v>
      </c>
      <c r="D96" s="27" t="s">
        <v>15</v>
      </c>
      <c r="E96" s="253" t="s">
        <v>16</v>
      </c>
      <c r="F96" s="27" t="s">
        <v>17</v>
      </c>
      <c r="G96" s="16">
        <f>VLOOKUP(C96,REKAP!$AV$11:$AW$125,2,0)</f>
        <v>348201.68000000005</v>
      </c>
      <c r="H96" s="16">
        <v>5000</v>
      </c>
      <c r="I96" s="28">
        <f t="shared" si="5"/>
        <v>343201.68000000005</v>
      </c>
      <c r="J96" s="236">
        <v>6880662501</v>
      </c>
      <c r="K96" s="235" t="s">
        <v>19</v>
      </c>
      <c r="L96" s="27"/>
      <c r="M96" s="246"/>
      <c r="N96" s="246"/>
    </row>
    <row r="97" s="29" customFormat="1">
      <c r="A97" s="25">
        <f t="shared" si="3"/>
        <v>94</v>
      </c>
      <c r="B97" s="27"/>
      <c r="C97" s="27" t="s">
        <v>189</v>
      </c>
      <c r="D97" s="27" t="s">
        <v>15</v>
      </c>
      <c r="E97" s="253" t="s">
        <v>16</v>
      </c>
      <c r="F97" s="27" t="s">
        <v>17</v>
      </c>
      <c r="G97" s="16">
        <f>VLOOKUP(C97,REKAP!$AV$11:$AW$125,2,0)</f>
        <v>3657288.2399999993</v>
      </c>
      <c r="H97" s="16">
        <v>5000</v>
      </c>
      <c r="I97" s="28">
        <f t="shared" si="4"/>
        <v>3652288.2399999993</v>
      </c>
      <c r="J97" s="236">
        <v>4870539156</v>
      </c>
      <c r="K97" s="235" t="s">
        <v>19</v>
      </c>
      <c r="L97" s="27"/>
      <c r="M97" s="246"/>
      <c r="N97" s="246"/>
    </row>
    <row r="98" s="23" customFormat="1">
      <c r="A98" s="148"/>
      <c r="B98" s="148"/>
      <c r="C98" s="148"/>
      <c r="D98" s="148"/>
      <c r="E98" s="149"/>
      <c r="F98" s="148"/>
      <c r="G98" s="150">
        <f>SUM(G4:G97)</f>
        <v>382687596.00000036</v>
      </c>
      <c r="H98" s="150">
        <f>SUM(H4:H97)</f>
        <v>470000</v>
      </c>
      <c r="I98" s="150">
        <f>SUM(I4:I97)</f>
        <v>382217596.00000036</v>
      </c>
      <c r="J98" s="240"/>
      <c r="K98" s="240"/>
      <c r="L98" s="148"/>
      <c r="M98" s="20"/>
      <c r="N98" s="20"/>
    </row>
    <row r="99" s="29" customFormat="1">
      <c r="A99" s="25">
        <f>1</f>
        <v>1</v>
      </c>
      <c r="B99" s="27"/>
      <c r="C99" s="27" t="s">
        <v>190</v>
      </c>
      <c r="D99" s="27" t="s">
        <v>15</v>
      </c>
      <c r="E99" s="253" t="s">
        <v>16</v>
      </c>
      <c r="F99" s="27" t="s">
        <v>17</v>
      </c>
      <c r="G99" s="16">
        <f>VLOOKUP(C99,REKAP!$AV$11:$AW$125,2,0)</f>
        <v>3807288.2399999993</v>
      </c>
      <c r="H99" s="28">
        <v>6500</v>
      </c>
      <c r="I99" s="273">
        <f ref="I99:I104" t="shared" si="8">+G99-H99</f>
        <v>3800788.2399999993</v>
      </c>
      <c r="J99" s="274" t="s">
        <v>191</v>
      </c>
      <c r="K99" s="235" t="s">
        <v>192</v>
      </c>
      <c r="L99" s="27"/>
      <c r="M99" s="246"/>
      <c r="N99" s="246"/>
    </row>
    <row r="100" s="29" customFormat="1">
      <c r="A100" s="25">
        <f>+A99+1</f>
        <v>2</v>
      </c>
      <c r="B100" s="27"/>
      <c r="C100" s="27" t="s">
        <v>193</v>
      </c>
      <c r="D100" s="27" t="s">
        <v>15</v>
      </c>
      <c r="E100" s="253" t="s">
        <v>16</v>
      </c>
      <c r="F100" s="27" t="s">
        <v>17</v>
      </c>
      <c r="G100" s="16">
        <f>VLOOKUP(C100,REKAP!$AV$11:$AW$125,2,0)</f>
        <v>4120041.5199999996</v>
      </c>
      <c r="H100" s="28">
        <v>6500</v>
      </c>
      <c r="I100" s="273">
        <f t="shared" si="8"/>
        <v>4113541.5199999996</v>
      </c>
      <c r="J100" s="274" t="s">
        <v>194</v>
      </c>
      <c r="K100" s="235" t="s">
        <v>195</v>
      </c>
      <c r="L100" s="27"/>
      <c r="M100" s="20"/>
      <c r="N100" s="246"/>
    </row>
    <row r="101" s="29" customFormat="1">
      <c r="A101" s="25">
        <f ref="A101:A104" t="shared" si="9">+A100+1</f>
        <v>3</v>
      </c>
      <c r="B101" s="27"/>
      <c r="C101" s="27" t="s">
        <v>196</v>
      </c>
      <c r="D101" s="27" t="s">
        <v>15</v>
      </c>
      <c r="E101" s="253" t="s">
        <v>16</v>
      </c>
      <c r="F101" s="27" t="s">
        <v>17</v>
      </c>
      <c r="G101" s="16">
        <f>VLOOKUP(C101,REKAP!$AV$11:$AW$125,2,0)</f>
        <v>2907495.8400000003</v>
      </c>
      <c r="H101" s="28">
        <v>6500</v>
      </c>
      <c r="I101" s="273">
        <f t="shared" si="8"/>
        <v>2900995.8400000003</v>
      </c>
      <c r="J101" s="274" t="s">
        <v>197</v>
      </c>
      <c r="K101" s="235" t="s">
        <v>192</v>
      </c>
      <c r="L101" s="27"/>
      <c r="M101" s="20"/>
      <c r="N101" s="246"/>
    </row>
    <row r="102" s="29" customFormat="1">
      <c r="A102" s="25">
        <f t="shared" si="9"/>
        <v>4</v>
      </c>
      <c r="B102" s="27"/>
      <c r="C102" s="27" t="s">
        <v>198</v>
      </c>
      <c r="D102" s="27" t="s">
        <v>15</v>
      </c>
      <c r="E102" s="253" t="s">
        <v>16</v>
      </c>
      <c r="F102" s="27" t="s">
        <v>17</v>
      </c>
      <c r="G102" s="16">
        <f>VLOOKUP(C102,REKAP!$AV$11:$AW$125,2,0)</f>
        <v>348201.68000000005</v>
      </c>
      <c r="H102" s="28">
        <v>6500</v>
      </c>
      <c r="I102" s="273">
        <f t="shared" si="8"/>
        <v>341701.68000000005</v>
      </c>
      <c r="J102" s="274" t="s">
        <v>199</v>
      </c>
      <c r="K102" s="235" t="s">
        <v>192</v>
      </c>
      <c r="L102" s="27"/>
      <c r="M102" s="20"/>
      <c r="N102" s="246"/>
    </row>
    <row r="103" s="29" customFormat="1">
      <c r="A103" s="25">
        <f>+A102+1</f>
        <v>5</v>
      </c>
      <c r="B103" s="27"/>
      <c r="C103" s="27" t="s">
        <v>200</v>
      </c>
      <c r="D103" s="27" t="s">
        <v>15</v>
      </c>
      <c r="E103" s="253" t="s">
        <v>16</v>
      </c>
      <c r="F103" s="27" t="s">
        <v>17</v>
      </c>
      <c r="G103" s="16">
        <f>VLOOKUP(C103,REKAP!$AV$11:$AW$125,2,0)</f>
        <v>348201.68000000005</v>
      </c>
      <c r="H103" s="28">
        <v>6500</v>
      </c>
      <c r="I103" s="273">
        <f t="shared" si="8"/>
        <v>341701.68000000005</v>
      </c>
      <c r="J103" s="274" t="s">
        <v>201</v>
      </c>
      <c r="K103" s="235" t="s">
        <v>202</v>
      </c>
      <c r="L103" s="27"/>
      <c r="M103" s="246"/>
      <c r="N103" s="246"/>
    </row>
    <row r="104" s="29" customFormat="1">
      <c r="A104" s="25">
        <f t="shared" si="9"/>
        <v>6</v>
      </c>
      <c r="B104" s="27"/>
      <c r="C104" s="27" t="s">
        <v>203</v>
      </c>
      <c r="D104" s="27" t="s">
        <v>15</v>
      </c>
      <c r="E104" s="253" t="s">
        <v>16</v>
      </c>
      <c r="F104" s="27" t="s">
        <v>17</v>
      </c>
      <c r="G104" s="16">
        <f>VLOOKUP(C104,REKAP!$AV$11:$AW$125,2,0)</f>
        <v>3447371.2800000003</v>
      </c>
      <c r="H104" s="28">
        <v>6500</v>
      </c>
      <c r="I104" s="273">
        <f t="shared" si="8"/>
        <v>3440871.2800000003</v>
      </c>
      <c r="J104" s="274" t="s">
        <v>204</v>
      </c>
      <c r="K104" s="235" t="s">
        <v>205</v>
      </c>
      <c r="L104" s="27"/>
      <c r="M104" s="20"/>
      <c r="N104" s="246"/>
    </row>
    <row r="105" s="23" customFormat="1">
      <c r="A105" s="148"/>
      <c r="B105" s="148"/>
      <c r="C105" s="148"/>
      <c r="D105" s="148"/>
      <c r="E105" s="149"/>
      <c r="F105" s="148"/>
      <c r="G105" s="151">
        <f>SUM(G99:G104)</f>
        <v>14978600.239999998</v>
      </c>
      <c r="H105" s="151">
        <f>SUM(H26:H104)</f>
        <v>869000</v>
      </c>
      <c r="I105" s="151">
        <f>SUM(I99:I104)</f>
        <v>14939600.239999998</v>
      </c>
      <c r="J105" s="240"/>
      <c r="K105" s="240"/>
      <c r="L105" s="148"/>
      <c r="M105" s="20"/>
      <c r="N105" s="20"/>
    </row>
    <row r="106" s="29" customFormat="1">
      <c r="A106" s="25">
        <v>1</v>
      </c>
      <c r="B106" s="27"/>
      <c r="C106" s="27" t="s">
        <v>206</v>
      </c>
      <c r="D106" s="27" t="s">
        <v>15</v>
      </c>
      <c r="E106" s="253" t="s">
        <v>16</v>
      </c>
      <c r="F106" s="27" t="s">
        <v>17</v>
      </c>
      <c r="G106" s="16">
        <f>VLOOKUP(C106,REKAP!$AV$11:$AW$125,2,0)</f>
        <v>348201.68000000005</v>
      </c>
      <c r="H106" s="28"/>
      <c r="I106" s="28">
        <f>+G106-H106</f>
        <v>348201.68000000005</v>
      </c>
      <c r="J106" s="236"/>
      <c r="K106" s="235"/>
      <c r="L106" s="27"/>
      <c r="M106" s="246"/>
      <c r="N106" s="246"/>
    </row>
    <row r="107" s="23" customFormat="1">
      <c r="A107" s="148"/>
      <c r="B107" s="148"/>
      <c r="C107" s="148"/>
      <c r="D107" s="148"/>
      <c r="E107" s="149"/>
      <c r="F107" s="148"/>
      <c r="G107" s="151">
        <f>SUM(G106:G106)</f>
        <v>348201.68000000005</v>
      </c>
      <c r="H107" s="151">
        <f>SUM(H106:H106)</f>
        <v>0</v>
      </c>
      <c r="I107" s="151">
        <f>SUM(I106:I106)</f>
        <v>348201.68000000005</v>
      </c>
      <c r="J107" s="240"/>
      <c r="K107" s="240"/>
      <c r="L107" s="148"/>
      <c r="M107" s="20"/>
      <c r="N107" s="20"/>
    </row>
    <row r="108" s="23" customFormat="1">
      <c r="A108" s="148"/>
      <c r="B108" s="148"/>
      <c r="C108" s="148"/>
      <c r="D108" s="148"/>
      <c r="E108" s="149"/>
      <c r="F108" s="148"/>
      <c r="G108" s="151">
        <f>SUM(G105,G98,G107)</f>
        <v>398014397.9200004</v>
      </c>
      <c r="H108" s="151">
        <f>SUM(H105,H98,H107)</f>
        <v>1339000</v>
      </c>
      <c r="I108" s="151">
        <f>SUM(I105,I98,I107)</f>
        <v>397505397.9200004</v>
      </c>
      <c r="J108" s="240"/>
      <c r="K108" s="240"/>
      <c r="L108" s="148"/>
    </row>
    <row r="109" s="23" customFormat="1">
      <c r="E109" s="22"/>
      <c r="G109" s="15"/>
      <c r="H109" s="15"/>
      <c r="I109" s="15"/>
      <c r="J109" s="241"/>
      <c r="K109" s="242"/>
    </row>
    <row r="110" s="23" customFormat="1">
      <c r="D110" s="111" t="s">
        <v>10</v>
      </c>
      <c r="E110" s="22" t="s">
        <v>207</v>
      </c>
      <c r="F110" s="111" t="s">
        <v>208</v>
      </c>
      <c r="G110" s="15"/>
      <c r="H110" s="15"/>
      <c r="I110" s="15"/>
      <c r="J110" s="242"/>
      <c r="K110" s="242"/>
    </row>
    <row r="111" ht="15.75" s="23" customFormat="1">
      <c r="C111" s="23" t="s">
        <v>209</v>
      </c>
      <c r="D111" s="136">
        <f>SUM(G105)</f>
        <v>14978600.239999998</v>
      </c>
      <c r="E111" s="136">
        <f>SUM(H105)</f>
        <v>869000</v>
      </c>
      <c r="F111" s="136">
        <f>SUM(I105)</f>
        <v>14939600.239999998</v>
      </c>
      <c r="G111" s="15"/>
      <c r="H111" s="15"/>
      <c r="I111" s="15"/>
      <c r="J111" s="242"/>
      <c r="K111" s="242"/>
    </row>
    <row r="112" ht="15.75" s="23" customFormat="1">
      <c r="C112" s="23" t="s">
        <v>19</v>
      </c>
      <c r="D112" s="136">
        <f>+G98</f>
        <v>382687596.00000036</v>
      </c>
      <c r="E112" s="136">
        <f>+H98</f>
        <v>470000</v>
      </c>
      <c r="F112" s="136">
        <f>+I98</f>
        <v>382217596.00000036</v>
      </c>
      <c r="G112" s="15"/>
      <c r="H112" s="15"/>
      <c r="I112" s="15"/>
      <c r="J112" s="242"/>
      <c r="K112" s="242"/>
    </row>
    <row r="113" ht="15.75" s="23" customFormat="1">
      <c r="C113" s="23" t="s">
        <v>210</v>
      </c>
      <c r="D113" s="136">
        <f>+G107</f>
        <v>348201.68000000005</v>
      </c>
      <c r="E113" s="136">
        <f>+H107</f>
        <v>0</v>
      </c>
      <c r="F113" s="136">
        <f>+I107</f>
        <v>348201.68000000005</v>
      </c>
      <c r="G113" s="15"/>
      <c r="H113" s="15"/>
      <c r="I113" s="15"/>
      <c r="J113" s="242"/>
      <c r="K113" s="242"/>
    </row>
    <row r="114" ht="15.75" s="23" customFormat="1">
      <c r="C114" s="23" t="s">
        <v>211</v>
      </c>
      <c r="D114" s="136">
        <f>SUM(D111:D113)</f>
        <v>398014397.9200004</v>
      </c>
      <c r="E114" s="136">
        <f>SUM(E111:E113)</f>
        <v>1339000</v>
      </c>
      <c r="F114" s="136">
        <f>SUM(F111:F113)</f>
        <v>397505397.9200004</v>
      </c>
      <c r="G114" s="15"/>
      <c r="H114" s="15"/>
      <c r="I114" s="15"/>
      <c r="J114" s="242"/>
      <c r="K114" s="242"/>
    </row>
    <row r="115" ht="15.75" s="23" customFormat="1">
      <c r="D115" s="136"/>
      <c r="E115" s="136"/>
      <c r="F115" s="136"/>
      <c r="G115" s="15"/>
      <c r="H115" s="15"/>
      <c r="I115" s="15"/>
      <c r="J115" s="242"/>
      <c r="K115" s="242"/>
    </row>
    <row r="116" s="23" customFormat="1">
      <c r="D116" s="20"/>
      <c r="E116" s="22"/>
      <c r="G116" s="15"/>
      <c r="H116" s="15"/>
      <c r="I116" s="15"/>
      <c r="J116" s="242"/>
      <c r="K116" s="242"/>
    </row>
    <row r="117" s="23" customFormat="1">
      <c r="D117" s="20"/>
      <c r="E117" s="22"/>
      <c r="G117" s="15"/>
      <c r="H117" s="15"/>
      <c r="I117" s="15"/>
      <c r="J117" s="242"/>
      <c r="K117" s="242"/>
    </row>
  </sheetData>
  <conditionalFormatting sqref="J1:J1048576">
    <cfRule type="duplicateValues" dxfId="1" priority="1"/>
  </conditionalFormatting>
  <printOptions horizontalCentered="1"/>
  <pageMargins left="0" right="0" top="0" bottom="0" header="0.3" footer="0.3"/>
  <pageSetup paperSize="9" scale="53" fitToHeight="0" orientation="portrait" horizontalDpi="240" verticalDpi="144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5">
    <tabColor rgb="FF7030A0"/>
  </sheetPr>
  <dimension ref="A1:P25"/>
  <sheetViews>
    <sheetView topLeftCell="C1" zoomScale="85" zoomScaleNormal="85" workbookViewId="0">
      <selection activeCell="H31" sqref="H31"/>
    </sheetView>
  </sheetViews>
  <sheetFormatPr defaultRowHeight="15" x14ac:dyDescent="0.25"/>
  <cols>
    <col min="1" max="1" width="22.85546875" customWidth="1" style="106"/>
    <col min="2" max="2" width="16.85546875" customWidth="1"/>
    <col min="3" max="3" bestFit="1" width="12.5703125" customWidth="1"/>
    <col min="4" max="5" bestFit="1" width="14.28515625" customWidth="1"/>
    <col min="6" max="6" width="12" customWidth="1"/>
    <col min="7" max="7" width="12.28515625" customWidth="1"/>
    <col min="8" max="8" width="10.28515625" customWidth="1"/>
    <col min="9" max="10" width="14.28515625" customWidth="1" style="128"/>
    <col min="11" max="11" bestFit="1" width="26.85546875" customWidth="1"/>
    <col min="12" max="12" bestFit="1" width="14.28515625" customWidth="1"/>
    <col min="13" max="13" bestFit="1" width="15.42578125" customWidth="1"/>
    <col min="14" max="14" bestFit="1" width="14.42578125" customWidth="1" style="15"/>
    <col min="15" max="16" bestFit="1" width="14.28515625" customWidth="1"/>
  </cols>
  <sheetData>
    <row r="1">
      <c r="A1" s="133" t="s">
        <v>486</v>
      </c>
      <c r="G1" s="330" t="s">
        <v>1</v>
      </c>
    </row>
    <row r="2">
      <c r="A2" s="133" t="s">
        <v>297</v>
      </c>
    </row>
    <row r="3" s="142" customFormat="1">
      <c r="A3" s="140"/>
      <c r="B3" s="140" t="s">
        <v>425</v>
      </c>
      <c r="C3" s="140" t="s">
        <v>423</v>
      </c>
      <c r="D3" s="140" t="s">
        <v>295</v>
      </c>
      <c r="E3" s="140" t="s">
        <v>487</v>
      </c>
      <c r="F3" s="140" t="s">
        <v>488</v>
      </c>
      <c r="G3" s="140" t="s">
        <v>489</v>
      </c>
      <c r="H3" s="140" t="s">
        <v>296</v>
      </c>
      <c r="I3" s="141" t="s">
        <v>490</v>
      </c>
      <c r="J3" s="141" t="s">
        <v>491</v>
      </c>
      <c r="K3" s="141" t="s">
        <v>492</v>
      </c>
      <c r="N3" s="143"/>
    </row>
    <row r="4">
      <c r="A4" s="117" t="s">
        <v>270</v>
      </c>
      <c r="B4" s="28">
        <f>437519529+179958</f>
        <v>437699487</v>
      </c>
      <c r="C4" s="28">
        <f>+REKAP!S131+REKAP!AF131</f>
        <v>57080445.72799997</v>
      </c>
      <c r="D4" s="28">
        <v>28043524</v>
      </c>
      <c r="E4" s="28">
        <v>28370162</v>
      </c>
      <c r="F4" s="16">
        <f>SUM(REKAP!AK116:AQ116)</f>
        <v>6323000</v>
      </c>
      <c r="G4" s="16">
        <f>+E4*10%</f>
        <v>2837016.2</v>
      </c>
      <c r="H4" s="16"/>
      <c r="I4" s="16">
        <f>REKAP!$AW$116</f>
        <v>315045414.80000025</v>
      </c>
      <c r="J4" s="28">
        <f>+B4-C4-D4-E4-F4-G4-H4-I4</f>
        <v>-75.72800022363663</v>
      </c>
      <c r="K4" s="121"/>
      <c r="M4" s="15"/>
      <c r="O4" s="15"/>
      <c r="P4" s="15"/>
    </row>
    <row r="5">
      <c r="A5" s="117" t="s">
        <v>264</v>
      </c>
      <c r="B5" s="28">
        <f>117758850+200000+179958</f>
        <v>118138808</v>
      </c>
      <c r="C5" s="28">
        <f>+(4498962*19)*10.89%+REKAP!AF130</f>
        <v>12728013.3942</v>
      </c>
      <c r="D5" s="28">
        <f>4498961/12*19</f>
        <v>7123354.916666667</v>
      </c>
      <c r="E5" s="28">
        <v>7837500</v>
      </c>
      <c r="F5" s="16">
        <f>SUM(REKAP!AK31:AQ32)</f>
        <v>1490000</v>
      </c>
      <c r="G5" s="16">
        <f>+E5*10%</f>
        <v>783750</v>
      </c>
      <c r="H5" s="16">
        <f>2375000+2375000+2375000+2375000</f>
        <v>9500000</v>
      </c>
      <c r="I5" s="16">
        <f>+REKAP!AS32</f>
        <v>76646746.87999995</v>
      </c>
      <c r="J5" s="16">
        <f>+B5-C5-D5-E5-F5-G5-H5-I5</f>
        <v>2029442.8091333807</v>
      </c>
      <c r="K5" s="121"/>
      <c r="L5" s="15"/>
      <c r="M5" s="15"/>
      <c r="O5" s="15"/>
      <c r="P5" s="15"/>
    </row>
    <row r="6">
      <c r="A6" s="117" t="s">
        <v>409</v>
      </c>
      <c r="B6" s="28">
        <v>6184318</v>
      </c>
      <c r="C6" s="28">
        <f>+REKAP!AF133+REKAP!S133</f>
        <v>713505.5716</v>
      </c>
      <c r="D6" s="28">
        <v>399320</v>
      </c>
      <c r="E6" s="28">
        <v>428475</v>
      </c>
      <c r="F6" s="16">
        <f>SUM(REKAP!AK125:AQ125)</f>
        <v>0</v>
      </c>
      <c r="G6" s="16">
        <f>+E6*10%</f>
        <v>42847.5</v>
      </c>
      <c r="H6" s="16"/>
      <c r="I6" s="16">
        <f>+REKAP!AS125</f>
        <v>4600170.239999999</v>
      </c>
      <c r="J6" s="16">
        <f>+B6-C6-D6-E6-F6-G6-I6-I62</f>
        <v>-0.311599999666214</v>
      </c>
      <c r="K6" s="117"/>
      <c r="M6" s="15"/>
      <c r="O6" s="15"/>
      <c r="P6" s="15"/>
    </row>
    <row r="7" hidden="1" s="128" customFormat="1">
      <c r="A7" s="117" t="s">
        <v>408</v>
      </c>
      <c r="B7" s="28"/>
      <c r="C7" s="28"/>
      <c r="D7" s="28"/>
      <c r="E7" s="28"/>
      <c r="F7" s="16"/>
      <c r="G7" s="16">
        <f>+E7*10%</f>
        <v>0</v>
      </c>
      <c r="H7" s="16"/>
      <c r="I7" s="16"/>
      <c r="J7" s="28">
        <f>+B7-C7-D7-E7-F7-G7-H7-I7</f>
        <v>0</v>
      </c>
      <c r="K7" s="121"/>
      <c r="M7" s="15"/>
      <c r="N7" s="15"/>
      <c r="O7" s="15"/>
      <c r="P7" s="15"/>
    </row>
    <row r="8">
      <c r="A8" s="117" t="s">
        <v>493</v>
      </c>
      <c r="B8" s="28">
        <f>5133462+30000</f>
        <v>5163462</v>
      </c>
      <c r="C8" s="28">
        <f>+REKAP!S132+REKAP!AF132</f>
        <v>304652.18340000004</v>
      </c>
      <c r="D8" s="28">
        <v>345511</v>
      </c>
      <c r="E8" s="28">
        <v>355667</v>
      </c>
      <c r="F8" s="16">
        <f>+REKAP!AP124+REKAP!AO124+REKAP!AN124+REKAP!AM124+REKAP!AL124+REKAP!AK124</f>
        <v>0</v>
      </c>
      <c r="G8" s="16">
        <f>+E8*10%</f>
        <v>35566.700000000004</v>
      </c>
      <c r="H8" s="16"/>
      <c r="I8" s="16">
        <f>+REKAP!AS124</f>
        <v>4122066</v>
      </c>
      <c r="J8" s="16">
        <f>+B8-C8-D8-E8-F8-G8-H8-I8</f>
        <v>-0.8834000006318092</v>
      </c>
      <c r="K8" s="121"/>
      <c r="M8" s="15"/>
      <c r="O8" s="15"/>
      <c r="P8" s="15"/>
    </row>
    <row r="9">
      <c r="A9" s="117"/>
      <c r="B9" s="118">
        <f>SUM(B4:B8)</f>
        <v>567186075</v>
      </c>
      <c r="C9" s="118">
        <f ref="C9:J9" t="shared" si="0">SUM(C4:C8)</f>
        <v>70826616.87719998</v>
      </c>
      <c r="D9" s="118">
        <f t="shared" si="0"/>
        <v>35911709.916666664</v>
      </c>
      <c r="E9" s="118">
        <f t="shared" si="0"/>
        <v>36991804</v>
      </c>
      <c r="F9" s="118">
        <f t="shared" si="0"/>
        <v>7813000</v>
      </c>
      <c r="G9" s="118">
        <f t="shared" si="0"/>
        <v>3699180.4000000004</v>
      </c>
      <c r="H9" s="118">
        <f t="shared" si="0"/>
        <v>9500000</v>
      </c>
      <c r="I9" s="118">
        <f t="shared" si="0"/>
        <v>400414397.9200002</v>
      </c>
      <c r="J9" s="118">
        <f t="shared" si="0"/>
        <v>2029365.8861331567</v>
      </c>
      <c r="K9" s="16"/>
      <c r="M9" s="15"/>
      <c r="O9" s="15"/>
      <c r="P9" s="15"/>
    </row>
    <row r="10" ht="27.75" customHeight="1">
      <c r="A10" s="119" t="s">
        <v>494</v>
      </c>
      <c r="B10" s="120">
        <f>+B9-C9-D9-E9-G9-F9-H9</f>
        <v>402443763.80613333</v>
      </c>
      <c r="C10" s="15"/>
      <c r="D10" s="15"/>
      <c r="E10" s="15"/>
      <c r="F10" s="15"/>
      <c r="G10" s="15"/>
      <c r="H10" s="15"/>
      <c r="I10" s="15"/>
      <c r="J10" s="15"/>
    </row>
    <row r="11">
      <c r="A11" s="117" t="s">
        <v>490</v>
      </c>
      <c r="B11" s="16">
        <f>+REKAP!AW128</f>
        <v>400414397.9200002</v>
      </c>
      <c r="C11" s="15">
        <f>+REKAP!AF131+REKAP!S131</f>
        <v>57080445.72799997</v>
      </c>
      <c r="D11" s="15"/>
      <c r="E11" s="15"/>
      <c r="F11" s="15"/>
      <c r="G11" s="15"/>
      <c r="H11" s="15"/>
      <c r="I11" s="15"/>
      <c r="J11" s="15"/>
      <c r="O11" s="15"/>
    </row>
    <row r="12">
      <c r="A12" s="117" t="s">
        <v>491</v>
      </c>
      <c r="B12" s="121">
        <f>+B10-B11</f>
        <v>2029365.8861331344</v>
      </c>
      <c r="C12" s="112">
        <f>+REKAP!S130+REKAP!AF130</f>
        <v>12728011.535999998</v>
      </c>
      <c r="H12" s="15"/>
      <c r="I12" s="15"/>
      <c r="J12" s="15"/>
      <c r="L12" s="15"/>
      <c r="M12" s="15"/>
    </row>
    <row r="13">
      <c r="C13" s="15">
        <f>+REKAP!AF133+REKAP!S133</f>
        <v>713505.5716</v>
      </c>
      <c r="H13" s="15"/>
      <c r="I13" s="15"/>
      <c r="J13" s="15"/>
      <c r="L13" s="15"/>
      <c r="M13" s="15"/>
    </row>
    <row r="14">
      <c r="B14" s="15"/>
      <c r="C14" s="112">
        <f>+REKAP!S132+REKAP!AF132</f>
        <v>304652.18340000004</v>
      </c>
      <c r="H14" s="15"/>
      <c r="I14" s="15"/>
      <c r="J14" s="15"/>
      <c r="L14" s="15"/>
      <c r="M14" s="15"/>
    </row>
    <row r="15">
      <c r="A15" s="117" t="s">
        <v>495</v>
      </c>
      <c r="B15" s="16">
        <f>+J5</f>
        <v>2029442.8091333807</v>
      </c>
      <c r="C15" s="112"/>
      <c r="D15" s="112"/>
      <c r="H15" s="15"/>
      <c r="I15" s="15"/>
      <c r="J15" s="15"/>
      <c r="L15" s="15"/>
      <c r="M15" s="15"/>
    </row>
    <row r="16">
      <c r="A16" s="117"/>
      <c r="B16" s="16"/>
      <c r="D16" s="112"/>
      <c r="E16" s="133"/>
      <c r="H16" s="15"/>
      <c r="I16" s="15"/>
      <c r="J16" s="15"/>
      <c r="L16" s="15"/>
      <c r="M16" s="15"/>
    </row>
    <row r="17">
      <c r="A17" s="117"/>
      <c r="B17" s="16"/>
      <c r="C17" s="133"/>
      <c r="E17" s="15"/>
      <c r="F17" s="133"/>
      <c r="H17" s="250"/>
      <c r="L17" s="15"/>
      <c r="M17" s="15"/>
    </row>
    <row r="18">
      <c r="A18" s="117"/>
      <c r="B18" s="16"/>
      <c r="C18" s="112"/>
      <c r="E18" s="15"/>
      <c r="F18" s="133"/>
      <c r="H18" s="250"/>
      <c r="L18" s="15"/>
      <c r="M18" s="15"/>
    </row>
    <row r="19">
      <c r="B19" s="15"/>
      <c r="E19" s="15"/>
      <c r="F19" s="133"/>
      <c r="H19" s="250"/>
      <c r="L19" s="15"/>
      <c r="M19" s="15"/>
    </row>
    <row r="20">
      <c r="E20" s="112"/>
      <c r="H20" s="250"/>
    </row>
    <row r="21">
      <c r="A21" s="133" t="s">
        <v>496</v>
      </c>
      <c r="B21" s="15">
        <f>+C9</f>
        <v>70826616.87719998</v>
      </c>
      <c r="C21" s="112"/>
      <c r="D21" s="15"/>
      <c r="E21" s="15"/>
    </row>
    <row r="22">
      <c r="A22" s="106" t="s">
        <v>497</v>
      </c>
      <c r="B22" s="15">
        <f>+REKAP!P136+REKAP!R136+REKAP!AC134+REKAP!AE134</f>
        <v>46965674.43899994</v>
      </c>
      <c r="D22" s="112"/>
    </row>
    <row r="23">
      <c r="A23" s="106" t="s">
        <v>248</v>
      </c>
      <c r="B23" s="15">
        <f>+REKAP!Q136+REKAP!AD134</f>
        <v>23860940.579999987</v>
      </c>
      <c r="C23" s="112"/>
      <c r="D23" s="112"/>
      <c r="K23" s="15"/>
      <c r="L23" s="112"/>
    </row>
    <row r="24">
      <c r="A24" s="133" t="s">
        <v>498</v>
      </c>
      <c r="B24" s="112">
        <f>SUM(B22:B23)</f>
        <v>70826615.01899993</v>
      </c>
      <c r="D24" s="112"/>
    </row>
    <row r="25">
      <c r="B25" s="112">
        <f>+B21-B24</f>
        <v>1.8582000434398651</v>
      </c>
      <c r="D25" s="112"/>
    </row>
  </sheetData>
  <printOptions horizontalCentered="1"/>
  <pageMargins left="0" right="0" top="0.75" bottom="0.75" header="0.3" footer="0.3"/>
  <pageSetup paperSize="9" scale="85" orientation="landscape" horizontalDpi="240" verticalDpi="144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7"/>
  <dimension ref="A1:G25"/>
  <sheetViews>
    <sheetView workbookViewId="0">
      <selection activeCell="G21" sqref="G21"/>
    </sheetView>
  </sheetViews>
  <sheetFormatPr defaultRowHeight="15" x14ac:dyDescent="0.25"/>
  <cols>
    <col min="2" max="2" bestFit="1" width="11.5703125" customWidth="1"/>
    <col min="3" max="3" bestFit="1" width="14.28515625" customWidth="1" style="15"/>
    <col min="4" max="4" bestFit="1" width="16.28515625" customWidth="1" style="15"/>
  </cols>
  <sheetData>
    <row r="1">
      <c r="G1" s="330" t="s">
        <v>1</v>
      </c>
    </row>
    <row r="2">
      <c r="A2" s="0" t="s">
        <v>419</v>
      </c>
    </row>
    <row r="3">
      <c r="A3" s="0" t="s">
        <v>222</v>
      </c>
    </row>
    <row r="4">
      <c r="C4" s="15" t="s">
        <v>420</v>
      </c>
      <c r="D4" s="15" t="s">
        <v>421</v>
      </c>
    </row>
    <row r="5">
      <c r="A5" s="185" t="s">
        <v>422</v>
      </c>
      <c r="B5" s="281">
        <f>4146126*85%</f>
        <v>3524207.1</v>
      </c>
      <c r="C5" s="281"/>
      <c r="D5" s="15">
        <f>4146126*85%</f>
        <v>3524207.1</v>
      </c>
    </row>
    <row r="6">
      <c r="A6" s="185" t="s">
        <v>423</v>
      </c>
      <c r="B6" s="280">
        <f>4498962*10.89%</f>
        <v>489936.96180000005</v>
      </c>
      <c r="C6" s="280"/>
      <c r="D6" s="15">
        <f>+B6*85%</f>
        <v>416446.41753000004</v>
      </c>
    </row>
    <row r="7">
      <c r="A7" s="185" t="s">
        <v>295</v>
      </c>
      <c r="B7" s="280">
        <v>345510</v>
      </c>
      <c r="C7" s="280"/>
      <c r="D7" s="15">
        <f>+B7*85%</f>
        <v>293683.5</v>
      </c>
    </row>
    <row r="8">
      <c r="A8" s="185" t="s">
        <v>296</v>
      </c>
      <c r="B8" s="284">
        <v>500000</v>
      </c>
      <c r="C8" s="284"/>
      <c r="D8" s="15">
        <f>500000*85%</f>
        <v>425000</v>
      </c>
    </row>
    <row r="9">
      <c r="A9" s="110"/>
      <c r="B9" s="282">
        <f>SUM(B5:C8)</f>
        <v>4859654.0618</v>
      </c>
      <c r="C9" s="283"/>
      <c r="D9" s="118">
        <f>SUM(D5:D8)</f>
        <v>4659337.01753</v>
      </c>
      <c r="E9" s="128"/>
      <c r="F9" s="128"/>
    </row>
    <row r="10">
      <c r="A10" s="110"/>
      <c r="B10" s="284"/>
      <c r="C10" s="284"/>
    </row>
    <row r="11">
      <c r="A11" s="110"/>
    </row>
    <row r="12" s="128" customFormat="1">
      <c r="A12" s="185" t="s">
        <v>424</v>
      </c>
      <c r="B12" s="124"/>
      <c r="C12" s="124">
        <f>+(B9*13)+REKAP!AW24+REKAP!AW25</f>
        <v>69977585.8434</v>
      </c>
      <c r="D12" s="15">
        <f>+(D9*13)+REKAP!AW24+REKAP!AW25</f>
        <v>67373464.26788999</v>
      </c>
    </row>
    <row r="13" s="128" customFormat="1">
      <c r="A13" s="128" t="s">
        <v>425</v>
      </c>
      <c r="C13" s="15">
        <f>60775000+REKAP!AS24+REKAP!AS25</f>
        <v>67577083.03999999</v>
      </c>
      <c r="D13" s="15">
        <f>60775000+REKAP!AS24+REKAP!AS25</f>
        <v>67577083.03999999</v>
      </c>
    </row>
    <row r="14" s="128" customFormat="1">
      <c r="A14" s="128" t="s">
        <v>426</v>
      </c>
      <c r="C14" s="15">
        <f>+C12-C13</f>
        <v>2400502.80340001</v>
      </c>
      <c r="D14" s="15">
        <f>+D12-D13</f>
        <v>-203618.77211000025</v>
      </c>
    </row>
    <row r="15">
      <c r="A15" s="110"/>
      <c r="B15" s="124"/>
      <c r="C15" s="124"/>
    </row>
    <row r="16">
      <c r="A16" s="110"/>
      <c r="B16" s="124"/>
      <c r="C16" s="124"/>
    </row>
    <row r="17">
      <c r="A17" s="110"/>
      <c r="B17" s="124"/>
      <c r="C17" s="124"/>
    </row>
    <row r="18">
      <c r="A18" s="185"/>
      <c r="B18" s="281"/>
      <c r="C18" s="281"/>
    </row>
    <row r="19">
      <c r="A19" s="185"/>
      <c r="B19" s="280"/>
      <c r="C19" s="280"/>
    </row>
    <row r="20">
      <c r="A20" s="185"/>
      <c r="B20" s="280"/>
      <c r="C20" s="280"/>
    </row>
    <row r="21">
      <c r="A21" s="185"/>
      <c r="B21" s="284"/>
      <c r="C21" s="284"/>
    </row>
    <row r="22">
      <c r="A22" s="110"/>
      <c r="B22" s="284"/>
      <c r="C22" s="284"/>
    </row>
    <row r="23">
      <c r="A23" s="110"/>
      <c r="B23" s="284"/>
      <c r="C23" s="284"/>
    </row>
    <row r="24">
      <c r="A24" s="110"/>
      <c r="B24" s="280"/>
      <c r="C24" s="280"/>
    </row>
    <row r="25">
      <c r="A25" s="185"/>
      <c r="B25" s="124"/>
      <c r="C25" s="124"/>
    </row>
  </sheetData>
  <mergeCells>
    <mergeCell ref="B10:C10"/>
    <mergeCell ref="B23:C23"/>
    <mergeCell ref="B24:C24"/>
    <mergeCell ref="B18:C18"/>
    <mergeCell ref="B19:C19"/>
    <mergeCell ref="B20:C20"/>
    <mergeCell ref="B21:C21"/>
    <mergeCell ref="B22:C22"/>
    <mergeCell ref="B5:C5"/>
    <mergeCell ref="B6:C6"/>
    <mergeCell ref="B7:C7"/>
    <mergeCell ref="B9:C9"/>
    <mergeCell ref="B8:C8"/>
  </mergeCells>
  <pageMargins left="0.7" right="0.7" top="0.75" bottom="0.75" header="0.3" footer="0.3"/>
  <pageSetup paperSize="9" orientation="portrait" horizontalDpi="120" verticalDpi="7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8"/>
  <dimension ref="A1:G57"/>
  <sheetViews>
    <sheetView topLeftCell="A25" workbookViewId="0">
      <selection activeCell="C57" sqref="C57"/>
    </sheetView>
  </sheetViews>
  <sheetFormatPr defaultRowHeight="12.75" x14ac:dyDescent="0.2"/>
  <cols>
    <col min="1" max="1" width="9.140625" customWidth="1" style="186"/>
    <col min="2" max="2" width="9.140625" customWidth="1" style="203"/>
    <col min="3" max="3" width="27.7109375" customWidth="1" style="186"/>
    <col min="4" max="4" width="12.85546875" customWidth="1" style="186"/>
    <col min="5" max="5" width="13.5703125" customWidth="1" style="186"/>
    <col min="6" max="16384" width="9.140625" customWidth="1" style="186"/>
  </cols>
  <sheetData>
    <row r="1">
      <c r="A1" s="285" t="s">
        <v>427</v>
      </c>
      <c r="B1" s="285"/>
      <c r="C1" s="285"/>
      <c r="D1" s="285"/>
      <c r="E1" s="285"/>
      <c r="G1" s="331" t="s">
        <v>1</v>
      </c>
    </row>
    <row r="2">
      <c r="A2" s="285" t="s">
        <v>428</v>
      </c>
      <c r="B2" s="285"/>
      <c r="C2" s="285"/>
      <c r="D2" s="285"/>
      <c r="E2" s="285"/>
    </row>
    <row r="4" ht="21" customHeight="1">
      <c r="A4" s="187" t="s">
        <v>243</v>
      </c>
      <c r="B4" s="187" t="s">
        <v>429</v>
      </c>
      <c r="C4" s="187" t="s">
        <v>244</v>
      </c>
      <c r="D4" s="187" t="s">
        <v>430</v>
      </c>
      <c r="E4" s="187" t="s">
        <v>431</v>
      </c>
    </row>
    <row r="5">
      <c r="A5" s="188">
        <v>1</v>
      </c>
      <c r="B5" s="204" t="s">
        <v>432</v>
      </c>
      <c r="C5" s="189" t="s">
        <v>280</v>
      </c>
      <c r="D5" s="190" t="s">
        <v>15</v>
      </c>
      <c r="E5" s="190" t="s">
        <v>433</v>
      </c>
    </row>
    <row r="6">
      <c r="A6" s="191">
        <f>+A5+1</f>
        <v>2</v>
      </c>
      <c r="B6" s="205" t="s">
        <v>434</v>
      </c>
      <c r="C6" s="192" t="s">
        <v>281</v>
      </c>
      <c r="D6" s="193" t="s">
        <v>15</v>
      </c>
      <c r="E6" s="193" t="s">
        <v>433</v>
      </c>
    </row>
    <row r="7">
      <c r="A7" s="191">
        <f ref="A7:A57" t="shared" si="0">+A6+1</f>
        <v>3</v>
      </c>
      <c r="B7" s="205" t="s">
        <v>435</v>
      </c>
      <c r="C7" s="192" t="s">
        <v>282</v>
      </c>
      <c r="D7" s="193" t="s">
        <v>15</v>
      </c>
      <c r="E7" s="193" t="s">
        <v>433</v>
      </c>
    </row>
    <row r="8">
      <c r="A8" s="191">
        <f t="shared" si="0"/>
        <v>4</v>
      </c>
      <c r="B8" s="205" t="s">
        <v>436</v>
      </c>
      <c r="C8" s="192" t="s">
        <v>51</v>
      </c>
      <c r="D8" s="193" t="s">
        <v>15</v>
      </c>
      <c r="E8" s="193" t="s">
        <v>433</v>
      </c>
    </row>
    <row r="9">
      <c r="A9" s="191">
        <f t="shared" si="0"/>
        <v>5</v>
      </c>
      <c r="B9" s="205" t="s">
        <v>437</v>
      </c>
      <c r="C9" s="192" t="s">
        <v>284</v>
      </c>
      <c r="D9" s="193" t="s">
        <v>15</v>
      </c>
      <c r="E9" s="193" t="s">
        <v>433</v>
      </c>
    </row>
    <row r="10">
      <c r="A10" s="191">
        <f t="shared" si="0"/>
        <v>6</v>
      </c>
      <c r="B10" s="205" t="s">
        <v>438</v>
      </c>
      <c r="C10" s="192" t="s">
        <v>143</v>
      </c>
      <c r="D10" s="193" t="s">
        <v>15</v>
      </c>
      <c r="E10" s="193" t="s">
        <v>433</v>
      </c>
    </row>
    <row r="11">
      <c r="A11" s="191">
        <f t="shared" si="0"/>
        <v>7</v>
      </c>
      <c r="B11" s="205" t="s">
        <v>439</v>
      </c>
      <c r="C11" s="192" t="s">
        <v>77</v>
      </c>
      <c r="D11" s="193" t="s">
        <v>15</v>
      </c>
      <c r="E11" s="193" t="s">
        <v>433</v>
      </c>
    </row>
    <row r="12">
      <c r="A12" s="191">
        <f t="shared" si="0"/>
        <v>8</v>
      </c>
      <c r="B12" s="205" t="s">
        <v>440</v>
      </c>
      <c r="C12" s="192" t="s">
        <v>95</v>
      </c>
      <c r="D12" s="193" t="s">
        <v>15</v>
      </c>
      <c r="E12" s="193" t="s">
        <v>433</v>
      </c>
    </row>
    <row r="13">
      <c r="A13" s="191">
        <f t="shared" si="0"/>
        <v>9</v>
      </c>
      <c r="B13" s="205" t="s">
        <v>441</v>
      </c>
      <c r="C13" s="192" t="s">
        <v>118</v>
      </c>
      <c r="D13" s="193" t="s">
        <v>15</v>
      </c>
      <c r="E13" s="193" t="s">
        <v>433</v>
      </c>
    </row>
    <row r="14">
      <c r="A14" s="191">
        <f t="shared" si="0"/>
        <v>10</v>
      </c>
      <c r="B14" s="205" t="s">
        <v>442</v>
      </c>
      <c r="C14" s="192" t="s">
        <v>286</v>
      </c>
      <c r="D14" s="193" t="s">
        <v>15</v>
      </c>
      <c r="E14" s="193" t="s">
        <v>433</v>
      </c>
    </row>
    <row r="15">
      <c r="A15" s="191">
        <f t="shared" si="0"/>
        <v>11</v>
      </c>
      <c r="B15" s="205" t="s">
        <v>443</v>
      </c>
      <c r="C15" s="192" t="s">
        <v>150</v>
      </c>
      <c r="D15" s="193" t="s">
        <v>15</v>
      </c>
      <c r="E15" s="193" t="s">
        <v>433</v>
      </c>
    </row>
    <row r="16">
      <c r="A16" s="191">
        <f t="shared" si="0"/>
        <v>12</v>
      </c>
      <c r="B16" s="205" t="s">
        <v>444</v>
      </c>
      <c r="C16" s="192" t="s">
        <v>275</v>
      </c>
      <c r="D16" s="193" t="s">
        <v>15</v>
      </c>
      <c r="E16" s="193" t="s">
        <v>16</v>
      </c>
    </row>
    <row r="17">
      <c r="A17" s="191">
        <f t="shared" si="0"/>
        <v>13</v>
      </c>
      <c r="B17" s="205" t="s">
        <v>445</v>
      </c>
      <c r="C17" s="192" t="s">
        <v>22</v>
      </c>
      <c r="D17" s="194" t="s">
        <v>15</v>
      </c>
      <c r="E17" s="193" t="s">
        <v>16</v>
      </c>
    </row>
    <row r="18">
      <c r="A18" s="191">
        <f t="shared" si="0"/>
        <v>14</v>
      </c>
      <c r="B18" s="205" t="s">
        <v>446</v>
      </c>
      <c r="C18" s="192" t="s">
        <v>26</v>
      </c>
      <c r="D18" s="194" t="s">
        <v>15</v>
      </c>
      <c r="E18" s="193" t="s">
        <v>16</v>
      </c>
    </row>
    <row r="19">
      <c r="A19" s="191">
        <f t="shared" si="0"/>
        <v>15</v>
      </c>
      <c r="B19" s="205" t="s">
        <v>447</v>
      </c>
      <c r="C19" s="192" t="s">
        <v>278</v>
      </c>
      <c r="D19" s="193" t="s">
        <v>15</v>
      </c>
      <c r="E19" s="193" t="s">
        <v>16</v>
      </c>
    </row>
    <row r="20">
      <c r="A20" s="191">
        <f t="shared" si="0"/>
        <v>16</v>
      </c>
      <c r="B20" s="205" t="s">
        <v>448</v>
      </c>
      <c r="C20" s="192" t="s">
        <v>287</v>
      </c>
      <c r="D20" s="193" t="s">
        <v>15</v>
      </c>
      <c r="E20" s="193" t="s">
        <v>16</v>
      </c>
    </row>
    <row r="21">
      <c r="A21" s="191">
        <f t="shared" si="0"/>
        <v>17</v>
      </c>
      <c r="B21" s="205" t="s">
        <v>449</v>
      </c>
      <c r="C21" s="192" t="s">
        <v>32</v>
      </c>
      <c r="D21" s="194" t="s">
        <v>15</v>
      </c>
      <c r="E21" s="193" t="s">
        <v>16</v>
      </c>
    </row>
    <row r="22">
      <c r="A22" s="191">
        <f t="shared" si="0"/>
        <v>18</v>
      </c>
      <c r="B22" s="205" t="s">
        <v>450</v>
      </c>
      <c r="C22" s="192" t="s">
        <v>38</v>
      </c>
      <c r="D22" s="193" t="s">
        <v>15</v>
      </c>
      <c r="E22" s="193" t="s">
        <v>16</v>
      </c>
    </row>
    <row r="23">
      <c r="A23" s="191">
        <f t="shared" si="0"/>
        <v>19</v>
      </c>
      <c r="B23" s="205" t="s">
        <v>451</v>
      </c>
      <c r="C23" s="192" t="s">
        <v>41</v>
      </c>
      <c r="D23" s="194" t="s">
        <v>15</v>
      </c>
      <c r="E23" s="193" t="s">
        <v>16</v>
      </c>
    </row>
    <row r="24">
      <c r="A24" s="191">
        <f t="shared" si="0"/>
        <v>20</v>
      </c>
      <c r="B24" s="205" t="s">
        <v>452</v>
      </c>
      <c r="C24" s="192" t="s">
        <v>43</v>
      </c>
      <c r="D24" s="194" t="s">
        <v>15</v>
      </c>
      <c r="E24" s="193" t="s">
        <v>16</v>
      </c>
    </row>
    <row r="25">
      <c r="A25" s="191">
        <f t="shared" si="0"/>
        <v>21</v>
      </c>
      <c r="B25" s="205" t="s">
        <v>453</v>
      </c>
      <c r="C25" s="192" t="s">
        <v>283</v>
      </c>
      <c r="D25" s="193" t="s">
        <v>15</v>
      </c>
      <c r="E25" s="193" t="s">
        <v>16</v>
      </c>
    </row>
    <row r="26">
      <c r="A26" s="191">
        <f t="shared" si="0"/>
        <v>22</v>
      </c>
      <c r="B26" s="205" t="s">
        <v>454</v>
      </c>
      <c r="C26" s="192" t="s">
        <v>47</v>
      </c>
      <c r="D26" s="194" t="s">
        <v>15</v>
      </c>
      <c r="E26" s="193" t="s">
        <v>16</v>
      </c>
    </row>
    <row r="27">
      <c r="A27" s="191">
        <f t="shared" si="0"/>
        <v>23</v>
      </c>
      <c r="B27" s="205" t="s">
        <v>455</v>
      </c>
      <c r="C27" s="192" t="s">
        <v>53</v>
      </c>
      <c r="D27" s="194" t="s">
        <v>15</v>
      </c>
      <c r="E27" s="193" t="s">
        <v>16</v>
      </c>
    </row>
    <row r="28">
      <c r="A28" s="191">
        <f t="shared" si="0"/>
        <v>24</v>
      </c>
      <c r="B28" s="205" t="s">
        <v>456</v>
      </c>
      <c r="C28" s="192" t="s">
        <v>57</v>
      </c>
      <c r="D28" s="193" t="s">
        <v>15</v>
      </c>
      <c r="E28" s="193" t="s">
        <v>16</v>
      </c>
    </row>
    <row r="29">
      <c r="A29" s="191">
        <f t="shared" si="0"/>
        <v>25</v>
      </c>
      <c r="B29" s="205" t="s">
        <v>457</v>
      </c>
      <c r="C29" s="192" t="s">
        <v>59</v>
      </c>
      <c r="D29" s="194" t="s">
        <v>15</v>
      </c>
      <c r="E29" s="193" t="s">
        <v>16</v>
      </c>
    </row>
    <row r="30">
      <c r="A30" s="191">
        <f t="shared" si="0"/>
        <v>26</v>
      </c>
      <c r="B30" s="205" t="s">
        <v>458</v>
      </c>
      <c r="C30" s="195" t="s">
        <v>63</v>
      </c>
      <c r="D30" s="193" t="s">
        <v>15</v>
      </c>
      <c r="E30" s="193" t="s">
        <v>16</v>
      </c>
    </row>
    <row r="31">
      <c r="A31" s="191">
        <f t="shared" si="0"/>
        <v>27</v>
      </c>
      <c r="B31" s="205" t="s">
        <v>459</v>
      </c>
      <c r="C31" s="192" t="s">
        <v>288</v>
      </c>
      <c r="D31" s="193" t="s">
        <v>15</v>
      </c>
      <c r="E31" s="193" t="s">
        <v>16</v>
      </c>
    </row>
    <row r="32">
      <c r="A32" s="191">
        <f t="shared" si="0"/>
        <v>28</v>
      </c>
      <c r="B32" s="205" t="s">
        <v>460</v>
      </c>
      <c r="C32" s="192" t="s">
        <v>276</v>
      </c>
      <c r="D32" s="196" t="s">
        <v>15</v>
      </c>
      <c r="E32" s="193" t="s">
        <v>16</v>
      </c>
    </row>
    <row r="33">
      <c r="A33" s="191">
        <f t="shared" si="0"/>
        <v>29</v>
      </c>
      <c r="B33" s="205" t="s">
        <v>461</v>
      </c>
      <c r="C33" s="197" t="s">
        <v>78</v>
      </c>
      <c r="D33" s="198" t="s">
        <v>79</v>
      </c>
      <c r="E33" s="193" t="s">
        <v>16</v>
      </c>
    </row>
    <row r="34">
      <c r="A34" s="191">
        <f t="shared" si="0"/>
        <v>30</v>
      </c>
      <c r="B34" s="205" t="s">
        <v>462</v>
      </c>
      <c r="C34" s="192" t="s">
        <v>289</v>
      </c>
      <c r="D34" s="193" t="s">
        <v>15</v>
      </c>
      <c r="E34" s="193" t="s">
        <v>16</v>
      </c>
    </row>
    <row r="35">
      <c r="A35" s="191">
        <f t="shared" si="0"/>
        <v>31</v>
      </c>
      <c r="B35" s="205" t="s">
        <v>463</v>
      </c>
      <c r="C35" s="199" t="s">
        <v>87</v>
      </c>
      <c r="D35" s="196" t="s">
        <v>15</v>
      </c>
      <c r="E35" s="193" t="s">
        <v>16</v>
      </c>
    </row>
    <row r="36">
      <c r="A36" s="191">
        <f t="shared" si="0"/>
        <v>32</v>
      </c>
      <c r="B36" s="205" t="s">
        <v>464</v>
      </c>
      <c r="C36" s="200" t="s">
        <v>89</v>
      </c>
      <c r="D36" s="201" t="s">
        <v>15</v>
      </c>
      <c r="E36" s="193" t="s">
        <v>16</v>
      </c>
    </row>
    <row r="37">
      <c r="A37" s="191">
        <f t="shared" si="0"/>
        <v>33</v>
      </c>
      <c r="B37" s="205" t="s">
        <v>465</v>
      </c>
      <c r="C37" s="192" t="s">
        <v>265</v>
      </c>
      <c r="D37" s="201" t="s">
        <v>15</v>
      </c>
      <c r="E37" s="193" t="s">
        <v>16</v>
      </c>
    </row>
    <row r="38">
      <c r="A38" s="191">
        <f t="shared" si="0"/>
        <v>34</v>
      </c>
      <c r="B38" s="205" t="s">
        <v>466</v>
      </c>
      <c r="C38" s="195" t="s">
        <v>285</v>
      </c>
      <c r="D38" s="196" t="s">
        <v>15</v>
      </c>
      <c r="E38" s="193" t="s">
        <v>16</v>
      </c>
    </row>
    <row r="39">
      <c r="A39" s="191">
        <f t="shared" si="0"/>
        <v>35</v>
      </c>
      <c r="B39" s="205" t="s">
        <v>467</v>
      </c>
      <c r="C39" s="202" t="s">
        <v>99</v>
      </c>
      <c r="D39" s="201" t="s">
        <v>15</v>
      </c>
      <c r="E39" s="193" t="s">
        <v>16</v>
      </c>
    </row>
    <row r="40">
      <c r="A40" s="191">
        <f t="shared" si="0"/>
        <v>36</v>
      </c>
      <c r="B40" s="205" t="s">
        <v>468</v>
      </c>
      <c r="C40" s="192" t="s">
        <v>101</v>
      </c>
      <c r="D40" s="201" t="s">
        <v>15</v>
      </c>
      <c r="E40" s="193" t="s">
        <v>16</v>
      </c>
    </row>
    <row r="41">
      <c r="A41" s="191">
        <f t="shared" si="0"/>
        <v>37</v>
      </c>
      <c r="B41" s="205" t="s">
        <v>469</v>
      </c>
      <c r="C41" s="200" t="s">
        <v>272</v>
      </c>
      <c r="D41" s="201" t="s">
        <v>15</v>
      </c>
      <c r="E41" s="193" t="s">
        <v>16</v>
      </c>
    </row>
    <row r="42">
      <c r="A42" s="191">
        <f t="shared" si="0"/>
        <v>38</v>
      </c>
      <c r="B42" s="205" t="s">
        <v>470</v>
      </c>
      <c r="C42" s="192" t="s">
        <v>290</v>
      </c>
      <c r="D42" s="193" t="s">
        <v>15</v>
      </c>
      <c r="E42" s="193" t="s">
        <v>16</v>
      </c>
    </row>
    <row r="43">
      <c r="A43" s="191">
        <f t="shared" si="0"/>
        <v>39</v>
      </c>
      <c r="B43" s="205" t="s">
        <v>471</v>
      </c>
      <c r="C43" s="192" t="s">
        <v>104</v>
      </c>
      <c r="D43" s="194" t="s">
        <v>15</v>
      </c>
      <c r="E43" s="193" t="s">
        <v>16</v>
      </c>
    </row>
    <row r="44">
      <c r="A44" s="191">
        <f t="shared" si="0"/>
        <v>40</v>
      </c>
      <c r="B44" s="205" t="s">
        <v>472</v>
      </c>
      <c r="C44" s="192" t="s">
        <v>266</v>
      </c>
      <c r="D44" s="194" t="s">
        <v>15</v>
      </c>
      <c r="E44" s="193" t="s">
        <v>16</v>
      </c>
    </row>
    <row r="45">
      <c r="A45" s="191">
        <f t="shared" si="0"/>
        <v>41</v>
      </c>
      <c r="B45" s="205" t="s">
        <v>473</v>
      </c>
      <c r="C45" s="192" t="s">
        <v>277</v>
      </c>
      <c r="D45" s="193" t="s">
        <v>15</v>
      </c>
      <c r="E45" s="193" t="s">
        <v>16</v>
      </c>
    </row>
    <row r="46">
      <c r="A46" s="191">
        <f t="shared" si="0"/>
        <v>42</v>
      </c>
      <c r="B46" s="205" t="s">
        <v>474</v>
      </c>
      <c r="C46" s="192" t="s">
        <v>274</v>
      </c>
      <c r="D46" s="193" t="s">
        <v>15</v>
      </c>
      <c r="E46" s="193" t="s">
        <v>16</v>
      </c>
    </row>
    <row r="47">
      <c r="A47" s="191">
        <f t="shared" si="0"/>
        <v>43</v>
      </c>
      <c r="B47" s="205" t="s">
        <v>475</v>
      </c>
      <c r="C47" s="192" t="s">
        <v>273</v>
      </c>
      <c r="D47" s="194" t="s">
        <v>15</v>
      </c>
      <c r="E47" s="193" t="s">
        <v>16</v>
      </c>
    </row>
    <row r="48">
      <c r="A48" s="191">
        <f t="shared" si="0"/>
        <v>44</v>
      </c>
      <c r="B48" s="205" t="s">
        <v>476</v>
      </c>
      <c r="C48" s="192" t="s">
        <v>124</v>
      </c>
      <c r="D48" s="193" t="s">
        <v>15</v>
      </c>
      <c r="E48" s="193" t="s">
        <v>16</v>
      </c>
    </row>
    <row r="49">
      <c r="A49" s="191">
        <f t="shared" si="0"/>
        <v>45</v>
      </c>
      <c r="B49" s="205" t="s">
        <v>477</v>
      </c>
      <c r="C49" s="192" t="s">
        <v>129</v>
      </c>
      <c r="D49" s="194" t="s">
        <v>15</v>
      </c>
      <c r="E49" s="193" t="s">
        <v>16</v>
      </c>
    </row>
    <row r="50">
      <c r="A50" s="191">
        <f t="shared" si="0"/>
        <v>46</v>
      </c>
      <c r="B50" s="205" t="s">
        <v>478</v>
      </c>
      <c r="C50" s="192" t="s">
        <v>131</v>
      </c>
      <c r="D50" s="193" t="s">
        <v>15</v>
      </c>
      <c r="E50" s="193" t="s">
        <v>16</v>
      </c>
    </row>
    <row r="51">
      <c r="A51" s="191">
        <f t="shared" si="0"/>
        <v>47</v>
      </c>
      <c r="B51" s="205" t="s">
        <v>479</v>
      </c>
      <c r="C51" s="192" t="s">
        <v>133</v>
      </c>
      <c r="D51" s="194" t="s">
        <v>15</v>
      </c>
      <c r="E51" s="193" t="s">
        <v>16</v>
      </c>
    </row>
    <row r="52">
      <c r="A52" s="191">
        <f t="shared" si="0"/>
        <v>48</v>
      </c>
      <c r="B52" s="205" t="s">
        <v>480</v>
      </c>
      <c r="C52" s="192" t="s">
        <v>135</v>
      </c>
      <c r="D52" s="193" t="s">
        <v>15</v>
      </c>
      <c r="E52" s="193" t="s">
        <v>16</v>
      </c>
    </row>
    <row r="53">
      <c r="A53" s="191">
        <f t="shared" si="0"/>
        <v>49</v>
      </c>
      <c r="B53" s="205" t="s">
        <v>481</v>
      </c>
      <c r="C53" s="192" t="s">
        <v>136</v>
      </c>
      <c r="D53" s="193" t="s">
        <v>15</v>
      </c>
      <c r="E53" s="193" t="s">
        <v>16</v>
      </c>
    </row>
    <row r="54">
      <c r="A54" s="191">
        <f t="shared" si="0"/>
        <v>50</v>
      </c>
      <c r="B54" s="205" t="s">
        <v>482</v>
      </c>
      <c r="C54" s="192" t="s">
        <v>291</v>
      </c>
      <c r="D54" s="193" t="s">
        <v>15</v>
      </c>
      <c r="E54" s="193" t="s">
        <v>16</v>
      </c>
    </row>
    <row r="55">
      <c r="A55" s="191">
        <f t="shared" si="0"/>
        <v>51</v>
      </c>
      <c r="B55" s="205" t="s">
        <v>483</v>
      </c>
      <c r="C55" s="192" t="s">
        <v>144</v>
      </c>
      <c r="D55" s="193" t="s">
        <v>15</v>
      </c>
      <c r="E55" s="193" t="s">
        <v>16</v>
      </c>
    </row>
    <row r="56">
      <c r="A56" s="191">
        <f t="shared" si="0"/>
        <v>52</v>
      </c>
      <c r="B56" s="205" t="s">
        <v>484</v>
      </c>
      <c r="C56" s="192" t="s">
        <v>148</v>
      </c>
      <c r="D56" s="194" t="s">
        <v>15</v>
      </c>
      <c r="E56" s="193" t="s">
        <v>16</v>
      </c>
    </row>
    <row r="57">
      <c r="A57" s="191">
        <f t="shared" si="0"/>
        <v>53</v>
      </c>
      <c r="B57" s="205" t="s">
        <v>485</v>
      </c>
      <c r="C57" s="192" t="s">
        <v>279</v>
      </c>
      <c r="D57" s="193" t="s">
        <v>15</v>
      </c>
      <c r="E57" s="193" t="s">
        <v>16</v>
      </c>
    </row>
  </sheetData>
  <sortState ref="A4:E56">
    <sortCondition ref="E4:E56"/>
  </sortState>
  <mergeCells>
    <mergeCell ref="A1:E1"/>
    <mergeCell ref="A2:E2"/>
  </mergeCells>
  <pageMargins left="0.7" right="0.7" top="0.75" bottom="0.75" header="0.3" footer="0.3"/>
  <pageSetup paperSize="9" orientation="portrait" horizontalDpi="120" verticalDpi="7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9"/>
  <dimension ref="G1"/>
  <sheetViews>
    <sheetView workbookViewId="0"/>
  </sheetViews>
  <sheetFormatPr defaultRowHeight="15" x14ac:dyDescent="0.25"/>
  <sheetData>
    <row r="1">
      <c r="G1" s="330" t="s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REKAP</vt:lpstr>
      <vt:lpstr>REKAP (2)</vt:lpstr>
      <vt:lpstr>transfer payroll</vt:lpstr>
      <vt:lpstr>tanda terima  (2)</vt:lpstr>
      <vt:lpstr>RINCIAN</vt:lpstr>
      <vt:lpstr>SIMULASI</vt:lpstr>
      <vt:lpstr>Sheet2</vt:lpstr>
      <vt:lpstr>Sheet3</vt:lpstr>
      <vt:lpstr>REKAP!Print_Area</vt:lpstr>
      <vt:lpstr>'REKAP (2)'!Print_Area</vt:lpstr>
      <vt:lpstr>RINCIAN!Print_Area</vt:lpstr>
      <vt:lpstr>REKAP!Print_Titles</vt:lpstr>
      <vt:lpstr>'REKAP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2021-04-08T10:13:43Z</cp:lastPrinted>
  <dcterms:created xsi:type="dcterms:W3CDTF">2019-09-24T09:56:43Z</dcterms:created>
  <dcterms:modified xsi:type="dcterms:W3CDTF">2021-08-06T07:44:19Z</dcterms:modified>
</cp:coreProperties>
</file>